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C:\Users\Gnestler\Dropbox (Castellan)\HamAdv-CRP shared folder\CDLAC_2024\Pardes 2\PART6\6.1_TCAC Req 1-6\"/>
    </mc:Choice>
  </mc:AlternateContent>
  <xr:revisionPtr revIDLastSave="0" documentId="13_ncr:1_{EA8B2AE6-1E3B-4249-903A-428B946ECAC8}" xr6:coauthVersionLast="47" xr6:coauthVersionMax="47" xr10:uidLastSave="{00000000-0000-0000-0000-000000000000}"/>
  <bookViews>
    <workbookView xWindow="28680" yWindow="-120" windowWidth="29040" windowHeight="1584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1" i="15" l="1"/>
  <c r="AB50" i="15"/>
  <c r="AG443" i="3" l="1"/>
  <c r="T215" i="20"/>
  <c r="T214" i="20"/>
  <c r="W846" i="3"/>
  <c r="C94" i="4" l="1"/>
  <c r="S243" i="27" l="1"/>
  <c r="AU188" i="27"/>
  <c r="O70" i="27"/>
  <c r="E4" i="4" l="1"/>
  <c r="E99" i="4"/>
  <c r="F8" i="8" l="1"/>
  <c r="F12" i="8"/>
  <c r="AO640" i="3"/>
  <c r="F95" i="13" l="1"/>
  <c r="F93" i="13"/>
  <c r="F92" i="13"/>
  <c r="F91" i="13"/>
  <c r="F90" i="13"/>
  <c r="F89" i="13"/>
  <c r="F84" i="13"/>
  <c r="C95" i="13"/>
  <c r="C93" i="13"/>
  <c r="C92" i="13"/>
  <c r="C91" i="13"/>
  <c r="C90" i="13"/>
  <c r="C89" i="13"/>
  <c r="C84" i="13"/>
  <c r="F79" i="13"/>
  <c r="C79" i="13"/>
  <c r="C75" i="13"/>
  <c r="F69" i="13"/>
  <c r="C69" i="13"/>
  <c r="C65" i="13"/>
  <c r="F65" i="13"/>
  <c r="C61" i="13"/>
  <c r="C58" i="13"/>
  <c r="C56" i="13"/>
  <c r="F52" i="13"/>
  <c r="F51" i="13"/>
  <c r="F50" i="13"/>
  <c r="F47" i="13"/>
  <c r="F45" i="13"/>
  <c r="C52" i="13"/>
  <c r="C51" i="13"/>
  <c r="C50" i="13"/>
  <c r="C47" i="13"/>
  <c r="S93" i="4"/>
  <c r="S92" i="4"/>
  <c r="S91" i="4"/>
  <c r="S90" i="4"/>
  <c r="S89" i="4"/>
  <c r="S84" i="4"/>
  <c r="E95" i="4"/>
  <c r="E94" i="4"/>
  <c r="E93" i="4"/>
  <c r="E92" i="4"/>
  <c r="E91" i="4"/>
  <c r="E90" i="4"/>
  <c r="E89" i="4"/>
  <c r="E88" i="4"/>
  <c r="E86" i="4"/>
  <c r="E85" i="4"/>
  <c r="E84" i="4"/>
  <c r="E80" i="4"/>
  <c r="S79" i="4"/>
  <c r="E79" i="4"/>
  <c r="E75" i="4"/>
  <c r="S65" i="4"/>
  <c r="E69" i="4"/>
  <c r="E65" i="4"/>
  <c r="E61" i="4"/>
  <c r="E58" i="4"/>
  <c r="E56" i="4"/>
  <c r="S52" i="4"/>
  <c r="S51" i="4"/>
  <c r="S50" i="4"/>
  <c r="S48" i="4"/>
  <c r="S47" i="4"/>
  <c r="E52" i="4"/>
  <c r="E51" i="4"/>
  <c r="E50" i="4"/>
  <c r="E49" i="4"/>
  <c r="E47" i="4"/>
  <c r="E46" i="4"/>
  <c r="E45" i="4"/>
  <c r="S43" i="4" l="1"/>
  <c r="S41" i="4"/>
  <c r="E41" i="4"/>
  <c r="E43" i="4"/>
  <c r="S36" i="4"/>
  <c r="S34" i="4"/>
  <c r="S31" i="4"/>
  <c r="S29" i="4"/>
  <c r="E37" i="4"/>
  <c r="E35" i="4"/>
  <c r="E33" i="4"/>
  <c r="E32" i="4"/>
  <c r="E31" i="4"/>
  <c r="E30" i="4"/>
  <c r="E29" i="4"/>
  <c r="M960" i="3" l="1"/>
  <c r="Y831" i="3"/>
  <c r="U831" i="3"/>
  <c r="Q831" i="3"/>
  <c r="AG448" i="3"/>
  <c r="AC387" i="3"/>
  <c r="H309" i="3"/>
  <c r="H307" i="3"/>
  <c r="H306" i="3"/>
  <c r="H305" i="3"/>
  <c r="H304" i="3"/>
  <c r="H303" i="3"/>
  <c r="L276" i="3"/>
  <c r="L275" i="3"/>
  <c r="H288" i="3" s="1"/>
  <c r="M264"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1" i="8"/>
  <c r="I11" i="8"/>
  <c r="J10" i="8"/>
  <c r="I10" i="8"/>
  <c r="J9" i="8"/>
  <c r="I9"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E24" i="13" s="1"/>
  <c r="AJ993" i="3"/>
  <c r="AF1025" i="3"/>
  <c r="AF1020" i="3"/>
  <c r="AB212" i="3"/>
  <c r="AF1013" i="3" s="1"/>
  <c r="C5" i="7"/>
  <c r="C7" i="7"/>
  <c r="C9" i="7"/>
  <c r="E40" i="7"/>
  <c r="A40" i="7"/>
  <c r="E33" i="7"/>
  <c r="E32" i="7"/>
  <c r="E31" i="7"/>
  <c r="E30" i="7"/>
  <c r="E29" i="7"/>
  <c r="E28" i="7"/>
  <c r="G28" i="7" s="1"/>
  <c r="I28" i="7" s="1"/>
  <c r="K28" i="7" s="1"/>
  <c r="M28" i="7" s="1"/>
  <c r="O28" i="7" s="1"/>
  <c r="Q28" i="7" s="1"/>
  <c r="S28" i="7" s="1"/>
  <c r="U28" i="7" s="1"/>
  <c r="W28" i="7" s="1"/>
  <c r="Y28" i="7" s="1"/>
  <c r="AA28" i="7" s="1"/>
  <c r="AC28" i="7" s="1"/>
  <c r="AE28" i="7" s="1"/>
  <c r="AG28" i="7" s="1"/>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C26" i="4"/>
  <c r="B26" i="4"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D102" i="11" s="1"/>
  <c r="C103" i="11"/>
  <c r="C104" i="11"/>
  <c r="B101" i="11"/>
  <c r="D101" i="11" s="1"/>
  <c r="B102" i="11"/>
  <c r="B103" i="11"/>
  <c r="D103" i="11" s="1"/>
  <c r="B104" i="11"/>
  <c r="C85" i="11"/>
  <c r="D85" i="11" s="1"/>
  <c r="C86" i="11"/>
  <c r="C87" i="11"/>
  <c r="C88" i="11"/>
  <c r="D88" i="11" s="1"/>
  <c r="C89" i="11"/>
  <c r="C90" i="11"/>
  <c r="C91" i="11"/>
  <c r="D91" i="11" s="1"/>
  <c r="C92" i="11"/>
  <c r="C93" i="11"/>
  <c r="C94" i="11"/>
  <c r="C95" i="11"/>
  <c r="C96" i="11"/>
  <c r="B85" i="11"/>
  <c r="B86" i="11"/>
  <c r="B87" i="11"/>
  <c r="B88" i="11"/>
  <c r="B89" i="11"/>
  <c r="B90" i="11"/>
  <c r="B91" i="11"/>
  <c r="B92" i="11"/>
  <c r="D92" i="11" s="1"/>
  <c r="B93" i="11"/>
  <c r="D93" i="11" s="1"/>
  <c r="B94" i="11"/>
  <c r="B95" i="11"/>
  <c r="D95" i="11" s="1"/>
  <c r="B96" i="11"/>
  <c r="D96" i="11" s="1"/>
  <c r="A70" i="11"/>
  <c r="C67" i="11"/>
  <c r="C68" i="11"/>
  <c r="C69" i="11"/>
  <c r="C70" i="11"/>
  <c r="B67" i="11"/>
  <c r="B68" i="11"/>
  <c r="B69" i="11"/>
  <c r="B70" i="11"/>
  <c r="A62" i="11"/>
  <c r="A54" i="11"/>
  <c r="A38" i="11"/>
  <c r="A26" i="11"/>
  <c r="C31" i="11"/>
  <c r="C32" i="11"/>
  <c r="C33" i="11"/>
  <c r="C34" i="11"/>
  <c r="C35" i="11"/>
  <c r="C36" i="11"/>
  <c r="C37" i="11"/>
  <c r="C38" i="11"/>
  <c r="B31" i="11"/>
  <c r="D31" i="11" s="1"/>
  <c r="B32" i="11"/>
  <c r="B33" i="11"/>
  <c r="B34" i="11"/>
  <c r="B35" i="11"/>
  <c r="D35" i="11" s="1"/>
  <c r="B36" i="11"/>
  <c r="B37" i="11"/>
  <c r="B38" i="11"/>
  <c r="C24" i="11"/>
  <c r="C25" i="11"/>
  <c r="C26" i="11"/>
  <c r="B25" i="11"/>
  <c r="B26" i="11"/>
  <c r="D70" i="4"/>
  <c r="C70" i="4"/>
  <c r="B70" i="4"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13" s="1"/>
  <c r="B99" i="4"/>
  <c r="G68" i="7"/>
  <c r="I68" i="7"/>
  <c r="K68" i="7"/>
  <c r="M68" i="7" s="1"/>
  <c r="O68" i="7" s="1"/>
  <c r="Q68" i="7" s="1"/>
  <c r="S68" i="7" s="1"/>
  <c r="U68" i="7" s="1"/>
  <c r="W68" i="7" s="1"/>
  <c r="Y68" i="7" s="1"/>
  <c r="AA68" i="7" s="1"/>
  <c r="AC68" i="7" s="1"/>
  <c r="AE68" i="7" s="1"/>
  <c r="AG68" i="7" s="1"/>
  <c r="G69" i="7"/>
  <c r="I69" i="7"/>
  <c r="K69" i="7"/>
  <c r="M69" i="7"/>
  <c r="O69" i="7"/>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AH727" i="3" s="1"/>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D81" i="13"/>
  <c r="C81" i="13"/>
  <c r="H80" i="13"/>
  <c r="B80" i="13"/>
  <c r="C80" i="13" s="1"/>
  <c r="R80" i="4"/>
  <c r="S80" i="4" s="1"/>
  <c r="E80" i="13" s="1"/>
  <c r="F80" i="13" s="1"/>
  <c r="F81" i="13" s="1"/>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F94" i="13" s="1"/>
  <c r="E93" i="13"/>
  <c r="E92" i="13"/>
  <c r="E91" i="13"/>
  <c r="E90" i="13"/>
  <c r="E89" i="13"/>
  <c r="E87" i="13"/>
  <c r="E84" i="13"/>
  <c r="E79" i="13"/>
  <c r="E65" i="13"/>
  <c r="E53" i="13"/>
  <c r="E52" i="13"/>
  <c r="E51" i="13"/>
  <c r="E50" i="13"/>
  <c r="E48" i="13"/>
  <c r="E47" i="13"/>
  <c r="E45" i="13"/>
  <c r="E43" i="13"/>
  <c r="F43" i="13" s="1"/>
  <c r="E41" i="13"/>
  <c r="F41" i="13" s="1"/>
  <c r="E40" i="13"/>
  <c r="E34" i="13"/>
  <c r="E31" i="13"/>
  <c r="F31" i="13" s="1"/>
  <c r="E29" i="13"/>
  <c r="F29" i="13" s="1"/>
  <c r="E27" i="13"/>
  <c r="E19" i="13"/>
  <c r="E18" i="13"/>
  <c r="E17" i="13"/>
  <c r="E15" i="13"/>
  <c r="E14" i="13"/>
  <c r="E13" i="13"/>
  <c r="E10" i="13"/>
  <c r="B99" i="13"/>
  <c r="C99" i="13" s="1"/>
  <c r="C104" i="13" s="1"/>
  <c r="B95" i="13"/>
  <c r="B94" i="13"/>
  <c r="C94" i="13" s="1"/>
  <c r="B93" i="13"/>
  <c r="B92" i="13"/>
  <c r="B91" i="13"/>
  <c r="B90" i="13"/>
  <c r="B89" i="13"/>
  <c r="B88" i="13"/>
  <c r="C88" i="13" s="1"/>
  <c r="B87" i="13"/>
  <c r="B86" i="13"/>
  <c r="C86" i="13" s="1"/>
  <c r="B85" i="13"/>
  <c r="C85" i="13" s="1"/>
  <c r="B84" i="13"/>
  <c r="B83" i="13"/>
  <c r="C83" i="13" s="1"/>
  <c r="B79" i="13"/>
  <c r="B76" i="13"/>
  <c r="B75" i="13"/>
  <c r="B74" i="13"/>
  <c r="B73" i="13"/>
  <c r="B72" i="13"/>
  <c r="B70" i="13"/>
  <c r="B65" i="13"/>
  <c r="B61" i="13"/>
  <c r="B60" i="13"/>
  <c r="B59" i="13"/>
  <c r="B58" i="13"/>
  <c r="B57" i="13"/>
  <c r="B56" i="13"/>
  <c r="B53" i="13"/>
  <c r="B52" i="13"/>
  <c r="B51" i="13"/>
  <c r="B50" i="13"/>
  <c r="B49" i="13"/>
  <c r="C49" i="13" s="1"/>
  <c r="B48" i="13"/>
  <c r="B47" i="13"/>
  <c r="B46" i="13"/>
  <c r="C46" i="13" s="1"/>
  <c r="B45" i="13"/>
  <c r="C45" i="13" s="1"/>
  <c r="B43" i="13"/>
  <c r="C43" i="13" s="1"/>
  <c r="C42" i="4"/>
  <c r="B42" i="4" s="1"/>
  <c r="B42" i="13"/>
  <c r="B41" i="13"/>
  <c r="C41" i="13" s="1"/>
  <c r="C42" i="13" s="1"/>
  <c r="B40" i="13"/>
  <c r="B37" i="13"/>
  <c r="C37" i="13" s="1"/>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C4" i="13" s="1"/>
  <c r="J104" i="13"/>
  <c r="I104" i="13"/>
  <c r="G104" i="13"/>
  <c r="D104" i="13"/>
  <c r="G96" i="13"/>
  <c r="D96" i="13"/>
  <c r="D77" i="13"/>
  <c r="C77" i="13"/>
  <c r="J70" i="13"/>
  <c r="I70" i="13"/>
  <c r="G70" i="13"/>
  <c r="F70" i="13"/>
  <c r="D70" i="13"/>
  <c r="C70" i="13"/>
  <c r="D62" i="13"/>
  <c r="C62" i="13"/>
  <c r="J54" i="13"/>
  <c r="I54" i="13"/>
  <c r="I63" i="13" s="1"/>
  <c r="I97" i="13" s="1"/>
  <c r="I105" i="13" s="1"/>
  <c r="I107" i="13" s="1"/>
  <c r="G54" i="13"/>
  <c r="D54" i="13"/>
  <c r="J42" i="13"/>
  <c r="I42" i="13"/>
  <c r="G42" i="13"/>
  <c r="F42" i="13"/>
  <c r="F26" i="13"/>
  <c r="D42" i="13"/>
  <c r="J38" i="13"/>
  <c r="I38" i="13"/>
  <c r="G38" i="13"/>
  <c r="G63" i="13" s="1"/>
  <c r="G97" i="13" s="1"/>
  <c r="G105" i="13" s="1"/>
  <c r="G107" i="13" s="1"/>
  <c r="D38" i="13"/>
  <c r="J26" i="13"/>
  <c r="I26" i="13"/>
  <c r="I11" i="13"/>
  <c r="G26" i="13"/>
  <c r="D26" i="13"/>
  <c r="C26" i="13"/>
  <c r="J11" i="13"/>
  <c r="D11" i="13"/>
  <c r="C11" i="13"/>
  <c r="C8" i="13"/>
  <c r="C12" i="13" s="1"/>
  <c r="D8" i="13"/>
  <c r="D63" i="13" s="1"/>
  <c r="D97" i="13" s="1"/>
  <c r="D105" i="13" s="1"/>
  <c r="T104" i="4"/>
  <c r="H104" i="13" s="1"/>
  <c r="R103" i="4"/>
  <c r="R102" i="4"/>
  <c r="R101" i="4"/>
  <c r="R99" i="4"/>
  <c r="S99" i="4" s="1"/>
  <c r="E99" i="13" s="1"/>
  <c r="F99" i="13" s="1"/>
  <c r="F104" i="13" s="1"/>
  <c r="R95" i="4"/>
  <c r="R94" i="4"/>
  <c r="S94" i="4" s="1"/>
  <c r="R93" i="4"/>
  <c r="R92" i="4"/>
  <c r="R90" i="4"/>
  <c r="R89" i="4"/>
  <c r="R88" i="4"/>
  <c r="R87" i="4"/>
  <c r="R86" i="4"/>
  <c r="S86" i="4" s="1"/>
  <c r="R85" i="4"/>
  <c r="S85" i="4" s="1"/>
  <c r="E85" i="13" s="1"/>
  <c r="F85" i="13" s="1"/>
  <c r="R83" i="4"/>
  <c r="R76" i="4"/>
  <c r="R75" i="4"/>
  <c r="R77" i="4" s="1"/>
  <c r="R72" i="4"/>
  <c r="R73" i="4"/>
  <c r="R74" i="4"/>
  <c r="R69" i="4"/>
  <c r="R70" i="4" s="1"/>
  <c r="R65" i="4"/>
  <c r="R61" i="4"/>
  <c r="R60" i="4"/>
  <c r="R59" i="4"/>
  <c r="R58" i="4"/>
  <c r="R57" i="4"/>
  <c r="R56" i="4"/>
  <c r="R62" i="4" s="1"/>
  <c r="R53" i="4"/>
  <c r="R52" i="4"/>
  <c r="R51" i="4"/>
  <c r="R50" i="4"/>
  <c r="R49" i="4"/>
  <c r="S49" i="4" s="1"/>
  <c r="E49" i="13" s="1"/>
  <c r="F49" i="13" s="1"/>
  <c r="R48" i="4"/>
  <c r="R47" i="4"/>
  <c r="R46" i="4"/>
  <c r="S46" i="4" s="1"/>
  <c r="E46" i="13" s="1"/>
  <c r="F46" i="13" s="1"/>
  <c r="R45" i="4"/>
  <c r="R43" i="4"/>
  <c r="R41" i="4"/>
  <c r="R42" i="4" s="1"/>
  <c r="R40" i="4"/>
  <c r="R37" i="4"/>
  <c r="S37" i="4" s="1"/>
  <c r="E37" i="13" s="1"/>
  <c r="F37" i="13" s="1"/>
  <c r="R35" i="4"/>
  <c r="S35" i="4" s="1"/>
  <c r="E35" i="13" s="1"/>
  <c r="F35" i="13" s="1"/>
  <c r="R34" i="4"/>
  <c r="R33" i="4"/>
  <c r="S33" i="4" s="1"/>
  <c r="E33" i="13" s="1"/>
  <c r="F33" i="13" s="1"/>
  <c r="R32" i="4"/>
  <c r="S32" i="4" s="1"/>
  <c r="E32" i="13" s="1"/>
  <c r="F32" i="13" s="1"/>
  <c r="R31" i="4"/>
  <c r="R30" i="4"/>
  <c r="S30" i="4" s="1"/>
  <c r="E30" i="13" s="1"/>
  <c r="F30" i="13" s="1"/>
  <c r="R29" i="4"/>
  <c r="R27" i="4"/>
  <c r="R25" i="4"/>
  <c r="E25" i="13" s="1"/>
  <c r="R23" i="4"/>
  <c r="E23" i="13" s="1"/>
  <c r="R22" i="4"/>
  <c r="E22" i="13" s="1"/>
  <c r="R21" i="4"/>
  <c r="E21" i="13" s="1"/>
  <c r="R20" i="4"/>
  <c r="E20" i="13" s="1"/>
  <c r="R19" i="4"/>
  <c r="R18" i="4"/>
  <c r="R17" i="4"/>
  <c r="R15" i="4"/>
  <c r="R14" i="4"/>
  <c r="R13" i="4"/>
  <c r="R9" i="4"/>
  <c r="R11" i="4"/>
  <c r="R7" i="4"/>
  <c r="R6" i="4"/>
  <c r="R5" i="4"/>
  <c r="R4" i="4"/>
  <c r="R8" i="4" s="1"/>
  <c r="R12" i="4" s="1"/>
  <c r="B5" i="11"/>
  <c r="C5" i="11"/>
  <c r="D5" i="11" s="1"/>
  <c r="B6" i="11"/>
  <c r="C6" i="11"/>
  <c r="B7" i="11"/>
  <c r="B9" i="11" s="1"/>
  <c r="B13" i="11" s="1"/>
  <c r="C7" i="11"/>
  <c r="C8" i="11"/>
  <c r="D8" i="11" s="1"/>
  <c r="B8" i="11"/>
  <c r="B10" i="11"/>
  <c r="B12" i="11" s="1"/>
  <c r="B11" i="11"/>
  <c r="C10" i="11"/>
  <c r="C12" i="11" s="1"/>
  <c r="D12" i="11" s="1"/>
  <c r="C11" i="11"/>
  <c r="D11" i="11" s="1"/>
  <c r="B14" i="11"/>
  <c r="C14" i="11"/>
  <c r="B15" i="11"/>
  <c r="C15" i="11"/>
  <c r="B16" i="11"/>
  <c r="C16" i="11"/>
  <c r="B18" i="11"/>
  <c r="C18" i="11"/>
  <c r="D18" i="11" s="1"/>
  <c r="B19" i="11"/>
  <c r="C19" i="11"/>
  <c r="B20" i="11"/>
  <c r="C20" i="11"/>
  <c r="D20" i="11" s="1"/>
  <c r="B21" i="11"/>
  <c r="C21" i="11"/>
  <c r="D21" i="11" s="1"/>
  <c r="B22" i="11"/>
  <c r="C22" i="11"/>
  <c r="D22" i="11" s="1"/>
  <c r="B23" i="11"/>
  <c r="C23" i="11"/>
  <c r="B24" i="11"/>
  <c r="D24" i="11" s="1"/>
  <c r="B28" i="11"/>
  <c r="C28" i="11"/>
  <c r="B30" i="11"/>
  <c r="C30" i="11"/>
  <c r="D30" i="11" s="1"/>
  <c r="B41" i="11"/>
  <c r="C41" i="11"/>
  <c r="D41" i="11" s="1"/>
  <c r="C42" i="11"/>
  <c r="B42" i="11"/>
  <c r="B44" i="11"/>
  <c r="C44" i="11"/>
  <c r="D44" i="11" s="1"/>
  <c r="B46" i="11"/>
  <c r="C46" i="11"/>
  <c r="D46" i="11" s="1"/>
  <c r="B47" i="11"/>
  <c r="C47" i="11"/>
  <c r="B48" i="11"/>
  <c r="B49" i="11"/>
  <c r="B50" i="11"/>
  <c r="B51" i="11"/>
  <c r="B52" i="11"/>
  <c r="B53" i="11"/>
  <c r="C48" i="11"/>
  <c r="C49" i="11"/>
  <c r="D49" i="11" s="1"/>
  <c r="C50" i="11"/>
  <c r="C51" i="11"/>
  <c r="C52" i="11"/>
  <c r="D52" i="11" s="1"/>
  <c r="C53" i="11"/>
  <c r="D53" i="11" s="1"/>
  <c r="B57" i="11"/>
  <c r="C57" i="11"/>
  <c r="D57" i="11" s="1"/>
  <c r="B58" i="11"/>
  <c r="C58" i="11"/>
  <c r="B59" i="11"/>
  <c r="C59" i="11"/>
  <c r="D59" i="11" s="1"/>
  <c r="B60" i="11"/>
  <c r="C60" i="11"/>
  <c r="B61" i="11"/>
  <c r="C61" i="11"/>
  <c r="B62" i="11"/>
  <c r="C62" i="11"/>
  <c r="B66" i="11"/>
  <c r="B71" i="11" s="1"/>
  <c r="C66" i="11"/>
  <c r="B73" i="11"/>
  <c r="C73" i="11"/>
  <c r="B74" i="11"/>
  <c r="C74" i="11"/>
  <c r="B75" i="11"/>
  <c r="C75" i="11"/>
  <c r="B76" i="11"/>
  <c r="C76" i="11"/>
  <c r="D76" i="11" s="1"/>
  <c r="B77" i="11"/>
  <c r="C77" i="11"/>
  <c r="D77" i="11" s="1"/>
  <c r="B84" i="11"/>
  <c r="C84" i="11"/>
  <c r="D84" i="11" s="1"/>
  <c r="B100" i="11"/>
  <c r="B105" i="11" s="1"/>
  <c r="C100" i="11"/>
  <c r="C105" i="11" s="1"/>
  <c r="A4" i="8"/>
  <c r="D4" i="8"/>
  <c r="A5" i="8"/>
  <c r="D5" i="8"/>
  <c r="A6" i="8"/>
  <c r="D6" i="8"/>
  <c r="A7" i="8"/>
  <c r="D7" i="8"/>
  <c r="A8" i="8"/>
  <c r="D8" i="8"/>
  <c r="I8" i="8" s="1"/>
  <c r="A9" i="8"/>
  <c r="D9" i="8"/>
  <c r="A10" i="8"/>
  <c r="D10" i="8"/>
  <c r="A11" i="8"/>
  <c r="D11" i="8"/>
  <c r="A12" i="8"/>
  <c r="D12" i="8"/>
  <c r="I12" i="8" s="1"/>
  <c r="J12" i="8" s="1"/>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s="1"/>
  <c r="T54" i="4"/>
  <c r="H54" i="13" s="1"/>
  <c r="T70" i="4"/>
  <c r="H70" i="13"/>
  <c r="T96" i="4"/>
  <c r="H96" i="13"/>
  <c r="C11" i="4"/>
  <c r="B11" i="4" s="1"/>
  <c r="C38" i="4"/>
  <c r="B38" i="4" s="1"/>
  <c r="C54" i="4"/>
  <c r="B54" i="4" s="1"/>
  <c r="C62" i="4"/>
  <c r="B62" i="4" s="1"/>
  <c r="C77" i="4"/>
  <c r="B77" i="13" s="1"/>
  <c r="C96" i="4"/>
  <c r="B96" i="13" s="1"/>
  <c r="D8" i="4"/>
  <c r="D11" i="4"/>
  <c r="D26" i="4"/>
  <c r="D38" i="4"/>
  <c r="D42" i="4"/>
  <c r="D54" i="4"/>
  <c r="D62" i="4"/>
  <c r="D63" i="4" s="1"/>
  <c r="D97" i="4" s="1"/>
  <c r="D105" i="4" s="1"/>
  <c r="D77" i="4"/>
  <c r="D96" i="4"/>
  <c r="D104" i="4"/>
  <c r="S42" i="4"/>
  <c r="E42" i="13" s="1"/>
  <c r="S104" i="4"/>
  <c r="E104" i="13" s="1"/>
  <c r="F2" i="4"/>
  <c r="G2" i="4"/>
  <c r="H2" i="4"/>
  <c r="I2" i="4"/>
  <c r="J2" i="4"/>
  <c r="K2" i="4"/>
  <c r="L2" i="4"/>
  <c r="M2" i="4"/>
  <c r="N2" i="4"/>
  <c r="O2" i="4"/>
  <c r="P2" i="4"/>
  <c r="Q2" i="4"/>
  <c r="B4" i="4"/>
  <c r="B5" i="4"/>
  <c r="B6" i="4"/>
  <c r="B7" i="4"/>
  <c r="E8" i="4"/>
  <c r="E12" i="4" s="1"/>
  <c r="F8" i="4"/>
  <c r="G8" i="4"/>
  <c r="G11" i="4"/>
  <c r="H8" i="4"/>
  <c r="H63" i="4" s="1"/>
  <c r="H97" i="4" s="1"/>
  <c r="H105" i="4" s="1"/>
  <c r="H11" i="4"/>
  <c r="I8" i="4"/>
  <c r="I63" i="4" s="1"/>
  <c r="I97" i="4" s="1"/>
  <c r="I105" i="4" s="1"/>
  <c r="I11" i="4"/>
  <c r="J8" i="4"/>
  <c r="J11" i="4"/>
  <c r="J26" i="4"/>
  <c r="J38" i="4"/>
  <c r="J42" i="4"/>
  <c r="J54" i="4"/>
  <c r="J62" i="4"/>
  <c r="J70" i="4"/>
  <c r="J77" i="4"/>
  <c r="J96" i="4"/>
  <c r="J97" i="4" s="1"/>
  <c r="J105" i="4" s="1"/>
  <c r="J104" i="4"/>
  <c r="K8" i="4"/>
  <c r="K63" i="4" s="1"/>
  <c r="K97" i="4" s="1"/>
  <c r="K105" i="4" s="1"/>
  <c r="K11" i="4"/>
  <c r="L8" i="4"/>
  <c r="L11" i="4"/>
  <c r="L12" i="4" s="1"/>
  <c r="M8" i="4"/>
  <c r="M11" i="4"/>
  <c r="N8" i="4"/>
  <c r="O8" i="4"/>
  <c r="Q8" i="4"/>
  <c r="Q11" i="4"/>
  <c r="Q63" i="4" s="1"/>
  <c r="Q97" i="4" s="1"/>
  <c r="Q105" i="4" s="1"/>
  <c r="B9" i="4"/>
  <c r="B10" i="4"/>
  <c r="E11" i="4"/>
  <c r="F11" i="4"/>
  <c r="F26" i="4"/>
  <c r="F38" i="4"/>
  <c r="F42" i="4"/>
  <c r="F54" i="4"/>
  <c r="F62" i="4"/>
  <c r="N11" i="4"/>
  <c r="N63" i="4" s="1"/>
  <c r="N97" i="4" s="1"/>
  <c r="N105" i="4" s="1"/>
  <c r="O11" i="4"/>
  <c r="B13" i="4"/>
  <c r="B14" i="4"/>
  <c r="B15" i="4"/>
  <c r="B17" i="4"/>
  <c r="B18" i="4"/>
  <c r="B19" i="4"/>
  <c r="B20" i="4"/>
  <c r="B21" i="4"/>
  <c r="B22" i="4"/>
  <c r="B23" i="4"/>
  <c r="B25" i="4"/>
  <c r="E26" i="4"/>
  <c r="G26" i="4"/>
  <c r="H26" i="4"/>
  <c r="I26" i="4"/>
  <c r="I38" i="4"/>
  <c r="I42" i="4"/>
  <c r="I54" i="4"/>
  <c r="I62" i="4"/>
  <c r="K26" i="4"/>
  <c r="L26" i="4"/>
  <c r="M26" i="4"/>
  <c r="M38" i="4"/>
  <c r="M63" i="4" s="1"/>
  <c r="M97" i="4" s="1"/>
  <c r="M105" i="4" s="1"/>
  <c r="M42" i="4"/>
  <c r="M54" i="4"/>
  <c r="M62" i="4"/>
  <c r="M70" i="4"/>
  <c r="M77" i="4"/>
  <c r="M96" i="4"/>
  <c r="M104" i="4"/>
  <c r="N26" i="4"/>
  <c r="N38" i="4"/>
  <c r="N42" i="4"/>
  <c r="N54" i="4"/>
  <c r="N62" i="4"/>
  <c r="N70" i="4"/>
  <c r="N77" i="4"/>
  <c r="N96" i="4"/>
  <c r="N104" i="4"/>
  <c r="O26" i="4"/>
  <c r="O63" i="4" s="1"/>
  <c r="O97" i="4" s="1"/>
  <c r="O105" i="4" s="1"/>
  <c r="P26" i="4"/>
  <c r="P63" i="4" s="1"/>
  <c r="P97" i="4" s="1"/>
  <c r="P105" i="4" s="1"/>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L63" i="4" s="1"/>
  <c r="L97" i="4" s="1"/>
  <c r="L105" i="4" s="1"/>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G105" i="4" s="1"/>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AH719" i="3" s="1"/>
  <c r="BA669" i="3"/>
  <c r="BA670" i="3"/>
  <c r="G667" i="3"/>
  <c r="Z667" i="3"/>
  <c r="BA671" i="3"/>
  <c r="BA672" i="3"/>
  <c r="BA673" i="3"/>
  <c r="AH724" i="3" s="1"/>
  <c r="G675" i="3"/>
  <c r="Z675" i="3"/>
  <c r="BA679" i="3"/>
  <c r="BA680" i="3"/>
  <c r="BA681" i="3"/>
  <c r="BA682" i="3"/>
  <c r="BA683" i="3"/>
  <c r="BA684" i="3"/>
  <c r="BA685" i="3"/>
  <c r="BA686" i="3"/>
  <c r="G683" i="3"/>
  <c r="Z683" i="3"/>
  <c r="BA687" i="3"/>
  <c r="BA688" i="3"/>
  <c r="BA689" i="3"/>
  <c r="BA690" i="3"/>
  <c r="X718" i="3"/>
  <c r="X719" i="3"/>
  <c r="X720" i="3"/>
  <c r="X721" i="3"/>
  <c r="X722" i="3"/>
  <c r="AH722" i="3" s="1"/>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J63" i="13"/>
  <c r="J97" i="13" s="1"/>
  <c r="J105" i="13" s="1"/>
  <c r="J107" i="13" s="1"/>
  <c r="I12" i="4"/>
  <c r="G12" i="4"/>
  <c r="D6" i="11"/>
  <c r="B8" i="4"/>
  <c r="N187" i="27" s="1"/>
  <c r="D10" i="11"/>
  <c r="D61" i="11"/>
  <c r="D7" i="11"/>
  <c r="J12" i="4"/>
  <c r="O12" i="4"/>
  <c r="D25" i="11"/>
  <c r="B11" i="13"/>
  <c r="D12" i="4"/>
  <c r="D32" i="11"/>
  <c r="D15" i="11"/>
  <c r="D14" i="11"/>
  <c r="F12" i="4"/>
  <c r="D60" i="11"/>
  <c r="M12" i="4"/>
  <c r="D74" i="11"/>
  <c r="C9" i="11"/>
  <c r="C13" i="11" s="1"/>
  <c r="D58" i="11"/>
  <c r="D62" i="11"/>
  <c r="D90" i="11"/>
  <c r="D75" i="11"/>
  <c r="D28" i="11"/>
  <c r="D16" i="11"/>
  <c r="AD199" i="20"/>
  <c r="G63" i="4"/>
  <c r="G97" i="4"/>
  <c r="J63" i="4"/>
  <c r="D104" i="11"/>
  <c r="T63" i="4"/>
  <c r="T97" i="4" s="1"/>
  <c r="S96" i="4" l="1"/>
  <c r="E96" i="13" s="1"/>
  <c r="C54" i="13"/>
  <c r="F54" i="13"/>
  <c r="S54" i="4"/>
  <c r="E54" i="13" s="1"/>
  <c r="R54" i="4"/>
  <c r="D36" i="11"/>
  <c r="D34" i="11"/>
  <c r="AH721" i="3"/>
  <c r="AH726" i="3"/>
  <c r="AH720" i="3"/>
  <c r="AH718" i="3"/>
  <c r="AH723" i="3"/>
  <c r="AH725" i="3"/>
  <c r="AH728" i="3"/>
  <c r="J8" i="8"/>
  <c r="J40" i="8" s="1"/>
  <c r="Z809" i="3" s="1"/>
  <c r="G58" i="7"/>
  <c r="B104" i="4"/>
  <c r="D105" i="11"/>
  <c r="C96" i="13"/>
  <c r="E86" i="13"/>
  <c r="F86" i="13" s="1"/>
  <c r="F96" i="13"/>
  <c r="R96" i="4"/>
  <c r="D33" i="11"/>
  <c r="C38" i="13"/>
  <c r="B38" i="13"/>
  <c r="F38" i="13"/>
  <c r="F63" i="13" s="1"/>
  <c r="B39" i="11"/>
  <c r="D12" i="13"/>
  <c r="R104" i="4"/>
  <c r="B96" i="4"/>
  <c r="D86" i="11"/>
  <c r="B97" i="11"/>
  <c r="D94" i="11"/>
  <c r="D89" i="11"/>
  <c r="D87" i="11"/>
  <c r="R81" i="4"/>
  <c r="B82" i="11"/>
  <c r="D81" i="11"/>
  <c r="C82" i="11"/>
  <c r="B78" i="11"/>
  <c r="B81" i="13"/>
  <c r="C78" i="11"/>
  <c r="D78" i="11" s="1"/>
  <c r="C71" i="11"/>
  <c r="D71" i="11" s="1"/>
  <c r="D70" i="11"/>
  <c r="B63" i="11"/>
  <c r="B62" i="13"/>
  <c r="C63" i="11"/>
  <c r="D51" i="11"/>
  <c r="B54" i="13"/>
  <c r="D48" i="11"/>
  <c r="D47" i="11"/>
  <c r="B55" i="11"/>
  <c r="C55" i="11"/>
  <c r="D42" i="11"/>
  <c r="B43" i="11"/>
  <c r="S38" i="4"/>
  <c r="E38" i="13" s="1"/>
  <c r="S26" i="4"/>
  <c r="D23" i="11"/>
  <c r="R38" i="4"/>
  <c r="D38" i="11"/>
  <c r="C39" i="11"/>
  <c r="R26" i="4"/>
  <c r="F63" i="4"/>
  <c r="F97" i="4" s="1"/>
  <c r="F105" i="4" s="1"/>
  <c r="E63" i="4"/>
  <c r="E97" i="4" s="1"/>
  <c r="E105" i="4" s="1"/>
  <c r="D19" i="11"/>
  <c r="B26" i="13"/>
  <c r="D13" i="11"/>
  <c r="B12" i="4"/>
  <c r="B63" i="4"/>
  <c r="K53" i="7"/>
  <c r="I58" i="7"/>
  <c r="T105" i="4"/>
  <c r="H97" i="13"/>
  <c r="D100" i="11"/>
  <c r="H12" i="4"/>
  <c r="AB48" i="15"/>
  <c r="D9" i="11"/>
  <c r="C97" i="11"/>
  <c r="N12" i="4"/>
  <c r="C43" i="11"/>
  <c r="D43" i="11" s="1"/>
  <c r="D80" i="11"/>
  <c r="N186" i="27"/>
  <c r="N193" i="27" s="1"/>
  <c r="D73" i="11"/>
  <c r="B77" i="4"/>
  <c r="C27" i="11"/>
  <c r="D50" i="11"/>
  <c r="D66" i="11"/>
  <c r="K12" i="4"/>
  <c r="H63" i="13"/>
  <c r="C12" i="4"/>
  <c r="B12" i="13" s="1"/>
  <c r="Q12" i="4"/>
  <c r="Q30" i="21" a="1"/>
  <c r="Q30" i="21" s="1"/>
  <c r="C63" i="4"/>
  <c r="B63" i="13" s="1"/>
  <c r="AA29" i="7"/>
  <c r="R44" i="21"/>
  <c r="O29" i="7"/>
  <c r="AY1002" i="3"/>
  <c r="I1047"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O641" i="3"/>
  <c r="K29" i="7"/>
  <c r="S29" i="7"/>
  <c r="AG40" i="7"/>
  <c r="AG43" i="7" s="1"/>
  <c r="S40" i="7"/>
  <c r="S43" i="7" s="1"/>
  <c r="AK172" i="20"/>
  <c r="AP355" i="20"/>
  <c r="AQ355"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G40" i="8"/>
  <c r="I15" i="7"/>
  <c r="E26" i="21"/>
  <c r="E23" i="21"/>
  <c r="F23" i="21" s="1"/>
  <c r="G23" i="21" s="1"/>
  <c r="F97" i="13" l="1"/>
  <c r="F105" i="13" s="1"/>
  <c r="F107" i="13" s="1"/>
  <c r="C63" i="13"/>
  <c r="C97" i="13" s="1"/>
  <c r="C105" i="13" s="1"/>
  <c r="D82" i="11"/>
  <c r="D55" i="11"/>
  <c r="AJ610" i="20"/>
  <c r="G62" i="21"/>
  <c r="D39" i="11"/>
  <c r="B64" i="11"/>
  <c r="B98" i="11" s="1"/>
  <c r="B106" i="11" s="1"/>
  <c r="AS349" i="20"/>
  <c r="D97" i="11"/>
  <c r="D63" i="11"/>
  <c r="C64" i="11"/>
  <c r="D27" i="11"/>
  <c r="E26" i="13"/>
  <c r="S63" i="4"/>
  <c r="R63" i="4"/>
  <c r="R97" i="4" s="1"/>
  <c r="R105" i="4" s="1"/>
  <c r="C97" i="4"/>
  <c r="C105" i="4" s="1"/>
  <c r="AC455" i="3" s="1"/>
  <c r="H105" i="13"/>
  <c r="T107" i="4"/>
  <c r="H107" i="13" s="1"/>
  <c r="AD11" i="15" s="1"/>
  <c r="AD23" i="15" s="1"/>
  <c r="AD26" i="15" s="1"/>
  <c r="AD28" i="15" s="1"/>
  <c r="M53" i="7"/>
  <c r="K58" i="7"/>
  <c r="DX635" i="3"/>
  <c r="AY1004"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D64" i="11" l="1"/>
  <c r="AI11" i="15"/>
  <c r="C98" i="11"/>
  <c r="D98" i="11" s="1"/>
  <c r="E63" i="13"/>
  <c r="S97" i="4"/>
  <c r="B105" i="13"/>
  <c r="AG258" i="20"/>
  <c r="B105" i="4"/>
  <c r="AC454" i="3" s="1"/>
  <c r="F457" i="3" s="1"/>
  <c r="B97" i="13"/>
  <c r="B97" i="4"/>
  <c r="M58" i="7"/>
  <c r="O53" i="7"/>
  <c r="O28" i="21"/>
  <c r="P28" i="21" s="1" a="1"/>
  <c r="P28" i="21" s="1"/>
  <c r="R28" i="21" s="1"/>
  <c r="O24" i="21"/>
  <c r="P24" i="21" s="1" a="1"/>
  <c r="P24" i="21" s="1"/>
  <c r="R24" i="21" s="1"/>
  <c r="O26" i="21"/>
  <c r="P26" i="21" s="1" a="1"/>
  <c r="P26" i="21" s="1"/>
  <c r="R26" i="21" s="1"/>
  <c r="O27" i="21"/>
  <c r="P27" i="21" s="1" a="1"/>
  <c r="P27" i="21" s="1"/>
  <c r="R27" i="21" s="1"/>
  <c r="O30" i="21"/>
  <c r="P30" i="21" s="1" a="1"/>
  <c r="P30" i="21" s="1"/>
  <c r="R30" i="21" s="1"/>
  <c r="O25" i="21"/>
  <c r="P25" i="21" s="1" a="1"/>
  <c r="P25" i="21" s="1"/>
  <c r="R25" i="21" s="1"/>
  <c r="O29" i="21"/>
  <c r="P29" i="21" s="1" a="1"/>
  <c r="P29" i="21" s="1"/>
  <c r="R29"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C106" i="11" l="1"/>
  <c r="D106" i="11" s="1"/>
  <c r="S105" i="4"/>
  <c r="E97" i="13"/>
  <c r="AB255" i="20"/>
  <c r="AG257" i="20" s="1"/>
  <c r="AG259" i="20" s="1"/>
  <c r="AK262" i="20" s="1"/>
  <c r="T801" i="20" s="1"/>
  <c r="AF801" i="20" s="1"/>
  <c r="AB47" i="15"/>
  <c r="AB49" i="15" s="1"/>
  <c r="AB54" i="15" s="1"/>
  <c r="AB55" i="15" s="1"/>
  <c r="N183" i="27"/>
  <c r="N184" i="27" s="1"/>
  <c r="O58" i="7"/>
  <c r="Q53" i="7"/>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1040" i="3"/>
  <c r="AJ1048" i="3"/>
  <c r="AP542" i="20" s="1"/>
  <c r="N194" i="27"/>
  <c r="E105" i="13"/>
  <c r="S107" i="4"/>
  <c r="Q58" i="7"/>
  <c r="S53" i="7"/>
  <c r="AP539" i="20"/>
  <c r="K4" i="7"/>
  <c r="M4" i="7" s="1"/>
  <c r="E45" i="7"/>
  <c r="E48" i="7" s="1"/>
  <c r="AJ1052" i="3"/>
  <c r="G45" i="7"/>
  <c r="G49" i="7"/>
  <c r="K6" i="7"/>
  <c r="I7" i="7"/>
  <c r="I11" i="7" s="1"/>
  <c r="I37" i="7" s="1"/>
  <c r="G24" i="21"/>
  <c r="F27" i="21"/>
  <c r="G27" i="21"/>
  <c r="O22" i="7"/>
  <c r="O35" i="7" s="1"/>
  <c r="Q15" i="7"/>
  <c r="O9" i="7"/>
  <c r="Q8" i="7"/>
  <c r="AP543" i="20" l="1"/>
  <c r="AC456" i="3"/>
  <c r="AF540" i="20"/>
  <c r="E107" i="13"/>
  <c r="S58" i="7"/>
  <c r="U53" i="7"/>
  <c r="T24" i="15"/>
  <c r="AP546" i="20"/>
  <c r="AP545" i="20" s="1"/>
  <c r="AP548" i="20" s="1"/>
  <c r="AF541"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F542" i="20" l="1"/>
  <c r="AK548" i="20" s="1"/>
  <c r="T807" i="20" s="1"/>
  <c r="AF807" i="20" s="1"/>
  <c r="T11" i="15"/>
  <c r="T23" i="15" s="1"/>
  <c r="T26" i="15" s="1"/>
  <c r="T28" i="15" s="1"/>
  <c r="Y11" i="15"/>
  <c r="Y23" i="15" s="1"/>
  <c r="Y26" i="15" s="1"/>
  <c r="Y28" i="15" s="1"/>
  <c r="U58" i="7"/>
  <c r="W53" i="7"/>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Y64" i="15" l="1"/>
  <c r="Y68" i="15" s="1"/>
  <c r="AD38" i="15"/>
  <c r="AD40" i="15" s="1"/>
  <c r="T29" i="15"/>
  <c r="Y38" i="15"/>
  <c r="Y40" i="15" s="1"/>
  <c r="W58" i="7"/>
  <c r="Y53"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41" i="15" l="1"/>
  <c r="AB56" i="15" s="1"/>
  <c r="M26" i="3" s="1"/>
  <c r="P204" i="3" s="1"/>
  <c r="Y58" i="7"/>
  <c r="AA53" i="7"/>
  <c r="U4" i="7"/>
  <c r="S5" i="7"/>
  <c r="M48" i="7"/>
  <c r="M47" i="7"/>
  <c r="M60" i="7"/>
  <c r="O45" i="7"/>
  <c r="O49" i="7"/>
  <c r="K66" i="7"/>
  <c r="K67" i="7"/>
  <c r="K62" i="7"/>
  <c r="Q7" i="7"/>
  <c r="Q11" i="7" s="1"/>
  <c r="Q37" i="7" s="1"/>
  <c r="S6" i="7"/>
  <c r="I70" i="7"/>
  <c r="I72" i="7" s="1"/>
  <c r="W22" i="7"/>
  <c r="W35" i="7" s="1"/>
  <c r="Y15" i="7"/>
  <c r="W9" i="7"/>
  <c r="Y8" i="7"/>
  <c r="AB57" i="15" l="1"/>
  <c r="AB59" i="15" s="1"/>
  <c r="AB76" i="15" s="1"/>
  <c r="AB77" i="15" s="1"/>
  <c r="AB78" i="15" s="1"/>
  <c r="AA58" i="7"/>
  <c r="AC53" i="7"/>
  <c r="U5" i="7"/>
  <c r="W4" i="7"/>
  <c r="Q49" i="7"/>
  <c r="Q45" i="7"/>
  <c r="M62" i="7"/>
  <c r="M67" i="7"/>
  <c r="M66" i="7"/>
  <c r="O47" i="7"/>
  <c r="O48" i="7"/>
  <c r="O60" i="7"/>
  <c r="K70" i="7"/>
  <c r="K72" i="7" s="1"/>
  <c r="S7" i="7"/>
  <c r="S11" i="7" s="1"/>
  <c r="S37" i="7" s="1"/>
  <c r="U6" i="7"/>
  <c r="Y22" i="7"/>
  <c r="Y35" i="7" s="1"/>
  <c r="AA15" i="7"/>
  <c r="Y9" i="7"/>
  <c r="AA8" i="7"/>
  <c r="AC58" i="7" l="1"/>
  <c r="AE53"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E58" i="7" l="1"/>
  <c r="AG53" i="7"/>
  <c r="AG58" i="7" s="1"/>
  <c r="P205"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 r="AM56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<sst xmlns="http://schemas.openxmlformats.org/spreadsheetml/2006/main" count="5308" uniqueCount="2792">
  <si>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</si>
  <si>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</si>
  <si>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</si>
  <si>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</si>
  <si>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</si>
  <si>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</si>
  <si>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</si>
  <si>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</si>
  <si>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</si>
  <si>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</si>
  <si>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</si>
  <si>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</si>
  <si>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</si>
  <si>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</si>
  <si>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</si>
  <si>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</si>
  <si>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</si>
  <si>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</si>
  <si>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</si>
  <si>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</si>
  <si>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</si>
  <si>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</si>
  <si>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</si>
  <si>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</si>
  <si>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</si>
  <si>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</si>
  <si>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</si>
  <si>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</si>
  <si>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</si>
  <si>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</si>
  <si>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</si>
  <si>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</si>
  <si>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</si>
  <si>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</si>
  <si>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</si>
  <si>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</si>
  <si>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</si>
  <si>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</si>
  <si>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</si>
  <si>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</si>
  <si>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</si>
  <si>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</si>
  <si>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</si>
  <si>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</si>
  <si>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</si>
  <si>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</si>
  <si>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</si>
  <si>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</si>
  <si>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</si>
  <si>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</si>
  <si>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</si>
  <si>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</si>
  <si>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</si>
  <si>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</si>
  <si>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</si>
  <si>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</si>
  <si>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</si>
  <si>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</si>
  <si>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</si>
  <si>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</si>
  <si>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</si>
  <si>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</si>
  <si>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</si>
  <si>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</si>
  <si>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</si>
  <si>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</si>
  <si>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</si>
  <si>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</si>
  <si>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</si>
  <si>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</si>
  <si>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</si>
  <si>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</si>
  <si>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</si>
  <si>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</si>
  <si>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</si>
  <si>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</si>
  <si>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</si>
  <si>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</si>
  <si>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</si>
  <si>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</si>
  <si>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</si>
  <si>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</si>
  <si>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</si>
  <si>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</si>
  <si>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</si>
  <si>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</si>
  <si>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</si>
  <si>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</si>
  <si>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</si>
  <si>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</si>
  <si>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</si>
  <si>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</si>
  <si>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</si>
  <si>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</si>
  <si>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</si>
  <si>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</si>
  <si>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</si>
  <si>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</si>
  <si>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</si>
  <si>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</si>
  <si>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</si>
  <si>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</si>
  <si>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</si>
  <si>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</si>
  <si>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</si>
  <si>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</si>
  <si>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</si>
  <si>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</si>
  <si>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</si>
  <si>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</si>
  <si>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</si>
  <si>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</si>
  <si>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</si>
  <si>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</si>
  <si>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</si>
  <si>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</si>
  <si>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</si>
  <si>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</si>
  <si>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</si>
  <si>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</si>
  <si>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</si>
  <si>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</si>
  <si>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</si>
  <si>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</si>
  <si>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</si>
  <si>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</si>
  <si>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</si>
  <si>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</si>
  <si>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</si>
  <si>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</si>
  <si>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</si>
  <si>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</si>
  <si>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</si>
  <si>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</si>
  <si>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</si>
  <si>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</si>
  <si>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</si>
  <si>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</si>
  <si>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</si>
  <si>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</si>
  <si>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</si>
  <si>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</si>
  <si>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</si>
  <si>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</si>
  <si>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</si>
  <si>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</si>
  <si>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</si>
  <si>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</si>
  <si>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</si>
  <si>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</si>
  <si>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</si>
  <si>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</si>
  <si>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</si>
  <si>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</si>
  <si>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</si>
  <si>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</si>
  <si>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</si>
  <si>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</si>
  <si>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</si>
  <si>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</si>
  <si>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</si>
  <si>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</si>
  <si>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</si>
  <si>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</si>
  <si>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</si>
  <si>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</si>
  <si>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</si>
  <si>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</si>
  <si>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</si>
  <si>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</si>
  <si>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</si>
  <si>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</si>
  <si>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</si>
  <si>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</si>
  <si>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</si>
  <si>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</si>
  <si>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</si>
  <si>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</si>
  <si>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</si>
  <si>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</si>
  <si>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</si>
  <si>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</si>
  <si>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</si>
  <si>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</si>
  <si>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</si>
  <si>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</si>
  <si>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</si>
  <si>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</si>
  <si>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</si>
  <si>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</si>
  <si>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</si>
  <si>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</si>
  <si>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</si>
  <si>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</si>
  <si>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</si>
  <si>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</si>
  <si>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</si>
  <si>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</si>
  <si>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</si>
  <si>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</si>
  <si>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</si>
  <si>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</si>
  <si>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</si>
  <si>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</si>
  <si>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</si>
  <si>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</si>
  <si>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</si>
  <si>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</si>
  <si>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</si>
  <si>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</si>
  <si>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</si>
  <si>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</si>
  <si>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</si>
  <si>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</si>
  <si>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</si>
  <si>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</si>
  <si>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</si>
  <si>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</si>
  <si>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</si>
  <si>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</si>
  <si>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</si>
  <si>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</si>
  <si>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</si>
  <si>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</si>
  <si>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</si>
  <si>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</si>
  <si>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</si>
  <si>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</si>
  <si>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</si>
  <si>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</si>
  <si>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</si>
  <si>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</si>
  <si>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</si>
  <si>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</si>
  <si>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</si>
  <si>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</si>
  <si>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</si>
  <si>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</si>
  <si>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</si>
  <si>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</si>
  <si>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</si>
  <si>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</si>
  <si>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</si>
  <si>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</si>
  <si>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</si>
  <si>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</si>
  <si>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</si>
  <si>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</si>
  <si>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</si>
  <si>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</si>
  <si>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</si>
  <si>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</si>
  <si>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</si>
  <si>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</si>
  <si>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</si>
  <si>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</si>
  <si>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</si>
  <si>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</si>
  <si>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</si>
  <si>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</si>
  <si>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</si>
  <si>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</si>
  <si>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</si>
  <si>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</si>
  <si>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</si>
  <si>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</si>
  <si>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</si>
  <si>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</si>
  <si>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</si>
  <si>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</si>
  <si>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</si>
  <si>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</si>
  <si>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</si>
  <si>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</si>
  <si>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</si>
  <si>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</si>
  <si>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</si>
  <si>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</si>
  <si>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</si>
  <si>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</si>
  <si>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</si>
  <si>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</si>
  <si>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</si>
  <si>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</si>
  <si>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</si>
  <si>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</si>
  <si>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</si>
  <si>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</si>
  <si>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</si>
  <si>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</si>
  <si>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</si>
  <si>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</si>
  <si>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</si>
  <si>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</si>
  <si>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</si>
  <si>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</si>
  <si>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</si>
  <si>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</si>
  <si>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</si>
  <si>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</si>
  <si>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</si>
  <si>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</si>
  <si>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</si>
  <si>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</si>
  <si>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</si>
  <si>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</si>
  <si>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</si>
  <si>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</si>
  <si>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</si>
  <si>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</si>
  <si>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</si>
  <si>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</si>
  <si>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</si>
  <si>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</si>
  <si>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</si>
  <si>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</si>
  <si>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</si>
  <si>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</si>
  <si>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</si>
  <si>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</si>
  <si>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</si>
  <si>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</si>
  <si>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</si>
  <si>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</si>
  <si>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</si>
  <si>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</si>
  <si>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</si>
  <si>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</si>
  <si>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</si>
  <si>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</si>
  <si>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</si>
  <si>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</si>
  <si>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</si>
  <si>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</si>
  <si>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</si>
  <si>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</si>
  <si>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</si>
  <si>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</si>
  <si>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</si>
  <si>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</si>
  <si>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</si>
  <si>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</si>
  <si>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</si>
  <si>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</si>
  <si>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</si>
  <si>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</si>
  <si>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</si>
  <si>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</si>
  <si>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</si>
  <si>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</si>
  <si>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</si>
  <si>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</si>
  <si>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</si>
  <si>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</si>
  <si>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</si>
  <si>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</si>
  <si>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</si>
  <si>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</si>
  <si>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</si>
  <si>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</si>
  <si>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</si>
  <si>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</si>
  <si>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</si>
  <si>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</si>
  <si>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</si>
  <si>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</si>
  <si>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</si>
  <si>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</si>
  <si>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</si>
  <si>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</si>
  <si>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</si>
  <si>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</si>
  <si>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</si>
  <si>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</si>
  <si>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</si>
  <si>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</si>
  <si>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</si>
  <si>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</si>
  <si>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</si>
  <si>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</si>
  <si>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</si>
  <si>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</si>
  <si>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</si>
  <si>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</si>
  <si>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</si>
  <si>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</si>
  <si>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</si>
  <si>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</si>
  <si>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</si>
  <si>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</si>
  <si>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</si>
  <si>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</si>
  <si>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</si>
  <si>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</si>
  <si>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</si>
  <si>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</si>
  <si>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</si>
  <si>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</si>
  <si>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</si>
  <si>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</si>
  <si>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</si>
  <si>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</si>
  <si>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</si>
  <si>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</si>
  <si>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</si>
  <si>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</si>
  <si>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</si>
  <si>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</si>
  <si>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</si>
  <si>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</si>
  <si>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</si>
  <si>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</si>
  <si>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</si>
  <si>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</si>
  <si>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</si>
  <si>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</si>
  <si>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</si>
  <si>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</si>
  <si>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</si>
  <si>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</si>
  <si>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</si>
  <si>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</si>
  <si>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</si>
  <si>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</si>
  <si>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</si>
  <si>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</si>
  <si>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</si>
  <si>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</si>
  <si>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</si>
  <si>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</si>
  <si>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</si>
  <si>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</si>
  <si>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</si>
  <si>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</si>
  <si>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</si>
  <si>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</si>
  <si>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</si>
  <si>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</si>
  <si>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</si>
  <si>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</si>
  <si>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</si>
  <si>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</si>
  <si>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</si>
  <si>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</si>
  <si>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</si>
  <si>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</si>
  <si>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</si>
  <si>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</si>
  <si>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</si>
  <si>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</si>
  <si>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</si>
  <si>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</si>
  <si>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</si>
  <si>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</si>
  <si>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</si>
  <si>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</si>
  <si>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</si>
  <si>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</si>
  <si>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</si>
  <si>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</si>
  <si>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</si>
  <si>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</si>
  <si>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</si>
  <si>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</si>
  <si>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</si>
  <si>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</si>
  <si>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</si>
  <si>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</si>
  <si>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</si>
  <si>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</si>
  <si>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</si>
  <si>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</si>
  <si>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</si>
  <si>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</si>
  <si>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</si>
  <si>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</si>
  <si>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</si>
  <si>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</si>
  <si>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</si>
  <si>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</si>
  <si>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</si>
  <si>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</si>
  <si>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</si>
  <si>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</si>
  <si>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</si>
  <si>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</si>
  <si>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</si>
  <si>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</si>
  <si>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</si>
  <si>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</si>
  <si>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</si>
  <si>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</si>
  <si>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</si>
  <si>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</si>
  <si>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</si>
  <si>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</si>
  <si>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</si>
  <si>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</si>
  <si>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</si>
  <si>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</si>
  <si>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</si>
  <si>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</si>
  <si>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</si>
  <si>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</si>
  <si>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</si>
  <si>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</si>
  <si>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</si>
  <si>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</si>
  <si>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</si>
  <si>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</si>
  <si>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</si>
  <si>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</si>
  <si>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</si>
  <si>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</si>
  <si>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</si>
  <si>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</si>
  <si>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</si>
  <si>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</si>
  <si>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</si>
  <si>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</si>
  <si>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</si>
  <si>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</si>
  <si>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</si>
  <si>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</si>
  <si>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</si>
  <si>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</si>
  <si>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</si>
  <si>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</si>
  <si>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</si>
  <si>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</si>
  <si>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</si>
  <si>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</si>
  <si>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</si>
  <si>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</si>
  <si>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</si>
  <si>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</si>
  <si>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</si>
  <si>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</si>
  <si>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</si>
  <si>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</si>
  <si>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</si>
  <si>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</si>
  <si>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</si>
  <si>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</si>
  <si>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</si>
  <si>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</si>
  <si>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</si>
  <si>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</si>
  <si>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</si>
  <si>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</si>
  <si>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</si>
  <si>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</si>
  <si>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</si>
  <si>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</si>
  <si>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</si>
  <si>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</si>
  <si>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</si>
  <si>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</si>
  <si>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</si>
  <si>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</si>
  <si>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</si>
  <si>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</si>
  <si>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</si>
  <si>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</si>
  <si>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</si>
  <si>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</si>
  <si>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</si>
  <si>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</si>
  <si>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</si>
  <si>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</si>
  <si>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</si>
  <si>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</si>
  <si>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</si>
  <si>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</si>
  <si>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</si>
  <si>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</si>
  <si>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</si>
  <si>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</si>
  <si>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</si>
  <si>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</si>
  <si>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</si>
  <si>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</si>
  <si>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</si>
  <si>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</si>
  <si>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</si>
  <si>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</si>
  <si>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</si>
  <si>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</si>
  <si>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</si>
  <si>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</si>
  <si>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</si>
  <si>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</si>
  <si>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</si>
  <si>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</si>
  <si>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</si>
  <si>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</si>
  <si>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</si>
  <si>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</si>
  <si>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</si>
  <si>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</si>
  <si>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</si>
  <si>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</si>
  <si>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</si>
  <si>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</si>
  <si>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</si>
  <si>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</si>
  <si>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</si>
  <si>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</si>
  <si>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</si>
  <si>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</si>
  <si>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</si>
  <si>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</si>
  <si>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</si>
  <si>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</si>
  <si>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</si>
  <si>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</si>
  <si>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</si>
  <si>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</si>
  <si>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</si>
  <si>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</si>
  <si>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</si>
  <si>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</si>
  <si>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</si>
  <si>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</si>
  <si>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</si>
  <si>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</si>
  <si>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</si>
  <si>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</si>
  <si>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</si>
  <si>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</si>
  <si>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</si>
  <si>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</si>
  <si>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</si>
  <si>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</si>
  <si>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</si>
  <si>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</si>
  <si>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</si>
  <si>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</si>
  <si>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</si>
  <si>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</si>
  <si>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</si>
  <si>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</si>
  <si>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</si>
  <si>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</si>
  <si>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</si>
  <si>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</si>
  <si>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</si>
  <si>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</si>
  <si>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</si>
  <si>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</si>
  <si>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</si>
  <si>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</si>
  <si>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</si>
  <si>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</si>
  <si>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</si>
  <si>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</si>
  <si>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</si>
  <si>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</si>
  <si>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</si>
  <si>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</si>
  <si>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</si>
  <si>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</si>
  <si>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</si>
  <si>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</si>
  <si>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</si>
  <si>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</si>
  <si>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</si>
  <si>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</si>
  <si>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</si>
  <si>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</si>
  <si>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</si>
  <si>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</si>
  <si>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</si>
  <si>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</si>
  <si>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</si>
  <si>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</si>
  <si>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</si>
  <si>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</si>
  <si>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</si>
  <si>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</si>
  <si>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</si>
  <si>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</si>
  <si>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</si>
  <si>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</si>
  <si>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</si>
  <si>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</si>
  <si>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</si>
  <si>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</si>
  <si>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</si>
  <si>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</si>
  <si>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</si>
  <si>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</si>
  <si>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</si>
  <si>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</si>
  <si>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</si>
  <si>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</si>
  <si>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</si>
  <si>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</si>
  <si>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</si>
  <si>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</si>
  <si>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</si>
  <si>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</si>
  <si>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</si>
  <si>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</si>
  <si>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</si>
  <si>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</si>
  <si>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</si>
  <si>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</si>
  <si>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</si>
  <si>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</si>
  <si>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</si>
  <si>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</si>
  <si>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</si>
  <si>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</si>
  <si>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</si>
  <si>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</si>
  <si>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</si>
  <si>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</si>
  <si>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</si>
  <si>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</si>
  <si>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</si>
  <si>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</si>
  <si>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</si>
  <si>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</si>
  <si>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</si>
  <si>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</si>
  <si>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</si>
  <si>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</si>
  <si>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</si>
  <si>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</si>
  <si>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</si>
  <si>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</si>
  <si>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</si>
  <si>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</si>
  <si>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</si>
  <si>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</si>
  <si>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</si>
  <si>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</si>
  <si>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</si>
  <si>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</si>
  <si>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</si>
  <si>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</si>
  <si>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</si>
  <si>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</si>
  <si>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</si>
  <si>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</si>
  <si>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</si>
  <si>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</si>
  <si>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</si>
  <si>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</si>
  <si>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</si>
  <si>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</si>
  <si>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</si>
  <si>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</si>
  <si>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</si>
  <si>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</si>
  <si>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</si>
  <si>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</si>
  <si>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</si>
  <si>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</si>
  <si>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</si>
  <si>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</si>
  <si>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</si>
  <si>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</si>
  <si>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</si>
  <si>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</si>
  <si>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</si>
  <si>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</si>
  <si>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</si>
  <si>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</si>
  <si>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</si>
  <si>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</si>
  <si>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</si>
  <si>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</si>
  <si>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</si>
  <si>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</si>
  <si>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</si>
  <si>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</si>
  <si>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</si>
  <si>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</si>
  <si>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</si>
  <si>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</si>
  <si>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</si>
  <si>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</si>
  <si>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</si>
  <si>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</si>
  <si>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</si>
  <si>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</si>
  <si>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</si>
  <si>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</si>
  <si>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</si>
  <si>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</si>
  <si>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</si>
  <si>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</si>
  <si>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</si>
  <si>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</si>
  <si>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</si>
  <si>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</si>
  <si>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</si>
  <si>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</si>
  <si>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</si>
  <si>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</si>
  <si>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</si>
  <si>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</si>
  <si>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</si>
  <si>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</si>
  <si>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</si>
  <si>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</si>
  <si>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</si>
  <si>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</si>
  <si>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</si>
  <si>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</si>
  <si>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</si>
  <si>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</si>
  <si>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</si>
  <si>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</si>
  <si>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</si>
  <si>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</si>
  <si>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</si>
  <si>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</si>
  <si>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</si>
  <si>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</si>
  <si>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</si>
  <si>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</si>
  <si>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</si>
  <si>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</si>
  <si>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</si>
  <si>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</si>
  <si>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</si>
  <si>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</si>
  <si>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</si>
  <si>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</si>
  <si>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</si>
  <si>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</si>
  <si>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</si>
  <si>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</si>
  <si>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</si>
  <si>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</si>
  <si>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</si>
  <si>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</si>
  <si>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</si>
  <si>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</si>
  <si>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</si>
  <si>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</si>
  <si>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</si>
  <si>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</si>
  <si>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</si>
  <si>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</si>
  <si>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</si>
  <si>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</si>
  <si>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</si>
  <si>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</si>
  <si>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</si>
  <si>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</si>
  <si>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</si>
  <si>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</si>
  <si>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</si>
  <si>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</si>
  <si>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</si>
  <si>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</si>
  <si>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</si>
  <si>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</si>
  <si>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</si>
  <si>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</si>
  <si>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</si>
  <si>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</si>
  <si>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</si>
  <si>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</si>
  <si>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</si>
  <si>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</si>
  <si>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</si>
  <si>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</si>
  <si>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</si>
  <si>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</si>
  <si>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</si>
  <si>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</si>
  <si>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</si>
  <si>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</si>
  <si>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</si>
  <si>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</si>
  <si>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</si>
  <si>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</si>
  <si>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</si>
  <si>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</si>
  <si>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</si>
  <si>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</si>
  <si>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</si>
  <si>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</si>
  <si>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</si>
  <si>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</si>
  <si>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</si>
  <si>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</si>
  <si>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</si>
  <si>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</si>
  <si>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</si>
  <si>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</si>
  <si>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</si>
  <si>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</si>
  <si>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</si>
  <si>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</si>
  <si>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</si>
  <si>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</si>
  <si>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</si>
  <si>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</si>
  <si>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</si>
  <si>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</si>
  <si>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</si>
  <si>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</si>
  <si>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</si>
  <si>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</si>
  <si>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</si>
  <si>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</si>
  <si>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</si>
  <si>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</si>
  <si>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</si>
  <si>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</si>
  <si>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</si>
  <si>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</si>
  <si>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</si>
  <si>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</si>
  <si>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</si>
  <si>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</si>
  <si>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</si>
  <si>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</si>
  <si>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</si>
  <si>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</si>
  <si>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</si>
  <si>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</si>
  <si>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</si>
  <si>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</si>
  <si>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</si>
  <si>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</si>
  <si>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</si>
  <si>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</si>
  <si>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</si>
  <si>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</si>
  <si>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</si>
  <si>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</si>
  <si>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</si>
  <si>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</si>
  <si>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</si>
  <si>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</si>
  <si>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</si>
  <si>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</si>
  <si>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</si>
  <si>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</si>
  <si>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</si>
  <si>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</si>
  <si>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</si>
  <si>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</si>
  <si>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</si>
  <si>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</si>
  <si>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</si>
  <si>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</si>
  <si>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</si>
  <si>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</si>
  <si>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</si>
  <si>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</si>
  <si>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</si>
  <si>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</si>
  <si>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</si>
  <si>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</si>
  <si>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</si>
  <si>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</si>
  <si>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</si>
  <si>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</si>
  <si>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</si>
  <si>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</si>
  <si>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</si>
  <si>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</si>
  <si>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</si>
  <si>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</si>
  <si>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</si>
  <si>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</si>
  <si>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</si>
  <si>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</si>
  <si>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</si>
  <si>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</si>
  <si>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</si>
  <si>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</si>
  <si>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</si>
  <si>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</si>
  <si>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</si>
  <si>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</si>
  <si>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</si>
  <si>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</si>
  <si>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</si>
  <si>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</si>
  <si>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</si>
  <si>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</si>
  <si>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</si>
  <si>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</si>
  <si>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</si>
  <si>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</si>
  <si>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</si>
  <si>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</si>
  <si>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</si>
  <si>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</si>
  <si>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</si>
  <si>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</si>
  <si>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</si>
  <si>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</si>
  <si>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</si>
  <si>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</si>
  <si>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</si>
  <si>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</si>
  <si>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</si>
  <si>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</si>
  <si>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</si>
  <si>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</si>
  <si>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</si>
  <si>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</si>
  <si>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</si>
  <si>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</si>
  <si>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</si>
  <si>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</si>
  <si>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</si>
  <si>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</si>
  <si>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</si>
  <si>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</si>
  <si>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</si>
  <si>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</si>
  <si>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</si>
  <si>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</si>
  <si>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</si>
  <si>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</si>
  <si>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</si>
  <si>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</si>
  <si>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</si>
  <si>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</si>
  <si>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</si>
  <si>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</si>
  <si>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</si>
  <si>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</si>
  <si>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</si>
  <si>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</si>
  <si>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</si>
  <si>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</si>
  <si>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</si>
  <si>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</si>
  <si>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</si>
  <si>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</si>
  <si>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</si>
  <si>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</si>
  <si>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</si>
  <si>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</si>
  <si>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</si>
  <si>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</si>
  <si>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</si>
  <si>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</si>
  <si>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</si>
  <si>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</si>
  <si>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</si>
  <si>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</si>
  <si>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</si>
  <si>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</si>
  <si>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</si>
  <si>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</si>
  <si>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</si>
  <si>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</si>
  <si>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</si>
  <si>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</si>
  <si>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</si>
  <si>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</si>
  <si>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</si>
  <si>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</si>
  <si>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</si>
  <si>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</si>
  <si>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</si>
  <si>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</si>
  <si>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</si>
  <si>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</si>
  <si>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</si>
  <si>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</si>
  <si>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</si>
  <si>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</si>
  <si>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</si>
  <si>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</si>
  <si>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</si>
  <si>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</si>
  <si>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</si>
  <si>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</si>
  <si>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</si>
  <si>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</si>
  <si>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</si>
  <si>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</si>
  <si>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</si>
  <si>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</si>
  <si>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</si>
  <si>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</si>
  <si>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</si>
  <si>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</si>
  <si>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</si>
  <si>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</si>
  <si>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</si>
  <si>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</si>
  <si>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</si>
  <si>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</si>
  <si>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</si>
  <si>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</si>
  <si>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</si>
  <si>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</si>
  <si>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</si>
  <si>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</si>
  <si>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</si>
  <si>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</si>
  <si>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</si>
  <si>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</si>
  <si>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</si>
  <si>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</si>
  <si>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</si>
  <si>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</si>
  <si>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</si>
  <si>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</si>
  <si>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</si>
  <si>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</si>
  <si>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</si>
  <si>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</si>
  <si>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</si>
  <si>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</si>
  <si>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</si>
  <si>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</si>
  <si>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</si>
  <si>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</si>
  <si>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</si>
  <si>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</si>
  <si>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</si>
  <si>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</si>
  <si>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</si>
  <si>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</si>
  <si>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</si>
  <si>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</si>
  <si>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</si>
  <si>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</si>
  <si>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</si>
  <si>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</si>
  <si>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</si>
  <si>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</si>
  <si>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</si>
  <si>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</si>
  <si>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</si>
  <si>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</si>
  <si>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</si>
  <si>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</si>
  <si>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</si>
  <si>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</si>
  <si>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</si>
  <si>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</si>
  <si>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</si>
  <si>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</si>
  <si>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</si>
  <si>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</si>
  <si>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</si>
  <si>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</si>
  <si>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</si>
  <si>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</si>
  <si>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</si>
  <si>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</si>
  <si>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</si>
  <si>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</si>
  <si>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</si>
  <si>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</si>
  <si>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</si>
  <si>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</si>
  <si>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</si>
  <si>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</si>
  <si>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</si>
  <si>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</si>
  <si>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</si>
  <si>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</si>
  <si>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</si>
  <si>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</si>
  <si>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</si>
  <si>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</si>
  <si>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</si>
  <si>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</si>
  <si>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</si>
  <si>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</si>
  <si>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</si>
  <si>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</si>
  <si>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</si>
  <si>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</si>
  <si>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</si>
  <si>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</si>
  <si>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</si>
  <si>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</si>
  <si>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</si>
  <si>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</si>
  <si>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</si>
  <si>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</si>
  <si>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</si>
  <si>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</si>
  <si>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</si>
  <si>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</si>
  <si>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</si>
  <si>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</si>
  <si>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</si>
  <si>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</si>
  <si>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</si>
  <si>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</si>
  <si>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</si>
  <si>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</si>
  <si>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</si>
  <si>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</si>
  <si>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</si>
  <si>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</si>
  <si>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</si>
  <si>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</si>
  <si>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</si>
  <si>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</si>
  <si>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</si>
  <si>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</si>
  <si>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</si>
  <si>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</si>
  <si>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</si>
  <si>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</si>
  <si>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</si>
  <si>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</si>
  <si>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</si>
  <si>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</si>
  <si>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</si>
  <si>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</si>
  <si>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</si>
  <si>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</si>
  <si>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</si>
  <si>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</si>
  <si>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</si>
  <si>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</si>
  <si>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</si>
  <si>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</si>
  <si>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</si>
  <si>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</si>
  <si>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</si>
  <si>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</si>
  <si>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</si>
  <si>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</si>
  <si>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</si>
  <si>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</si>
  <si>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</si>
  <si>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</si>
  <si>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</si>
  <si>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</si>
  <si>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</si>
  <si>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</si>
  <si>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</si>
  <si>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</si>
  <si>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</si>
  <si>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</si>
  <si>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</si>
  <si>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</si>
  <si>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</si>
  <si>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</si>
  <si>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</si>
  <si>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</si>
  <si>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</si>
  <si>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</si>
  <si>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</si>
  <si>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</si>
  <si>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</si>
  <si>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</si>
  <si>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</si>
  <si>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</si>
  <si>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</si>
  <si>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</si>
  <si>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</si>
  <si>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</si>
  <si>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</si>
  <si>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</si>
  <si>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</si>
  <si>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</si>
  <si>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</si>
  <si>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</si>
  <si>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</si>
  <si>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</si>
  <si>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</si>
  <si>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</si>
  <si>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</si>
  <si>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</si>
  <si>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</si>
  <si>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</si>
  <si>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</si>
  <si>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</si>
  <si>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</si>
  <si>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</si>
  <si>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</si>
  <si>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</si>
  <si>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</si>
  <si>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</si>
  <si>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</si>
  <si>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</si>
  <si>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</si>
  <si>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</si>
  <si>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</si>
  <si>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</si>
  <si>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</si>
  <si>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</si>
  <si>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</si>
  <si>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</si>
  <si>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</si>
  <si>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</si>
  <si>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</si>
  <si>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</si>
  <si>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</si>
  <si>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</si>
  <si>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</si>
  <si>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</si>
  <si>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</si>
  <si>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</si>
  <si>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</si>
  <si>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</si>
  <si>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</si>
  <si>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</si>
  <si>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</si>
  <si>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</si>
  <si>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</si>
  <si>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</si>
  <si>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</si>
  <si>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</si>
  <si>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</si>
  <si>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</si>
  <si>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</si>
  <si>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</si>
  <si>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</si>
  <si>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</si>
  <si>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</si>
  <si>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</si>
  <si>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</si>
  <si>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</si>
  <si>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</si>
  <si>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</si>
  <si>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</si>
  <si>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</si>
  <si>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</si>
  <si>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</si>
  <si>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</si>
  <si>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</si>
  <si>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</si>
  <si>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</si>
  <si>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</si>
  <si>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</si>
  <si>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</si>
  <si>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</si>
  <si>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</si>
  <si>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</si>
  <si>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</si>
  <si>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</si>
  <si>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</si>
  <si>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</si>
  <si>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</si>
  <si>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</si>
  <si>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</si>
  <si>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</si>
  <si>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</si>
  <si>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</si>
  <si>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</si>
  <si>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</si>
  <si>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</si>
  <si>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</si>
  <si>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</si>
  <si>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</si>
  <si>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</si>
  <si>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</si>
  <si>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</si>
  <si>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</si>
  <si>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</si>
  <si>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</si>
  <si>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</si>
  <si>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</si>
  <si>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</si>
  <si>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</si>
  <si>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</si>
  <si>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</si>
  <si>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</si>
  <si>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</si>
  <si>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</si>
  <si>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</si>
  <si>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</si>
  <si>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</si>
  <si>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</si>
  <si>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</si>
  <si>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</si>
  <si>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</si>
  <si>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</si>
  <si>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</si>
  <si>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</si>
  <si>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</si>
  <si>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</si>
  <si>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</si>
  <si>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</si>
  <si>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</si>
  <si>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</si>
  <si>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</si>
  <si>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</si>
  <si>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</si>
  <si>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</si>
  <si>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</si>
  <si>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</si>
  <si>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</si>
  <si>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</si>
  <si>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</si>
  <si>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</si>
  <si>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</si>
  <si>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</si>
  <si>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</si>
  <si>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</si>
  <si>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</si>
  <si>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</si>
  <si>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</si>
  <si>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</si>
  <si>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</si>
  <si>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</si>
  <si>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</si>
  <si>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</si>
  <si>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</si>
  <si>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</si>
  <si>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</si>
  <si>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</si>
  <si>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</si>
  <si>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</si>
  <si>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</si>
  <si>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</si>
  <si>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</si>
  <si>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</si>
  <si>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</si>
  <si>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</si>
  <si>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</si>
  <si>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</si>
  <si>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</si>
  <si>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</si>
  <si>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</si>
  <si>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</si>
  <si>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</si>
  <si>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</si>
  <si>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</si>
  <si>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</si>
  <si>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</si>
  <si>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</si>
  <si>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</si>
  <si>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</si>
  <si>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</si>
  <si>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</si>
  <si>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</si>
  <si>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</si>
  <si>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</si>
  <si>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</si>
  <si>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</si>
  <si>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</si>
  <si>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</si>
  <si>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</si>
  <si>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</si>
  <si>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</si>
  <si>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</si>
  <si>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</si>
  <si>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</si>
  <si>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</si>
  <si>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</si>
  <si>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</si>
  <si>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</si>
  <si>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</si>
  <si>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</si>
  <si>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</si>
  <si>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</si>
  <si>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</si>
  <si>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</si>
  <si>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</si>
  <si>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</si>
  <si>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</si>
  <si>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</si>
  <si>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</si>
  <si>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</si>
  <si>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</si>
  <si>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</si>
  <si>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</si>
  <si>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</si>
  <si>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</si>
  <si>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</si>
  <si>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</si>
  <si>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</si>
  <si>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</si>
  <si>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</si>
  <si>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</si>
  <si>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</si>
  <si>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</si>
  <si>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</si>
  <si>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</si>
  <si>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</si>
  <si>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</si>
  <si>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</si>
  <si>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</si>
  <si>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</si>
  <si>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</si>
  <si>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</si>
  <si>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</si>
  <si>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</si>
  <si>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</si>
  <si>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</si>
  <si>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</si>
  <si>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</si>
  <si>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</si>
  <si>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</si>
  <si>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</si>
  <si>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</si>
  <si>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</si>
  <si>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</si>
  <si>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</si>
  <si>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</si>
  <si>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</si>
  <si>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</si>
  <si>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</si>
  <si>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</si>
  <si>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</si>
  <si>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</si>
  <si>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</si>
  <si>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</si>
  <si>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</si>
  <si>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</si>
  <si>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</si>
  <si>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</si>
  <si>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</si>
  <si>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</si>
  <si>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</si>
  <si>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</si>
  <si>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</si>
  <si>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</si>
  <si>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</si>
  <si>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</si>
  <si>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</si>
  <si>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</si>
  <si>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</si>
  <si>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</si>
  <si>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</si>
  <si>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</si>
  <si>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</si>
  <si>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</si>
  <si>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</si>
  <si>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</si>
  <si>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</si>
  <si>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</si>
  <si>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</si>
  <si>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</si>
  <si>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</si>
  <si>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</si>
  <si>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</si>
  <si>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</si>
  <si>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</si>
  <si>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</si>
  <si>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</si>
  <si>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</si>
  <si>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</si>
  <si>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</si>
  <si>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</si>
  <si>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</si>
  <si>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</si>
  <si>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</si>
  <si>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</si>
  <si>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</si>
  <si>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</si>
  <si>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</si>
  <si>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</si>
  <si>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</si>
  <si>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</si>
  <si>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</si>
  <si>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</si>
  <si>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</si>
  <si>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</si>
  <si>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</si>
  <si>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</si>
  <si>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</si>
  <si>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</si>
  <si>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</si>
  <si>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</si>
  <si>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</si>
  <si>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</si>
  <si>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</si>
  <si>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</si>
  <si>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</si>
  <si>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</si>
  <si>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</si>
  <si>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</si>
  <si>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</si>
  <si>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</si>
  <si>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</si>
  <si>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</si>
  <si>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</si>
  <si>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</si>
  <si>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</si>
  <si>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</si>
  <si>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</si>
  <si>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</si>
  <si>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</si>
  <si>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</si>
  <si>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</si>
  <si>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</si>
  <si>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</si>
  <si>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</si>
  <si>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</si>
  <si>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</si>
  <si>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</si>
  <si>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</si>
  <si>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</si>
  <si>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</si>
  <si>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</si>
  <si>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</si>
  <si>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</si>
  <si>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</si>
  <si>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</si>
  <si>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</si>
  <si>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</si>
  <si>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</si>
  <si>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</si>
  <si>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</si>
  <si>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</si>
  <si>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</si>
  <si>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</si>
  <si>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</si>
  <si>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</si>
  <si>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</si>
  <si>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</si>
  <si>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</si>
  <si>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</si>
  <si>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</si>
  <si>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</si>
  <si>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</si>
  <si>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</si>
  <si>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</si>
  <si>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</si>
  <si>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</si>
  <si>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</si>
  <si>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</si>
  <si>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</si>
  <si>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</si>
  <si>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</si>
  <si>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</si>
  <si>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</si>
  <si>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</si>
  <si>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</si>
  <si>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</si>
  <si>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</si>
  <si>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</si>
  <si>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</si>
  <si>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</si>
  <si>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</si>
  <si>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</si>
  <si>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</si>
  <si>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</si>
  <si>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</si>
  <si>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</si>
  <si>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</si>
  <si>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</si>
  <si>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</si>
  <si>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</si>
  <si>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</si>
  <si>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</si>
  <si>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</si>
  <si>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</si>
  <si>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</si>
  <si>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</si>
  <si>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</si>
  <si>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</si>
  <si>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</si>
  <si>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</si>
  <si>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</si>
  <si>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</si>
  <si>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</si>
  <si>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</si>
  <si>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</si>
  <si>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</si>
  <si>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</si>
  <si>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</si>
  <si>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</si>
  <si>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</si>
  <si>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</si>
  <si>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</si>
  <si>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</si>
  <si>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</si>
  <si>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</si>
  <si>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</si>
  <si>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</si>
  <si>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</si>
  <si>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</si>
  <si>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</si>
  <si>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</si>
  <si>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</si>
  <si>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</si>
  <si>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</si>
  <si>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</si>
  <si>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</si>
  <si>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</si>
  <si>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</si>
  <si>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</si>
  <si>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</si>
  <si>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</si>
  <si>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</si>
  <si>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</si>
  <si>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</si>
  <si>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</si>
  <si>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</si>
  <si>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</si>
  <si>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</si>
  <si>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</si>
  <si>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</si>
  <si>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</si>
  <si>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</si>
  <si>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</si>
  <si>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</si>
  <si>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</si>
  <si>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</si>
  <si>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</si>
  <si>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</si>
  <si>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</si>
  <si>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</si>
  <si>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</si>
  <si>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</si>
  <si>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</si>
  <si>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</si>
  <si>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</si>
  <si>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</si>
  <si>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</si>
  <si>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</si>
  <si>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</si>
  <si>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</si>
  <si>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</si>
  <si>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</si>
  <si>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</si>
  <si>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</si>
  <si>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</si>
  <si>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</si>
  <si>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</si>
  <si>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</si>
  <si>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</si>
  <si>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</si>
  <si>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</si>
  <si>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</si>
  <si>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</si>
  <si>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</si>
  <si>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</si>
  <si>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</si>
  <si>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</si>
  <si>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</si>
  <si>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</si>
  <si>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</si>
  <si>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</si>
  <si>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</si>
  <si>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</si>
  <si>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</si>
  <si>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</si>
  <si>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</si>
  <si>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</si>
  <si>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</si>
  <si>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</si>
  <si>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</si>
  <si>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</si>
  <si>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</si>
  <si>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</si>
  <si>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</si>
  <si>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</si>
  <si>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</si>
  <si>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</si>
  <si>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</si>
  <si>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</si>
  <si>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</si>
  <si>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</si>
  <si>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</si>
  <si>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</si>
  <si>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</si>
  <si>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</si>
  <si>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</si>
  <si>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</si>
  <si>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</si>
  <si>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</si>
  <si>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</si>
  <si>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</si>
  <si>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</si>
  <si>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</si>
  <si>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</si>
  <si>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</si>
  <si>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</si>
  <si>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</si>
  <si>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</si>
  <si>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</si>
  <si>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</si>
  <si>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</si>
  <si>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</si>
  <si>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</si>
  <si>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</si>
  <si>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</si>
  <si>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</si>
  <si>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</si>
  <si>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</si>
  <si>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</si>
  <si>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</si>
  <si>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</si>
  <si>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</si>
  <si>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</si>
  <si>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</si>
  <si>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</si>
  <si>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</si>
  <si>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</si>
  <si>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</si>
  <si>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</si>
  <si>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</si>
  <si>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</si>
  <si>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</si>
  <si>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</si>
  <si>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</si>
  <si>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</si>
  <si>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</si>
  <si>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</si>
  <si>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</si>
  <si>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</si>
  <si>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</si>
  <si>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</si>
  <si>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</si>
  <si>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</si>
  <si>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</si>
  <si>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</si>
  <si>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</si>
  <si>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</si>
  <si>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</si>
  <si>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</si>
  <si>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</si>
  <si>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</si>
  <si>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</si>
  <si>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</si>
  <si>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</si>
  <si>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</si>
  <si>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</si>
  <si>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</si>
  <si>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</si>
  <si>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</si>
  <si>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</si>
  <si>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</si>
  <si>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</si>
  <si>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</si>
  <si>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</si>
  <si>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</si>
  <si>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</si>
  <si>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</si>
  <si>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</si>
  <si>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</si>
  <si>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</si>
  <si>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</si>
  <si>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</si>
  <si>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</si>
  <si>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</si>
  <si>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</si>
  <si>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</si>
  <si>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</si>
  <si>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</si>
  <si>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</si>
  <si>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</si>
  <si>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</si>
  <si>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</si>
  <si>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</si>
  <si>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</si>
  <si>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</si>
  <si>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</si>
  <si>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</si>
  <si>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</si>
  <si>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</si>
  <si>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</si>
  <si>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</si>
  <si>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</si>
  <si>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</si>
  <si>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</si>
  <si>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</si>
  <si>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</si>
  <si>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</si>
  <si>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</si>
  <si>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</si>
  <si>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</si>
  <si>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</si>
  <si>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</si>
  <si>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</si>
  <si>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</si>
  <si>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</si>
  <si>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</si>
  <si>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</si>
  <si>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</si>
  <si>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</si>
  <si>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</si>
  <si>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</si>
  <si>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</si>
  <si>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</si>
  <si>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</si>
  <si>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</si>
  <si>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</si>
  <si>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</si>
  <si>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</si>
  <si>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</si>
  <si>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</si>
  <si>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</si>
  <si>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</si>
  <si>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</si>
  <si>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</si>
  <si>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</si>
  <si>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</si>
  <si>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</si>
  <si>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</si>
  <si>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</si>
  <si>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</si>
  <si>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</si>
  <si>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</si>
  <si>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</si>
  <si>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</si>
  <si>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</si>
  <si>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</si>
  <si>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</si>
  <si>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</si>
  <si>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</si>
  <si>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</si>
  <si>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</si>
  <si>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</si>
  <si>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</si>
  <si>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</si>
  <si>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</si>
  <si>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</si>
  <si>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</si>
  <si>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</si>
  <si>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</si>
  <si>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</si>
  <si>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</si>
  <si>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</si>
  <si>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</si>
  <si>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</si>
  <si>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</si>
  <si>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</si>
  <si>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</si>
  <si>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</si>
  <si>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</si>
  <si>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</si>
  <si>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</si>
  <si>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</si>
  <si>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</si>
  <si>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</si>
  <si>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</si>
  <si>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</si>
  <si>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</si>
  <si>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</si>
  <si>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</si>
  <si>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</si>
  <si>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</si>
  <si>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</si>
  <si>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</si>
  <si>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</si>
  <si>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</si>
  <si>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</si>
  <si>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</si>
  <si>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</si>
  <si>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</si>
  <si>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</si>
  <si>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</si>
  <si>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</si>
  <si>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</si>
  <si>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</si>
  <si>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</si>
  <si>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</si>
  <si>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</si>
  <si>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</si>
  <si>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</si>
  <si>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</si>
  <si>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</si>
  <si>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</si>
  <si>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</si>
  <si>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</si>
  <si>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</si>
  <si>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</si>
  <si>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</si>
  <si>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</si>
  <si>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</si>
  <si>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</si>
  <si>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</si>
  <si>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</si>
  <si>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</si>
  <si>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</si>
  <si>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</si>
  <si>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</si>
  <si>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</si>
  <si>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</si>
  <si>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</si>
  <si>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</si>
  <si>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</si>
  <si>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</si>
  <si>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</si>
  <si>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</si>
  <si>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</si>
  <si>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</si>
  <si>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</si>
  <si>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</si>
  <si>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</si>
  <si>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</si>
  <si>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</si>
  <si>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</si>
  <si>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</si>
  <si>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</si>
  <si>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</si>
  <si>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</si>
  <si>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</si>
  <si>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</si>
  <si>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</si>
  <si>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</si>
  <si>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</si>
  <si>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</si>
  <si>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</si>
  <si>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</si>
  <si>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</si>
  <si>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</si>
  <si>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</si>
  <si>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</si>
  <si>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</si>
  <si>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</si>
  <si>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</si>
  <si>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</si>
  <si>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</si>
  <si>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</si>
  <si>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</si>
  <si>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</si>
  <si>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</si>
  <si>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</si>
  <si>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</si>
  <si>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</si>
  <si>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</si>
  <si>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</si>
  <si>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</si>
  <si>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</si>
  <si>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</si>
  <si>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</si>
  <si>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</si>
  <si>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</si>
  <si>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</si>
  <si>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</si>
  <si>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</si>
  <si>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</si>
  <si>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</si>
  <si>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</si>
  <si>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</si>
  <si>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</si>
  <si>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</si>
  <si>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</si>
  <si>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</si>
  <si>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</si>
  <si>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</si>
  <si>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</si>
  <si>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</si>
  <si>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</si>
  <si>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</si>
  <si>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</si>
  <si>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</si>
  <si>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</si>
  <si>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</si>
  <si>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</si>
  <si>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</si>
  <si>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</si>
  <si>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</si>
  <si>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</si>
  <si>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</si>
  <si>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</si>
  <si>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</si>
  <si>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</si>
  <si>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</si>
  <si>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</si>
  <si>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</si>
  <si>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</si>
  <si>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</si>
  <si>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</si>
  <si>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</si>
  <si>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</si>
  <si>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</si>
  <si>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</si>
  <si>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</si>
  <si>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</si>
  <si>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</si>
  <si>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</si>
  <si>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</si>
  <si>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</si>
  <si>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</si>
  <si>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</si>
  <si>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</si>
  <si>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</si>
  <si>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</si>
  <si>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</si>
  <si>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</si>
  <si>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</si>
  <si>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</si>
  <si>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</si>
  <si>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</si>
  <si>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</si>
  <si>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</si>
  <si>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</si>
  <si>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</si>
  <si>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</si>
  <si>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</si>
  <si>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</si>
  <si>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</si>
  <si>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</si>
  <si>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</si>
  <si>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</si>
  <si>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</si>
  <si>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</si>
  <si>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</si>
  <si>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</si>
  <si>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</si>
  <si>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</si>
  <si>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</si>
  <si>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</si>
  <si>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</si>
  <si>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</si>
  <si>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</si>
  <si>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</si>
  <si>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</si>
  <si>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</si>
  <si>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</si>
  <si>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</si>
  <si>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</si>
  <si>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</si>
  <si>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</si>
  <si>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</si>
  <si>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</si>
  <si>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</si>
  <si>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</si>
  <si>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</si>
  <si>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</si>
  <si>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</si>
  <si>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</si>
  <si>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</si>
  <si>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</si>
  <si>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</si>
  <si>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</si>
  <si>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</si>
  <si>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</si>
  <si>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</si>
  <si>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</si>
  <si>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</si>
  <si>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</si>
  <si>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</si>
  <si>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</si>
  <si>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</si>
  <si>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</si>
  <si>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</si>
  <si>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</si>
  <si>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</si>
  <si>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</si>
  <si>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</si>
  <si>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</si>
  <si>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</si>
  <si>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</si>
  <si>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</si>
  <si>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</si>
  <si>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</si>
  <si>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</si>
  <si>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</si>
  <si>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</si>
  <si>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</si>
  <si>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</si>
  <si>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</si>
  <si>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</si>
  <si>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</si>
  <si>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</si>
  <si>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</si>
  <si>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</si>
  <si>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</si>
  <si>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</si>
  <si>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</si>
  <si>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</si>
  <si>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</si>
  <si>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</si>
  <si>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</si>
  <si>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</si>
  <si>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</si>
  <si>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</si>
  <si>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</si>
  <si>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</si>
  <si>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</si>
  <si>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</si>
  <si>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</si>
  <si>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</si>
  <si>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</si>
  <si>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</si>
  <si>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</si>
  <si>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</si>
  <si>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</si>
  <si>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</si>
  <si>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</si>
  <si>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</si>
  <si>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</si>
  <si>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</si>
  <si>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</si>
  <si>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</si>
  <si>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</si>
  <si>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</si>
  <si>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</si>
  <si>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</si>
  <si>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</si>
  <si>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</si>
  <si>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</si>
  <si>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</si>
  <si>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</si>
  <si>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</si>
  <si>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</si>
  <si>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</si>
  <si>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</si>
  <si>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</si>
  <si>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</si>
  <si>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</si>
  <si>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</si>
  <si>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</si>
  <si>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</si>
  <si>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</si>
  <si>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</si>
  <si>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</si>
  <si>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</si>
  <si>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</si>
  <si>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</si>
  <si>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</si>
  <si>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</si>
  <si>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</si>
  <si>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</si>
  <si>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</si>
  <si>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</si>
  <si>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</si>
  <si>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</si>
  <si>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</si>
  <si>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</si>
  <si>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</si>
  <si>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</si>
  <si>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</si>
  <si>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</si>
  <si>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</si>
  <si>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</si>
  <si>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</si>
  <si>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</si>
  <si>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</si>
  <si>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</si>
  <si>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</si>
  <si>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</si>
  <si>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</si>
  <si>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</si>
  <si>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</si>
  <si>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</si>
  <si>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</si>
  <si>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</si>
  <si>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</si>
  <si>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</si>
  <si>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</si>
  <si>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</si>
  <si>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</si>
  <si>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</si>
  <si>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</si>
  <si>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</si>
  <si>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</si>
  <si>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</si>
  <si>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</si>
  <si>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</si>
  <si>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</si>
  <si>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</si>
  <si>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</si>
  <si>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</si>
  <si>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</si>
  <si>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</si>
  <si>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</si>
  <si>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</si>
  <si>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</si>
  <si>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</si>
  <si>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</si>
  <si>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</si>
  <si>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</si>
  <si>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</si>
  <si>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</si>
  <si>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</si>
  <si>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</si>
  <si>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</si>
  <si>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</si>
  <si>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</si>
  <si>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</si>
  <si>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</si>
  <si>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</si>
  <si>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</si>
  <si>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</si>
  <si>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</si>
  <si>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</si>
  <si>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</si>
  <si>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</si>
  <si>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</si>
  <si>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</si>
  <si>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</si>
  <si>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</si>
  <si>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</si>
  <si>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</si>
  <si>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</si>
  <si>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</si>
  <si>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</si>
  <si>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</si>
  <si>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</si>
  <si>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</si>
  <si>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</si>
  <si>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</si>
  <si>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</si>
  <si>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</si>
  <si>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</si>
  <si>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</si>
  <si>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</si>
  <si>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</si>
  <si>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</si>
  <si>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</si>
  <si>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</si>
  <si>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</si>
  <si>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</si>
  <si>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</si>
  <si>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</si>
  <si>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</si>
  <si>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</si>
  <si>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</si>
  <si>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</si>
  <si>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</si>
  <si>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</si>
  <si>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</si>
  <si>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</si>
  <si>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</si>
  <si>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</si>
  <si>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</si>
  <si>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</si>
  <si>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</si>
  <si>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</si>
  <si>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</si>
  <si>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</si>
  <si>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</si>
  <si>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</si>
  <si>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</si>
  <si>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</si>
  <si>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</si>
  <si>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</si>
  <si>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</si>
  <si>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</si>
  <si>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</si>
  <si>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</si>
  <si>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</si>
  <si>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</si>
  <si>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</si>
  <si>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</si>
  <si>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</si>
  <si>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</si>
  <si>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</si>
  <si>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</si>
  <si>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</si>
  <si>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</si>
  <si>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</si>
  <si>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</si>
  <si>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</si>
  <si>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</si>
  <si>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</si>
  <si>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</si>
  <si>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</si>
  <si>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</si>
  <si>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</si>
  <si>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</si>
  <si>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</si>
  <si>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</si>
  <si>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</si>
  <si>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</si>
  <si>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</si>
  <si>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</si>
  <si>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</si>
  <si>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</si>
  <si>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</si>
  <si>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</si>
  <si>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</si>
  <si>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</si>
  <si>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</si>
  <si>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</si>
  <si>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</si>
  <si>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</si>
  <si>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</si>
  <si>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</si>
  <si>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</si>
  <si>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</si>
  <si>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</si>
  <si>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</si>
  <si>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</si>
  <si>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</si>
  <si>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</si>
  <si>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</si>
  <si>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</si>
  <si>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</si>
  <si>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</si>
  <si>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</si>
  <si>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</si>
  <si>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</si>
  <si>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</si>
  <si>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</si>
  <si>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</si>
  <si>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</si>
  <si>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</si>
  <si>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</si>
  <si>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</si>
  <si>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</si>
  <si>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</si>
  <si>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</si>
  <si>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</si>
  <si>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</si>
  <si>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</si>
  <si>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</si>
  <si>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</si>
  <si>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</si>
  <si>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</si>
  <si>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</si>
  <si>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</si>
  <si>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</si>
  <si>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</si>
  <si>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</si>
  <si>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</si>
  <si>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</si>
  <si>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</si>
  <si>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</si>
  <si>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</si>
  <si>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</si>
  <si>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</si>
  <si>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</si>
  <si>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</si>
  <si>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</si>
  <si>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</si>
  <si>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</si>
  <si>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</si>
  <si>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</si>
  <si>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</si>
  <si>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</si>
  <si>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</si>
  <si>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</si>
  <si>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</si>
  <si>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</si>
  <si>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</si>
  <si>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</si>
  <si>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</si>
  <si>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</si>
  <si>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</si>
  <si>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</si>
  <si>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</si>
  <si>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</si>
  <si>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</si>
  <si>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</si>
  <si>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</si>
  <si>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</si>
  <si>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</si>
  <si>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</si>
  <si>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</si>
  <si>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</si>
  <si>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</si>
  <si>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</si>
  <si>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</si>
  <si>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</si>
  <si>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</si>
  <si>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</si>
  <si>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</si>
  <si>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</si>
  <si>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</si>
  <si>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</si>
  <si>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</si>
  <si>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</si>
  <si>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</si>
  <si>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</si>
  <si>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</si>
  <si>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</si>
  <si>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</si>
  <si>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</si>
  <si>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</si>
  <si>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</si>
  <si>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</si>
  <si>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</si>
  <si>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</si>
  <si>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</si>
  <si>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</si>
  <si>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</si>
  <si>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</si>
  <si>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</si>
  <si>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</si>
  <si>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</si>
  <si>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</si>
  <si>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</si>
  <si>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N/A - provide explanation</t>
  </si>
  <si>
    <t>If related parties (or N/A), please provide detailed explanation:</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</si>
  <si>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</si>
  <si>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</si>
  <si>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</si>
  <si>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</si>
  <si>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</si>
  <si>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</si>
  <si>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</si>
  <si>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</si>
  <si>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</si>
  <si>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</si>
  <si>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</si>
  <si>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</si>
  <si>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</si>
  <si>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</si>
  <si>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</si>
  <si>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</si>
  <si>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</si>
  <si>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</si>
  <si>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</si>
  <si>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</si>
  <si>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</si>
  <si>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</si>
  <si>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</si>
  <si>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</si>
  <si>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</si>
  <si>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</si>
  <si>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</si>
  <si>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</si>
  <si>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</si>
  <si>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</si>
  <si>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</si>
  <si>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</si>
  <si>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</si>
  <si>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</si>
  <si>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</si>
  <si>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</si>
  <si>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</si>
  <si>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</si>
  <si>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</si>
  <si>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</si>
  <si>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</si>
  <si>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</si>
  <si>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</si>
  <si>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</si>
  <si>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</si>
  <si>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</si>
  <si>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</si>
  <si>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</si>
  <si>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</si>
  <si>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</si>
  <si>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</si>
  <si>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</si>
  <si>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</si>
  <si>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</si>
  <si>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</si>
  <si>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</si>
  <si>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</si>
  <si>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</si>
  <si>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</si>
  <si>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</si>
  <si>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</si>
  <si>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</si>
  <si>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</si>
  <si>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</si>
  <si>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</si>
  <si>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</si>
  <si>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</si>
  <si>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</si>
  <si>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</si>
  <si>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</si>
  <si>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</si>
  <si>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</si>
  <si>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</si>
  <si>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</si>
  <si>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</si>
  <si>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</si>
  <si>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</si>
  <si>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</si>
  <si>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</si>
  <si>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</si>
  <si>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</si>
  <si>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</si>
  <si>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</si>
  <si>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</si>
  <si>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</si>
  <si>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</si>
  <si>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</si>
  <si>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</si>
  <si>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</si>
  <si>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</si>
  <si>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</si>
  <si>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</si>
  <si>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</si>
  <si>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</si>
  <si>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</si>
  <si>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</si>
  <si>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</si>
  <si>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</si>
  <si>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</si>
  <si>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</si>
  <si>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</si>
  <si>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</si>
  <si>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</si>
  <si>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</si>
  <si>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</si>
  <si>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</si>
  <si>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</si>
  <si>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</si>
  <si>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</si>
  <si>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</si>
  <si>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</si>
  <si>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</si>
  <si>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</si>
  <si>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</si>
  <si>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</si>
  <si>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</si>
  <si>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</si>
  <si>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</si>
  <si>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</si>
  <si>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</si>
  <si>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</si>
  <si>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</si>
  <si>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</si>
  <si>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</si>
  <si>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</si>
  <si>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</si>
  <si>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</si>
  <si>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</si>
  <si>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</si>
  <si>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</si>
  <si>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</si>
  <si>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</si>
  <si>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</si>
  <si>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</si>
  <si>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</si>
  <si>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</si>
  <si>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</si>
  <si>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</si>
  <si>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</si>
  <si>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</si>
  <si>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</si>
  <si>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</si>
  <si>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</si>
  <si>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</si>
  <si>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</si>
  <si>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</si>
  <si>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</si>
  <si>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</si>
  <si>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</si>
  <si>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</si>
  <si>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</si>
  <si>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Bold Pardes II LLC</t>
  </si>
  <si>
    <t>The Pardes 2</t>
  </si>
  <si>
    <t>City of Elk Grove</t>
  </si>
  <si>
    <t>Ms. Sarah Bontrager</t>
  </si>
  <si>
    <t>8401 Laguna Palms way</t>
  </si>
  <si>
    <t>Elk Grove</t>
  </si>
  <si>
    <t>916-627-3209</t>
  </si>
  <si>
    <t>916-627-4800</t>
  </si>
  <si>
    <t>sbontranger@elkgrovecity.org</t>
  </si>
  <si>
    <t>8335 Tarak Drive</t>
  </si>
  <si>
    <t>132-0290-056</t>
  </si>
  <si>
    <t>4915 Gambier Street</t>
  </si>
  <si>
    <t>CA</t>
  </si>
  <si>
    <t>Michael Miller</t>
  </si>
  <si>
    <t>mike@boldcommunities.org</t>
  </si>
  <si>
    <t>Bold Communities</t>
  </si>
  <si>
    <t>CRP The Pardes 2 AGP LLC</t>
  </si>
  <si>
    <t>122 E 42nd Street, suite 1903</t>
  </si>
  <si>
    <t>Administrative GP</t>
  </si>
  <si>
    <t>New York</t>
  </si>
  <si>
    <t>NY</t>
  </si>
  <si>
    <t>Paul Salib</t>
  </si>
  <si>
    <t>212-776-1914</t>
  </si>
  <si>
    <t>psalib@crpaffordable.com</t>
  </si>
  <si>
    <t>Venus Williams</t>
  </si>
  <si>
    <t>Managing GP</t>
  </si>
  <si>
    <t>CRP Affordable Housing and Community Development LLC</t>
  </si>
  <si>
    <t>Seth Sterneck</t>
  </si>
  <si>
    <t>646-518-7280</t>
  </si>
  <si>
    <t>ssterneck@crpaffordable.com</t>
  </si>
  <si>
    <t>Developer</t>
  </si>
  <si>
    <t>New York, NY 10168</t>
  </si>
  <si>
    <t>HED</t>
  </si>
  <si>
    <t>550 South Hope St. Suite 2500</t>
  </si>
  <si>
    <t>Los angeles, CA 90071</t>
  </si>
  <si>
    <t>Jerome Odell</t>
  </si>
  <si>
    <t>626-755-4878</t>
  </si>
  <si>
    <t>jodell@hed.design</t>
  </si>
  <si>
    <t>Hobson Bernardino + Davis LLP</t>
  </si>
  <si>
    <t>6060 Center Drive, Floor 10</t>
  </si>
  <si>
    <t>Los Angeles, CA 90045</t>
  </si>
  <si>
    <t>Jason Hobson</t>
  </si>
  <si>
    <t>213-235-9191</t>
  </si>
  <si>
    <t>jhobson@hbdlegal.com</t>
  </si>
  <si>
    <t>Ironcore Construction LLC</t>
  </si>
  <si>
    <t>4429 Morena Boulevard, Suite A</t>
  </si>
  <si>
    <t xml:space="preserve"> San Diego  CA 92127</t>
  </si>
  <si>
    <t>Elliot V Jones</t>
  </si>
  <si>
    <t>(619) 378-7878</t>
  </si>
  <si>
    <t xml:space="preserve">Ejones@ironcorecc.com </t>
  </si>
  <si>
    <t>Partner Energy</t>
  </si>
  <si>
    <t>980 Knox St. Suite 150</t>
  </si>
  <si>
    <t>Los Angeles, Ca 90502</t>
  </si>
  <si>
    <t>Kelsey Shaw</t>
  </si>
  <si>
    <t>310-356-2199</t>
  </si>
  <si>
    <t>kshaw@ptrenergy.com</t>
  </si>
  <si>
    <t>Novogradac Consulting LLP</t>
  </si>
  <si>
    <t>6700 Antioch Rd #450</t>
  </si>
  <si>
    <t>Merriam, Kansas 66204</t>
  </si>
  <si>
    <t>Thomas Stagg</t>
  </si>
  <si>
    <t>515-519-1234</t>
  </si>
  <si>
    <t>thomas.stagg@novoco.com</t>
  </si>
  <si>
    <t>CREA LLC</t>
  </si>
  <si>
    <t>800 Third Avenue, Suite 3700</t>
  </si>
  <si>
    <t>New York, NY 10022</t>
  </si>
  <si>
    <t>Neala Martin</t>
  </si>
  <si>
    <t>212-405-2652</t>
  </si>
  <si>
    <t>nmartin@creallc.com</t>
  </si>
  <si>
    <t>Rachel Denton</t>
  </si>
  <si>
    <t>913-312-4612</t>
  </si>
  <si>
    <t>rachel.denton@novoco.com</t>
  </si>
  <si>
    <t>California Housing Finance Agency</t>
  </si>
  <si>
    <t>Sacramento, CA 95814</t>
  </si>
  <si>
    <t>kbrown@calhfa.ca.gov</t>
  </si>
  <si>
    <t>John Stewart Company</t>
  </si>
  <si>
    <t>1388 Sutter Street, 11th Floor</t>
  </si>
  <si>
    <t>San Francisco, CA 94109</t>
  </si>
  <si>
    <t>Jennifer Wood</t>
  </si>
  <si>
    <t>(415) 345-4400</t>
  </si>
  <si>
    <t>jwood@jsco.net</t>
  </si>
  <si>
    <t>Joel Hammer</t>
  </si>
  <si>
    <t>Authorized Signatory</t>
  </si>
  <si>
    <t>122 E 42nd Street, Suite 1903, New York, NY 10168</t>
  </si>
  <si>
    <t>8310 POPPY RIDGE LLC</t>
  </si>
  <si>
    <t>3,4</t>
  </si>
  <si>
    <t>Three and four story, Garden Style</t>
  </si>
  <si>
    <t>Vacant Land High Density Residential</t>
  </si>
  <si>
    <t>Special Planning Area Southeast Policy Area and 40 unit/ acre</t>
  </si>
  <si>
    <t>60'</t>
  </si>
  <si>
    <t>1 Br - 1per unit , 2 and 3 BR - 1.5 per unit</t>
  </si>
  <si>
    <t>190  (Standard Parking -150 &amp; Compact Parking-40)</t>
  </si>
  <si>
    <t>Air conditioning + Other (Infrastructure fee)</t>
  </si>
  <si>
    <t>Citibank Construction Loan (Tax Exempt)</t>
  </si>
  <si>
    <t>Citibank Construction Loan (Recycled Bonds)</t>
  </si>
  <si>
    <t xml:space="preserve">Citibank Construction Loan </t>
  </si>
  <si>
    <t>Federal LIHTC Equity</t>
  </si>
  <si>
    <t>Deferred Cost</t>
  </si>
  <si>
    <t>Citibank Permanent Loan</t>
  </si>
  <si>
    <t>300 South Grand Avenue</t>
  </si>
  <si>
    <t>Hao Li</t>
  </si>
  <si>
    <t>213-239-1914</t>
  </si>
  <si>
    <t xml:space="preserve">213-239-1914					</t>
  </si>
  <si>
    <t xml:space="preserve">Tax Exempt Bonds/ Private										</t>
  </si>
  <si>
    <t>Recycle Bonds/ Private</t>
  </si>
  <si>
    <t>Taxable Loan/ Private</t>
  </si>
  <si>
    <t xml:space="preserve">122 E 42nd Street, suite 1903											</t>
  </si>
  <si>
    <t xml:space="preserve">New York, NY 10168											</t>
  </si>
  <si>
    <t xml:space="preserve">Paul Salib											</t>
  </si>
  <si>
    <t xml:space="preserve">212-776-1914					</t>
  </si>
  <si>
    <t>Private</t>
  </si>
  <si>
    <t xml:space="preserve">04/23/2024				</t>
  </si>
  <si>
    <t xml:space="preserve">Miscellaneous									</t>
  </si>
  <si>
    <t xml:space="preserve">Sacramento Housing and Redevelopment Agency				</t>
  </si>
  <si>
    <t>Taxes, Benefits, Training</t>
  </si>
  <si>
    <t>Recycled Bonds</t>
  </si>
  <si>
    <t>Project-based vouchers (PBVs)</t>
  </si>
  <si>
    <t>SHRA</t>
  </si>
  <si>
    <t>40%/60% Average Income</t>
  </si>
  <si>
    <t>SHRA PBV</t>
  </si>
  <si>
    <t>Other: (Bond Premium)</t>
  </si>
  <si>
    <t>Other: (Legal for Perm Loan)</t>
  </si>
  <si>
    <t>Other: (Legal, Investor, Bond Issuer, MGP Legal)</t>
  </si>
  <si>
    <t>Construction Management (Lender Inspection)</t>
  </si>
  <si>
    <t>Other: MGP Fee+CDLAC Fee+Miscellaneous Consultants</t>
  </si>
  <si>
    <t>Other: Predevelopment Loan Interest</t>
  </si>
  <si>
    <t>1 bedroom</t>
  </si>
  <si>
    <t>2 bedroom</t>
  </si>
  <si>
    <t>3 bedroom</t>
  </si>
  <si>
    <t>04-01-2024</t>
  </si>
  <si>
    <t>08/01/2026</t>
  </si>
  <si>
    <t>Founder</t>
  </si>
  <si>
    <t>Ashley Carroll</t>
  </si>
  <si>
    <t>916-326-8810</t>
  </si>
  <si>
    <t>500 Capital Mall Road, STE 1400, MS 990</t>
  </si>
  <si>
    <t>Other (Specify below)</t>
  </si>
  <si>
    <t>Fixed</t>
  </si>
  <si>
    <t xml:space="preserve">122 E 42nd Street, Suite 1903											</t>
  </si>
  <si>
    <t>President</t>
  </si>
  <si>
    <t>LifeSTEPS</t>
  </si>
  <si>
    <t>Case Manager provision shall be no less than six hundred and twenty-four (624) hours per year (0.30 FTE).</t>
  </si>
  <si>
    <t>Adult Education instruction shall be no less than eighty-four (84) hours per year.</t>
  </si>
  <si>
    <t>Individualized Health and Wellness Services shall be no less than one hundred and seventy-three (173) hours per year.</t>
  </si>
  <si>
    <t>Land Cost</t>
  </si>
  <si>
    <t>8310 Poppy Ridge LLC</t>
  </si>
  <si>
    <t>CRP The Pardes 2 LP</t>
  </si>
  <si>
    <t>Phase I</t>
  </si>
  <si>
    <t>Phase II</t>
  </si>
  <si>
    <t>The geophysical survey identified a potential former UST cavity, but no UST  was identified at the Site</t>
  </si>
  <si>
    <t>Provided</t>
  </si>
  <si>
    <t>At-Risk of Homelessness</t>
  </si>
  <si>
    <t xml:space="preserve">John Stewart Company </t>
  </si>
  <si>
    <t>650-464-1319</t>
  </si>
  <si>
    <t>Housing and Public Services Manager</t>
  </si>
  <si>
    <t>Not Applicable</t>
  </si>
  <si>
    <t>Sustainable development features include all Energy Star rated appliances; 100% electric, partially powered by solar panels located on the roof. A central hot water system is proposed to provide a more efficient system.
- Windows to the living rooms will be recessed into the building off the unit balcony (where provided) to allow for natural shading andreducing the solar heat gain. All windows will be operable and have removable screens to promote natural ventilation and occupantusability. All windows will also be dual paned with Low-E insulated glass for reduced solar heat gain.
- The roof will also use light colored materials to reduce the solar heat gain.
- The project is also designed to maximize density in a previously underdeveloped lot which will help to minimize city sprawl.
- The project will also include transportation amenities including: a transit and ride share information kiosk/information center as well asan on-site bicycle repair station with ample secured bike storage.
- The location is also 0.1 miles from transit which will promote pedestrian traffic and reduce Green House Gas emissions.</t>
  </si>
  <si>
    <t xml:space="preserve">The GC agreement has not been finalized. Ironcore Construction Management Services LLC has been engaged to provide construction services including, but not limited to;
 value engineering, bid/budget services, and constructability review of plans and designs. The proposed construction budget is based on the third-party construction services 
company’s preliminary bid  estimates pursuant to the current plans and designs.  </t>
  </si>
  <si>
    <t xml:space="preserve">8310 Poppy Ridge Road LLC is the seller of the land in which the project is constructed. 
8310 Poppy Ridge LLC entered into a PSA with CRP The Pardes 2 LP(the borrower) on December 27, 2022. Pursuant to the Purchase Agreement, the two parties entered into an assignment agreement wherein 8310 Poppy Ridge LLC assigned to CRP The Pardes 2 LP all of its interest including development rights. The PSA and the assignment agreement are attached.
8310 Poppy Ridge LLC, and CRP The Pardes 2 LP all share a common manager.
The PSA and the assignment agreement are being updated to reflect the new site address 8335 Tarak Drive, legal description of the new APN 132-0290-056. 
</t>
  </si>
  <si>
    <t>Enright Pardes, LLC</t>
  </si>
  <si>
    <t>1 Town Center Rd. Suite 400</t>
  </si>
  <si>
    <t>Boca Raton</t>
  </si>
  <si>
    <t>FL</t>
  </si>
  <si>
    <t>1,140-1,339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</si>
</sst>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_-;\-* #,##0.00_-;_-* &quot;-&quot;??_-;_-@_-"/>
  </numFmts>
  <fonts count="19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i/>
      <sz val="11"/>
      <name val="Arial"/>
      <family val="2"/>
    </font>
    <font>
      <b/>
      <sz val="12"/>
      <color theme="1"/>
      <name val="Arial"/>
      <family val="2"/>
    </font>
    <font>
      <u/>
      <sz val="11"/>
      <color theme="10"/>
      <name val="Arial"/>
      <family val="2"/>
    </font>
    <font>
      <u/>
      <sz val="7.5"/>
      <color indexed="12"/>
      <name val="Arial"/>
      <family val="2"/>
    </font>
    <font>
      <sz val="11"/>
      <color rgb="FF9C0006"/>
      <name val="Arial"/>
      <family val="2"/>
    </font>
    <font>
      <sz val="11"/>
      <color rgb="FF006100"/>
      <name val="Arial"/>
      <family val="2"/>
    </font>
    <font>
      <u/>
      <sz val="10"/>
      <color theme="10"/>
      <name val="Arial"/>
      <family val="2"/>
    </font>
    <font>
      <sz val="11"/>
      <color rgb="FF9C6500"/>
      <name val="Arial"/>
      <family val="2"/>
    </font>
    <font>
      <u/>
      <sz val="11"/>
      <color theme="10"/>
      <name val="Calibri"/>
      <family val="2"/>
      <scheme val="minor"/>
    </font>
    <font>
      <sz val="11"/>
      <color indexed="8"/>
      <name val="Arial"/>
      <family val="2"/>
    </font>
    <font>
      <b/>
      <sz val="11"/>
      <color indexed="8"/>
      <name val="Arial"/>
      <family val="2"/>
    </font>
    <font>
      <sz val="20"/>
      <color indexed="9"/>
      <name val="Calibri"/>
      <family val="2"/>
    </font>
    <font>
      <u/>
      <sz val="11"/>
      <color indexed="12"/>
      <name val="Calibri"/>
      <family val="2"/>
    </font>
    <font>
      <sz val="12"/>
      <color theme="1"/>
      <name val="Calibri"/>
      <family val="2"/>
      <scheme val="minor"/>
    </font>
    <font>
      <sz val="12"/>
      <name val="Arial MT"/>
    </font>
    <font>
      <sz val="9"/>
      <color rgb="FF000000"/>
      <name val="Tahoma"/>
      <family val="2"/>
    </font>
    <font>
      <sz val="10"/>
      <color rgb="FF000000"/>
      <name val="Arial"/>
      <family val="2"/>
    </font>
  </fonts>
  <fills count="6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theme="8" tint="0.79998168889431442"/>
        <bgColor indexed="64"/>
      </patternFill>
    </fill>
    <fill>
      <patternFill patternType="solid">
        <fgColor theme="0" tint="-0.14996795556505021"/>
        <bgColor indexed="64"/>
      </patternFill>
    </fill>
    <fill>
      <patternFill patternType="solid">
        <fgColor indexed="26"/>
        <bgColor indexed="64"/>
      </patternFill>
    </fill>
    <fill>
      <patternFill patternType="solid">
        <fgColor indexed="27"/>
        <bgColor indexed="64"/>
      </patternFill>
    </fill>
    <fill>
      <patternFill patternType="solid">
        <fgColor indexed="45"/>
        <bgColor indexed="64"/>
      </patternFill>
    </fill>
    <fill>
      <patternFill patternType="solid">
        <fgColor indexed="49"/>
        <bgColor indexed="64"/>
      </patternFill>
    </fill>
    <fill>
      <patternFill patternType="solid">
        <fgColor indexed="8"/>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25780">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4"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0" fillId="0" borderId="0" applyFont="0" applyFill="0" applyBorder="0" applyAlignment="0" applyProtection="0"/>
    <xf numFmtId="44" fontId="2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5" fillId="0" borderId="0" applyFont="0" applyFill="0" applyBorder="0" applyAlignment="0" applyProtection="0"/>
    <xf numFmtId="44" fontId="24"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7" fillId="0" borderId="0" applyNumberFormat="0" applyBorder="0"/>
    <xf numFmtId="0" fontId="18" fillId="0" borderId="0" applyBorder="0" applyAlignment="0"/>
    <xf numFmtId="0" fontId="19"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4" fillId="0" borderId="0"/>
    <xf numFmtId="0" fontId="24"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4" fillId="0" borderId="0"/>
    <xf numFmtId="0" fontId="84" fillId="0" borderId="0"/>
    <xf numFmtId="0" fontId="24"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60" fillId="0" borderId="0">
      <alignment vertical="top"/>
    </xf>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15" fillId="0" borderId="0" applyProtection="0">
      <protection locked="0"/>
    </xf>
    <xf numFmtId="0" fontId="24" fillId="0" borderId="0" applyProtection="0">
      <protection locked="0"/>
    </xf>
    <xf numFmtId="0" fontId="24" fillId="0" borderId="0" applyProtection="0">
      <protection locked="0"/>
    </xf>
    <xf numFmtId="0" fontId="61" fillId="0" borderId="0"/>
    <xf numFmtId="0" fontId="15"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0"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5" fillId="0" borderId="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9" fontId="15" fillId="0" borderId="0" applyFon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7"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0" fillId="0" borderId="0" applyNumberForma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4" fontId="15" fillId="0" borderId="0" applyFont="0" applyFill="0" applyBorder="0" applyAlignment="0" applyProtection="0"/>
    <xf numFmtId="9" fontId="119" fillId="0" borderId="0" applyFont="0" applyFill="0" applyBorder="0" applyAlignment="0" applyProtection="0"/>
    <xf numFmtId="0" fontId="119" fillId="0" borderId="0"/>
    <xf numFmtId="0" fontId="9" fillId="0" borderId="0"/>
    <xf numFmtId="0" fontId="15"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15" fillId="0" borderId="0" applyBorder="0"/>
    <xf numFmtId="43" fontId="157" fillId="0" borderId="0" applyFon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4" fontId="16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1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5"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8" fillId="58" borderId="11">
      <alignment horizontal="left" vertical="center" wrapText="1"/>
    </xf>
    <xf numFmtId="0" fontId="7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5"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5" fillId="0" borderId="0"/>
    <xf numFmtId="0" fontId="15" fillId="0" borderId="0"/>
    <xf numFmtId="0" fontId="16" fillId="0" borderId="0" applyNumberFormat="0" applyFill="0" applyBorder="0" applyAlignment="0" applyProtection="0"/>
    <xf numFmtId="0" fontId="191" fillId="0" borderId="0"/>
    <xf numFmtId="0" fontId="15" fillId="0" borderId="0"/>
    <xf numFmtId="43" fontId="1" fillId="0" borderId="0" applyFont="0" applyFill="0" applyBorder="0" applyAlignment="0" applyProtection="0"/>
    <xf numFmtId="2" fontId="187" fillId="59" borderId="11">
      <alignment horizontal="left" vertical="center"/>
      <protection locked="0"/>
    </xf>
    <xf numFmtId="0" fontId="76" fillId="0" borderId="0"/>
    <xf numFmtId="168" fontId="187" fillId="59" borderId="11">
      <alignment horizontal="left" vertical="top" wrapText="1" indent="2"/>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76" fillId="0" borderId="0"/>
    <xf numFmtId="9" fontId="1" fillId="0" borderId="0" applyFont="0" applyFill="0" applyBorder="0" applyAlignment="0" applyProtection="0"/>
    <xf numFmtId="0" fontId="190" fillId="0" borderId="0" applyNumberFormat="0" applyFill="0" applyBorder="0" applyAlignment="0" applyProtection="0"/>
    <xf numFmtId="0" fontId="15" fillId="0" borderId="0"/>
    <xf numFmtId="0" fontId="76" fillId="0" borderId="0"/>
    <xf numFmtId="0" fontId="188" fillId="60" borderId="11">
      <alignment horizontal="left" vertical="center" wrapText="1"/>
    </xf>
    <xf numFmtId="0" fontId="97" fillId="49" borderId="11" applyNumberFormat="0">
      <alignment horizontal="left" vertical="top" wrapText="1"/>
      <protection locked="0"/>
    </xf>
    <xf numFmtId="0" fontId="15" fillId="0" borderId="0"/>
    <xf numFmtId="44" fontId="15" fillId="0" borderId="0" applyFont="0" applyFill="0" applyBorder="0" applyAlignment="0" applyProtection="0"/>
    <xf numFmtId="0" fontId="76" fillId="0" borderId="0"/>
    <xf numFmtId="2" fontId="187" fillId="59" borderId="11">
      <alignment horizontal="left" vertical="center"/>
      <protection locked="0"/>
    </xf>
    <xf numFmtId="0" fontId="1" fillId="0" borderId="0"/>
    <xf numFmtId="0" fontId="63" fillId="62" borderId="11">
      <alignment horizontal="center" vertical="center"/>
    </xf>
    <xf numFmtId="0" fontId="97" fillId="57" borderId="11">
      <alignment horizontal="left" vertical="center" wrapText="1"/>
    </xf>
    <xf numFmtId="0" fontId="76" fillId="0" borderId="0"/>
    <xf numFmtId="0" fontId="15" fillId="0" borderId="0"/>
    <xf numFmtId="0" fontId="97" fillId="57" borderId="11">
      <alignment horizontal="left" vertical="center" wrapText="1"/>
    </xf>
    <xf numFmtId="0" fontId="76" fillId="0" borderId="0"/>
    <xf numFmtId="0" fontId="182" fillId="35" borderId="0" applyNumberFormat="0" applyBorder="0" applyAlignment="0" applyProtection="0"/>
    <xf numFmtId="43" fontId="1" fillId="0" borderId="0" applyFont="0" applyFill="0" applyBorder="0" applyAlignment="0" applyProtection="0"/>
    <xf numFmtId="0" fontId="1" fillId="0" borderId="0"/>
    <xf numFmtId="0" fontId="15" fillId="0" borderId="0"/>
    <xf numFmtId="0" fontId="76" fillId="0" borderId="0"/>
    <xf numFmtId="0" fontId="67" fillId="0" borderId="0" applyNumberFormat="0" applyFill="0" applyBorder="0" applyAlignment="0" applyProtection="0"/>
    <xf numFmtId="0" fontId="97" fillId="57" borderId="11">
      <alignment horizontal="left" vertical="center" wrapText="1"/>
    </xf>
    <xf numFmtId="0" fontId="76" fillId="0" borderId="0"/>
    <xf numFmtId="0" fontId="60" fillId="0" borderId="0">
      <alignment vertical="top"/>
    </xf>
    <xf numFmtId="0" fontId="1" fillId="0" borderId="0"/>
    <xf numFmtId="0" fontId="60" fillId="0" borderId="0"/>
    <xf numFmtId="0" fontId="76" fillId="0" borderId="0"/>
    <xf numFmtId="0" fontId="97" fillId="57" borderId="11">
      <alignment horizontal="left" vertical="center" wrapText="1"/>
    </xf>
    <xf numFmtId="0" fontId="76" fillId="0" borderId="0"/>
    <xf numFmtId="0" fontId="1" fillId="0" borderId="0"/>
    <xf numFmtId="0" fontId="15" fillId="0" borderId="0"/>
    <xf numFmtId="0" fontId="188" fillId="60" borderId="11">
      <alignment horizontal="left" vertical="center" wrapText="1"/>
    </xf>
    <xf numFmtId="0" fontId="185" fillId="40" borderId="0" applyNumberFormat="0" applyBorder="0" applyAlignment="0" applyProtection="0"/>
    <xf numFmtId="0" fontId="180" fillId="0" borderId="0" applyNumberFormat="0" applyFill="0" applyBorder="0" applyAlignment="0" applyProtection="0">
      <alignment horizontal="left" vertical="center"/>
    </xf>
    <xf numFmtId="10" fontId="187" fillId="59" borderId="11">
      <alignment horizontal="left" vertical="center"/>
      <protection locked="0"/>
    </xf>
    <xf numFmtId="0" fontId="1" fillId="0" borderId="0"/>
    <xf numFmtId="0" fontId="183" fillId="38" borderId="0" applyNumberFormat="0" applyBorder="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86" fillId="0" borderId="0" applyNumberFormat="0" applyFill="0" applyBorder="0" applyAlignment="0" applyProtection="0"/>
    <xf numFmtId="0" fontId="1" fillId="0" borderId="0"/>
    <xf numFmtId="0" fontId="187" fillId="60" borderId="11">
      <alignment horizontal="left" vertical="center" wrapText="1"/>
    </xf>
    <xf numFmtId="0" fontId="76" fillId="0" borderId="0"/>
    <xf numFmtId="0" fontId="76" fillId="0" borderId="0"/>
    <xf numFmtId="0" fontId="97" fillId="49" borderId="11" applyNumberFormat="0">
      <alignment horizontal="left" vertical="top" wrapText="1"/>
      <protection locked="0"/>
    </xf>
    <xf numFmtId="0" fontId="187" fillId="60" borderId="11">
      <alignment horizontal="left" vertical="center" wrapText="1"/>
    </xf>
    <xf numFmtId="0" fontId="76" fillId="0" borderId="0"/>
    <xf numFmtId="9" fontId="97" fillId="0" borderId="0" applyFont="0" applyFill="0" applyBorder="0" applyAlignment="0" applyProtection="0"/>
    <xf numFmtId="0" fontId="97" fillId="49" borderId="11" applyNumberFormat="0">
      <alignment horizontal="left" vertical="top" wrapText="1"/>
      <protection locked="0"/>
    </xf>
    <xf numFmtId="43" fontId="60" fillId="0" borderId="0" applyFont="0" applyFill="0" applyBorder="0" applyAlignment="0" applyProtection="0"/>
    <xf numFmtId="0" fontId="1" fillId="0" borderId="0"/>
    <xf numFmtId="0" fontId="60" fillId="0" borderId="0"/>
    <xf numFmtId="0" fontId="187" fillId="60" borderId="11">
      <alignment horizontal="left" vertical="center" wrapText="1"/>
    </xf>
    <xf numFmtId="0" fontId="15" fillId="0" borderId="0"/>
    <xf numFmtId="0" fontId="1" fillId="0" borderId="0"/>
    <xf numFmtId="0" fontId="1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67" fillId="61" borderId="0">
      <alignment horizontal="center"/>
    </xf>
    <xf numFmtId="43" fontId="76" fillId="0" borderId="0" applyFont="0" applyFill="0" applyBorder="0" applyAlignment="0" applyProtection="0"/>
    <xf numFmtId="0" fontId="1" fillId="0" borderId="0"/>
    <xf numFmtId="0" fontId="97" fillId="0" borderId="0"/>
    <xf numFmtId="0" fontId="190" fillId="0" borderId="0" applyNumberFormat="0" applyFill="0" applyBorder="0" applyAlignment="0" applyProtection="0"/>
    <xf numFmtId="0" fontId="76" fillId="0" borderId="0"/>
    <xf numFmtId="0" fontId="97" fillId="49" borderId="11" applyNumberFormat="0">
      <alignment horizontal="left" vertical="top" wrapText="1"/>
      <protection locked="0"/>
    </xf>
    <xf numFmtId="0" fontId="15" fillId="0" borderId="0"/>
    <xf numFmtId="0" fontId="15" fillId="0" borderId="0"/>
    <xf numFmtId="0" fontId="76" fillId="0" borderId="0"/>
    <xf numFmtId="0" fontId="72" fillId="0" borderId="0"/>
    <xf numFmtId="37" fontId="192" fillId="0" borderId="0"/>
    <xf numFmtId="0" fontId="15" fillId="0" borderId="0"/>
    <xf numFmtId="44" fontId="60" fillId="0" borderId="0" applyFont="0" applyFill="0" applyBorder="0" applyAlignment="0" applyProtection="0"/>
    <xf numFmtId="0" fontId="179" fillId="0" borderId="0" applyNumberFormat="0" applyFill="0" applyBorder="0" applyProtection="0">
      <alignment horizontal="center" vertical="center"/>
    </xf>
    <xf numFmtId="0" fontId="76" fillId="0" borderId="0"/>
    <xf numFmtId="0" fontId="97" fillId="57" borderId="11">
      <alignment horizontal="left" vertical="center" wrapText="1"/>
    </xf>
    <xf numFmtId="0" fontId="76" fillId="0" borderId="0"/>
    <xf numFmtId="0" fontId="15" fillId="0" borderId="0"/>
    <xf numFmtId="9" fontId="15" fillId="0" borderId="0" applyFont="0" applyFill="0" applyBorder="0" applyAlignment="0" applyProtection="0"/>
    <xf numFmtId="0" fontId="136" fillId="57" borderId="11">
      <alignment horizontal="left" vertical="center" wrapText="1"/>
    </xf>
    <xf numFmtId="0" fontId="76" fillId="0" borderId="0"/>
    <xf numFmtId="0" fontId="66" fillId="0" borderId="0"/>
    <xf numFmtId="0" fontId="178" fillId="2" borderId="11">
      <alignment horizontal="left" vertical="center" wrapText="1"/>
    </xf>
    <xf numFmtId="0" fontId="15" fillId="0" borderId="0"/>
    <xf numFmtId="0" fontId="15" fillId="0" borderId="0"/>
    <xf numFmtId="0" fontId="136" fillId="57" borderId="11">
      <alignment horizontal="left" vertical="center" wrapText="1"/>
    </xf>
    <xf numFmtId="43" fontId="191" fillId="0" borderId="0" applyFont="0" applyFill="0" applyBorder="0" applyAlignment="0" applyProtection="0"/>
    <xf numFmtId="0" fontId="15" fillId="0" borderId="0"/>
    <xf numFmtId="0" fontId="187" fillId="60" borderId="11">
      <alignment horizontal="left" vertical="center" wrapText="1"/>
    </xf>
    <xf numFmtId="0" fontId="178" fillId="2" borderId="11">
      <alignment horizontal="left" vertical="center" wrapText="1"/>
    </xf>
    <xf numFmtId="0" fontId="16" fillId="0" borderId="0" applyNumberFormat="0" applyFill="0" applyBorder="0" applyAlignment="0" applyProtection="0"/>
    <xf numFmtId="0" fontId="121" fillId="0" borderId="0"/>
    <xf numFmtId="0" fontId="15" fillId="0" borderId="0"/>
    <xf numFmtId="9" fontId="15" fillId="0" borderId="0" applyFont="0" applyFill="0" applyBorder="0" applyAlignment="0" applyProtection="0"/>
    <xf numFmtId="0" fontId="181" fillId="0" borderId="0" applyNumberFormat="0" applyFill="0" applyBorder="0" applyAlignment="0" applyProtection="0">
      <alignment vertical="top"/>
      <protection locked="0"/>
    </xf>
    <xf numFmtId="0" fontId="190" fillId="0" borderId="0" applyNumberFormat="0" applyFill="0" applyBorder="0" applyAlignment="0" applyProtection="0"/>
    <xf numFmtId="0" fontId="15" fillId="0" borderId="0"/>
    <xf numFmtId="0" fontId="15" fillId="0" borderId="0"/>
    <xf numFmtId="0" fontId="76" fillId="0" borderId="0"/>
    <xf numFmtId="0" fontId="63" fillId="62" borderId="11">
      <alignment horizontal="center" vertical="center"/>
    </xf>
    <xf numFmtId="0" fontId="1" fillId="0" borderId="0"/>
    <xf numFmtId="43" fontId="76" fillId="0" borderId="0" applyFont="0" applyFill="0" applyBorder="0" applyAlignment="0" applyProtection="0"/>
    <xf numFmtId="0" fontId="136" fillId="57" borderId="11">
      <alignment horizontal="left" vertical="center" wrapText="1"/>
    </xf>
    <xf numFmtId="0" fontId="76" fillId="0" borderId="0"/>
    <xf numFmtId="0" fontId="15" fillId="0" borderId="0"/>
    <xf numFmtId="0" fontId="1" fillId="0" borderId="0"/>
    <xf numFmtId="0" fontId="15" fillId="0" borderId="0"/>
    <xf numFmtId="0" fontId="76" fillId="0" borderId="0"/>
    <xf numFmtId="0" fontId="97" fillId="0" borderId="0"/>
    <xf numFmtId="169" fontId="61" fillId="0" borderId="0"/>
    <xf numFmtId="0" fontId="16" fillId="0" borderId="0" applyNumberFormat="0" applyFill="0" applyBorder="0" applyAlignment="0" applyProtection="0"/>
    <xf numFmtId="0" fontId="15" fillId="0" borderId="0"/>
    <xf numFmtId="0" fontId="97" fillId="0" borderId="0"/>
    <xf numFmtId="0" fontId="97" fillId="0" borderId="0">
      <alignment horizontal="left" vertical="center"/>
    </xf>
    <xf numFmtId="43" fontId="1" fillId="0" borderId="0" applyFont="0" applyFill="0" applyBorder="0" applyAlignment="0" applyProtection="0"/>
    <xf numFmtId="0" fontId="76" fillId="0" borderId="0"/>
    <xf numFmtId="0" fontId="15" fillId="0" borderId="0"/>
    <xf numFmtId="0" fontId="187" fillId="59" borderId="11" applyNumberFormat="0">
      <alignment horizontal="left" vertical="top" wrapText="1"/>
      <protection locked="0"/>
    </xf>
    <xf numFmtId="0" fontId="76" fillId="0" borderId="0"/>
    <xf numFmtId="0" fontId="187" fillId="59" borderId="11" applyNumberFormat="0">
      <alignment horizontal="left" vertical="top" wrapText="1"/>
      <protection locked="0"/>
    </xf>
    <xf numFmtId="0" fontId="1" fillId="0" borderId="0"/>
    <xf numFmtId="0" fontId="178" fillId="2" borderId="11">
      <alignment horizontal="left" vertical="center" wrapText="1"/>
    </xf>
    <xf numFmtId="0" fontId="76" fillId="0" borderId="0"/>
    <xf numFmtId="0" fontId="76" fillId="0" borderId="0"/>
    <xf numFmtId="168" fontId="187" fillId="59" borderId="11">
      <alignment horizontal="left" vertical="top" wrapText="1" indent="2"/>
      <protection locked="0"/>
    </xf>
    <xf numFmtId="2" fontId="97" fillId="49" borderId="11">
      <alignment horizontal="left" vertical="center"/>
      <protection locked="0"/>
    </xf>
    <xf numFmtId="43" fontId="1" fillId="0" borderId="0" applyFont="0" applyFill="0" applyBorder="0" applyAlignment="0" applyProtection="0"/>
    <xf numFmtId="0" fontId="15" fillId="0" borderId="0"/>
    <xf numFmtId="14" fontId="187" fillId="59" borderId="11">
      <alignment horizontal="left" vertical="center"/>
      <protection locked="0"/>
    </xf>
    <xf numFmtId="14" fontId="187" fillId="59" borderId="11">
      <alignment horizontal="left" vertical="center"/>
      <protection locked="0"/>
    </xf>
    <xf numFmtId="185" fontId="76" fillId="0" borderId="0" applyFont="0" applyFill="0" applyBorder="0" applyAlignment="0" applyProtection="0"/>
    <xf numFmtId="0" fontId="76" fillId="0" borderId="0"/>
    <xf numFmtId="0" fontId="1" fillId="0" borderId="0"/>
    <xf numFmtId="0" fontId="189" fillId="63" borderId="0" applyNumberFormat="0" applyAlignment="0">
      <protection locked="0"/>
    </xf>
    <xf numFmtId="0" fontId="76" fillId="0" borderId="0"/>
    <xf numFmtId="0" fontId="187" fillId="59" borderId="11" applyNumberFormat="0">
      <alignment horizontal="left" vertical="top" wrapText="1"/>
      <protection locked="0"/>
    </xf>
    <xf numFmtId="0" fontId="121" fillId="0" borderId="0"/>
    <xf numFmtId="0" fontId="76" fillId="0" borderId="0"/>
    <xf numFmtId="0" fontId="97" fillId="0" borderId="0">
      <alignment horizontal="left" vertical="center"/>
    </xf>
    <xf numFmtId="0" fontId="15" fillId="0" borderId="0"/>
    <xf numFmtId="44" fontId="76" fillId="0" borderId="0" applyFont="0" applyFill="0" applyBorder="0" applyAlignment="0" applyProtection="0"/>
  </cellStyleXfs>
  <cellXfs count="2701">
    <xf numFmtId="0" fontId="0" fillId="0" borderId="0" xfId="0"/>
    <xf numFmtId="0" fontId="0" fillId="0" borderId="0" xfId="0" applyAlignment="1">
      <alignment horizontal="center"/>
    </xf>
    <xf numFmtId="0" fontId="22" fillId="0" borderId="0" xfId="0" applyFont="1"/>
    <xf numFmtId="0" fontId="15" fillId="0" borderId="0" xfId="0" applyFont="1"/>
    <xf numFmtId="0" fontId="24" fillId="0" borderId="0" xfId="0" applyFont="1"/>
    <xf numFmtId="0" fontId="0" fillId="0" borderId="4" xfId="0" applyBorder="1"/>
    <xf numFmtId="0" fontId="24" fillId="0" borderId="0" xfId="0" applyFont="1" applyAlignment="1">
      <alignment horizontal="center"/>
    </xf>
    <xf numFmtId="0" fontId="15"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2" fillId="0" borderId="4" xfId="0" applyFont="1" applyBorder="1"/>
    <xf numFmtId="164" fontId="0" fillId="0" borderId="0" xfId="0" applyNumberFormat="1" applyAlignment="1">
      <alignment horizontal="right"/>
    </xf>
    <xf numFmtId="0" fontId="22" fillId="0" borderId="0" xfId="0" applyFont="1" applyAlignment="1">
      <alignment horizontal="center"/>
    </xf>
    <xf numFmtId="0" fontId="15" fillId="0" borderId="0" xfId="543"/>
    <xf numFmtId="0" fontId="24" fillId="0" borderId="0" xfId="0" applyFont="1" applyAlignment="1">
      <alignment horizontal="left" vertical="top" wrapText="1"/>
    </xf>
    <xf numFmtId="0" fontId="30" fillId="0" borderId="0" xfId="0" applyFont="1"/>
    <xf numFmtId="0" fontId="23" fillId="0" borderId="0" xfId="0" applyFont="1" applyAlignment="1">
      <alignment vertical="top"/>
    </xf>
    <xf numFmtId="0" fontId="23" fillId="0" borderId="0" xfId="0" applyFont="1" applyAlignment="1">
      <alignment vertical="top" wrapText="1"/>
    </xf>
    <xf numFmtId="0" fontId="24" fillId="0" borderId="0" xfId="0" applyFont="1" applyAlignment="1">
      <alignment horizontal="left" indent="4"/>
    </xf>
    <xf numFmtId="0" fontId="23" fillId="0" borderId="0" xfId="0" applyFont="1" applyAlignment="1">
      <alignment horizontal="left" vertical="top"/>
    </xf>
    <xf numFmtId="0" fontId="23" fillId="0" borderId="0" xfId="0" applyFont="1" applyAlignment="1">
      <alignment horizontal="left"/>
    </xf>
    <xf numFmtId="0" fontId="23" fillId="0" borderId="0" xfId="0" applyFont="1"/>
    <xf numFmtId="0" fontId="35" fillId="0" borderId="0" xfId="543" applyFont="1"/>
    <xf numFmtId="1" fontId="23" fillId="0" borderId="0" xfId="0" applyNumberFormat="1" applyFont="1" applyAlignment="1">
      <alignment horizontal="left"/>
    </xf>
    <xf numFmtId="0" fontId="25" fillId="0" borderId="0" xfId="0" applyFont="1"/>
    <xf numFmtId="1" fontId="23" fillId="0" borderId="0" xfId="0" applyNumberFormat="1" applyFont="1" applyAlignment="1">
      <alignment horizontal="right"/>
    </xf>
    <xf numFmtId="0" fontId="0" fillId="0" borderId="0" xfId="0" applyAlignment="1">
      <alignment horizontal="right"/>
    </xf>
    <xf numFmtId="0" fontId="34" fillId="0" borderId="0" xfId="0" applyFont="1"/>
    <xf numFmtId="0" fontId="27" fillId="0" borderId="0" xfId="0" applyFont="1"/>
    <xf numFmtId="172" fontId="15" fillId="0" borderId="0" xfId="543" applyNumberFormat="1"/>
    <xf numFmtId="9" fontId="15" fillId="0" borderId="0" xfId="543" applyNumberFormat="1" applyAlignment="1">
      <alignment horizontal="left"/>
    </xf>
    <xf numFmtId="168" fontId="15" fillId="0" borderId="0" xfId="543" applyNumberFormat="1"/>
    <xf numFmtId="0" fontId="24" fillId="0" borderId="0" xfId="0" applyFont="1" applyAlignment="1">
      <alignment horizontal="right"/>
    </xf>
    <xf numFmtId="0" fontId="38" fillId="0" borderId="0" xfId="0" applyFont="1"/>
    <xf numFmtId="0" fontId="24" fillId="0" borderId="0" xfId="0" applyFont="1" applyAlignment="1">
      <alignment horizontal="left"/>
    </xf>
    <xf numFmtId="0" fontId="26" fillId="0" borderId="0" xfId="0" applyFont="1"/>
    <xf numFmtId="0" fontId="28" fillId="0" borderId="0" xfId="0" applyFont="1"/>
    <xf numFmtId="0" fontId="22"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2" fillId="0" borderId="1" xfId="0" applyFont="1" applyBorder="1" applyAlignment="1">
      <alignment horizontal="center" wrapText="1"/>
    </xf>
    <xf numFmtId="0" fontId="22"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2" fillId="0" borderId="4" xfId="0" applyFont="1" applyBorder="1" applyAlignment="1">
      <alignment horizontal="center"/>
    </xf>
    <xf numFmtId="0" fontId="31" fillId="0" borderId="3" xfId="0" applyFont="1" applyBorder="1" applyAlignment="1">
      <alignment horizontal="left"/>
    </xf>
    <xf numFmtId="0" fontId="31" fillId="0" borderId="9" xfId="0" applyFont="1" applyBorder="1" applyAlignment="1">
      <alignment horizontal="left"/>
    </xf>
    <xf numFmtId="0" fontId="22" fillId="0" borderId="4" xfId="0" applyFont="1" applyBorder="1" applyAlignment="1">
      <alignment horizontal="right"/>
    </xf>
    <xf numFmtId="0" fontId="22" fillId="0" borderId="5" xfId="0" applyFont="1" applyBorder="1" applyAlignment="1">
      <alignment horizontal="right"/>
    </xf>
    <xf numFmtId="0" fontId="31" fillId="0" borderId="0" xfId="0" applyFont="1" applyAlignment="1">
      <alignment horizontal="left"/>
    </xf>
    <xf numFmtId="0" fontId="22" fillId="0" borderId="0" xfId="0" applyFont="1" applyAlignment="1">
      <alignment horizontal="right"/>
    </xf>
    <xf numFmtId="0" fontId="22"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4" fillId="0" borderId="11" xfId="0" applyFont="1" applyBorder="1" applyAlignment="1">
      <alignment horizontal="left"/>
    </xf>
    <xf numFmtId="0" fontId="22" fillId="0" borderId="9" xfId="0" applyFont="1" applyBorder="1"/>
    <xf numFmtId="164" fontId="0" fillId="0" borderId="0" xfId="0" applyNumberFormat="1" applyAlignment="1">
      <alignment horizontal="center"/>
    </xf>
    <xf numFmtId="0" fontId="0" fillId="0" borderId="12" xfId="0" applyBorder="1"/>
    <xf numFmtId="0" fontId="24" fillId="0" borderId="3" xfId="0" applyFont="1" applyBorder="1"/>
    <xf numFmtId="0" fontId="24" fillId="0" borderId="0" xfId="543" applyFont="1"/>
    <xf numFmtId="0" fontId="40" fillId="0" borderId="0" xfId="543" applyFont="1"/>
    <xf numFmtId="49" fontId="15" fillId="0" borderId="0" xfId="543" applyNumberFormat="1"/>
    <xf numFmtId="0" fontId="38" fillId="0" borderId="0" xfId="543" applyFont="1"/>
    <xf numFmtId="168" fontId="35" fillId="0" borderId="6" xfId="543" applyNumberFormat="1" applyFont="1" applyBorder="1" applyAlignment="1">
      <alignment horizontal="left"/>
    </xf>
    <xf numFmtId="168" fontId="35" fillId="0" borderId="6" xfId="543" applyNumberFormat="1" applyFont="1" applyBorder="1" applyAlignment="1">
      <alignment horizontal="center"/>
    </xf>
    <xf numFmtId="0" fontId="15" fillId="0" borderId="8" xfId="543" applyBorder="1"/>
    <xf numFmtId="0" fontId="35" fillId="0" borderId="0" xfId="543" applyFont="1" applyAlignment="1">
      <alignment horizontal="center"/>
    </xf>
    <xf numFmtId="0" fontId="34" fillId="0" borderId="9" xfId="543" applyFont="1" applyBorder="1" applyAlignment="1">
      <alignment horizontal="left" vertical="top" wrapText="1"/>
    </xf>
    <xf numFmtId="0" fontId="34" fillId="0" borderId="6" xfId="543" applyFont="1" applyBorder="1" applyAlignment="1">
      <alignment horizontal="center" vertical="top" wrapText="1"/>
    </xf>
    <xf numFmtId="0" fontId="15" fillId="0" borderId="9" xfId="543" applyBorder="1"/>
    <xf numFmtId="0" fontId="15" fillId="0" borderId="10" xfId="543" applyBorder="1"/>
    <xf numFmtId="0" fontId="15" fillId="0" borderId="1" xfId="543" applyBorder="1"/>
    <xf numFmtId="0" fontId="35" fillId="0" borderId="2" xfId="543" applyFont="1" applyBorder="1" applyAlignment="1">
      <alignment horizontal="center"/>
    </xf>
    <xf numFmtId="0" fontId="37" fillId="0" borderId="8" xfId="543" applyFont="1" applyBorder="1" applyAlignment="1">
      <alignment horizontal="left" vertical="top" wrapText="1"/>
    </xf>
    <xf numFmtId="0" fontId="34" fillId="0" borderId="0" xfId="543" applyFont="1" applyAlignment="1">
      <alignment horizontal="center" vertical="top" wrapText="1"/>
    </xf>
    <xf numFmtId="0" fontId="15" fillId="0" borderId="12" xfId="543" applyBorder="1"/>
    <xf numFmtId="0" fontId="37" fillId="0" borderId="0" xfId="543" applyFont="1" applyAlignment="1">
      <alignment horizontal="center" vertical="top" wrapText="1"/>
    </xf>
    <xf numFmtId="0" fontId="37" fillId="0" borderId="9" xfId="543" applyFont="1" applyBorder="1" applyAlignment="1">
      <alignment horizontal="left" vertical="top" wrapText="1"/>
    </xf>
    <xf numFmtId="0" fontId="15" fillId="0" borderId="2" xfId="543" applyBorder="1"/>
    <xf numFmtId="0" fontId="15" fillId="0" borderId="7" xfId="543" applyBorder="1"/>
    <xf numFmtId="0" fontId="34" fillId="0" borderId="0" xfId="543" applyFont="1"/>
    <xf numFmtId="0" fontId="15" fillId="0" borderId="0" xfId="543" applyAlignment="1">
      <alignment horizontal="center"/>
    </xf>
    <xf numFmtId="0" fontId="23" fillId="0" borderId="6" xfId="543" applyFont="1" applyBorder="1" applyAlignment="1">
      <alignment vertical="top" wrapText="1"/>
    </xf>
    <xf numFmtId="0" fontId="24" fillId="0" borderId="0" xfId="0" applyFont="1" applyAlignment="1">
      <alignment horizontal="left" vertical="top"/>
    </xf>
    <xf numFmtId="0" fontId="0" fillId="2" borderId="2" xfId="0" applyFill="1" applyBorder="1"/>
    <xf numFmtId="0" fontId="0" fillId="2" borderId="7" xfId="0" applyFill="1" applyBorder="1"/>
    <xf numFmtId="0" fontId="22" fillId="0" borderId="6" xfId="0" applyFont="1" applyBorder="1" applyAlignment="1">
      <alignment horizontal="right"/>
    </xf>
    <xf numFmtId="0" fontId="21" fillId="0" borderId="0" xfId="0" applyFont="1" applyAlignment="1">
      <alignment horizontal="center" vertical="center"/>
    </xf>
    <xf numFmtId="0" fontId="22" fillId="0" borderId="0" xfId="0" applyFont="1" applyAlignment="1">
      <alignment vertical="top"/>
    </xf>
    <xf numFmtId="166" fontId="0" fillId="0" borderId="0" xfId="0" applyNumberFormat="1" applyAlignment="1">
      <alignment horizontal="right"/>
    </xf>
    <xf numFmtId="0" fontId="45" fillId="0" borderId="0" xfId="0" applyFont="1"/>
    <xf numFmtId="0" fontId="32" fillId="0" borderId="0" xfId="0" applyFont="1"/>
    <xf numFmtId="0" fontId="16" fillId="0" borderId="0" xfId="244" applyBorder="1" applyProtection="1"/>
    <xf numFmtId="0" fontId="16" fillId="0" borderId="0" xfId="244" applyFill="1" applyBorder="1" applyAlignment="1">
      <alignment horizontal="center" vertical="center"/>
    </xf>
    <xf numFmtId="0" fontId="15" fillId="0" borderId="3" xfId="543" applyBorder="1"/>
    <xf numFmtId="0" fontId="37" fillId="0" borderId="4" xfId="543" applyFont="1" applyBorder="1" applyAlignment="1">
      <alignment horizontal="right" vertical="top" wrapText="1"/>
    </xf>
    <xf numFmtId="0" fontId="24" fillId="0" borderId="6" xfId="0" applyFont="1" applyBorder="1"/>
    <xf numFmtId="0" fontId="24" fillId="0" borderId="2" xfId="0" applyFont="1" applyBorder="1"/>
    <xf numFmtId="0" fontId="24" fillId="0" borderId="7" xfId="0" applyFont="1" applyBorder="1"/>
    <xf numFmtId="0" fontId="24" fillId="0" borderId="12" xfId="0" applyFont="1" applyBorder="1"/>
    <xf numFmtId="0" fontId="24" fillId="0" borderId="9" xfId="0" applyFont="1" applyBorder="1"/>
    <xf numFmtId="0" fontId="24" fillId="0" borderId="10" xfId="0" applyFont="1" applyBorder="1"/>
    <xf numFmtId="0" fontId="29" fillId="0" borderId="6" xfId="0" applyFont="1" applyBorder="1" applyAlignment="1">
      <alignment vertical="top" wrapText="1"/>
    </xf>
    <xf numFmtId="0" fontId="29" fillId="0" borderId="5" xfId="0" applyFont="1" applyBorder="1" applyAlignment="1">
      <alignment vertical="top" wrapText="1"/>
    </xf>
    <xf numFmtId="0" fontId="29" fillId="0" borderId="4" xfId="0" applyFont="1" applyBorder="1" applyAlignment="1">
      <alignment vertical="top" wrapText="1"/>
    </xf>
    <xf numFmtId="0" fontId="29" fillId="2" borderId="6" xfId="0" applyFont="1" applyFill="1" applyBorder="1" applyAlignment="1">
      <alignment vertical="top" wrapText="1"/>
    </xf>
    <xf numFmtId="0" fontId="0" fillId="0" borderId="8" xfId="0" applyBorder="1"/>
    <xf numFmtId="0" fontId="22" fillId="0" borderId="2" xfId="0" applyFont="1" applyBorder="1"/>
    <xf numFmtId="0" fontId="24" fillId="0" borderId="0" xfId="0" applyFont="1" applyAlignment="1">
      <alignment vertical="top"/>
    </xf>
    <xf numFmtId="0" fontId="24" fillId="0" borderId="0" xfId="0" applyFont="1" applyAlignment="1">
      <alignment vertical="top" wrapText="1"/>
    </xf>
    <xf numFmtId="0" fontId="15" fillId="0" borderId="0" xfId="0" applyFont="1" applyAlignment="1">
      <alignment horizontal="left"/>
    </xf>
    <xf numFmtId="0" fontId="15" fillId="0" borderId="0" xfId="0" applyFont="1" applyAlignment="1">
      <alignment vertical="top"/>
    </xf>
    <xf numFmtId="0" fontId="44" fillId="0" borderId="0" xfId="0" applyFont="1"/>
    <xf numFmtId="0" fontId="15" fillId="0" borderId="3" xfId="0" applyFont="1" applyBorder="1"/>
    <xf numFmtId="0" fontId="15"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9" fillId="3" borderId="4" xfId="0" applyFont="1" applyFill="1" applyBorder="1" applyAlignment="1">
      <alignment vertical="top" wrapText="1"/>
    </xf>
    <xf numFmtId="0" fontId="29" fillId="3" borderId="5" xfId="0" applyFont="1" applyFill="1" applyBorder="1" applyAlignment="1">
      <alignment vertical="top" wrapText="1"/>
    </xf>
    <xf numFmtId="0" fontId="47" fillId="0" borderId="0" xfId="0" applyFont="1"/>
    <xf numFmtId="0" fontId="24" fillId="0" borderId="4" xfId="0" applyFont="1" applyBorder="1"/>
    <xf numFmtId="0" fontId="22" fillId="0" borderId="2" xfId="0" applyFont="1" applyBorder="1" applyAlignment="1">
      <alignment horizontal="center"/>
    </xf>
    <xf numFmtId="0" fontId="22" fillId="0" borderId="0" xfId="0" applyFont="1" applyAlignment="1">
      <alignment horizontal="center" vertical="center" wrapText="1"/>
    </xf>
    <xf numFmtId="0" fontId="22" fillId="0" borderId="7" xfId="543" applyFont="1" applyBorder="1" applyAlignment="1">
      <alignment horizontal="right"/>
    </xf>
    <xf numFmtId="0" fontId="23" fillId="0" borderId="9" xfId="543" applyFont="1" applyBorder="1"/>
    <xf numFmtId="0" fontId="24" fillId="0" borderId="6" xfId="543" applyFont="1" applyBorder="1"/>
    <xf numFmtId="0" fontId="23" fillId="0" borderId="6" xfId="543" applyFont="1" applyBorder="1" applyAlignment="1">
      <alignment horizontal="right"/>
    </xf>
    <xf numFmtId="0" fontId="22" fillId="0" borderId="0" xfId="0" applyFont="1" applyAlignment="1">
      <alignment horizontal="center" vertical="center"/>
    </xf>
    <xf numFmtId="0" fontId="24"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8"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4" fillId="0" borderId="0" xfId="0" applyNumberFormat="1" applyFont="1" applyAlignment="1">
      <alignment horizontal="left"/>
    </xf>
    <xf numFmtId="0" fontId="56" fillId="0" borderId="0" xfId="0" applyFont="1"/>
    <xf numFmtId="0" fontId="15" fillId="0" borderId="0" xfId="244" applyFont="1" applyFill="1" applyBorder="1" applyAlignment="1" applyProtection="1">
      <alignment horizontal="left"/>
    </xf>
    <xf numFmtId="0" fontId="46" fillId="0" borderId="0" xfId="0" applyFont="1"/>
    <xf numFmtId="0" fontId="46" fillId="0" borderId="0" xfId="244" applyFont="1" applyFill="1" applyBorder="1" applyAlignment="1" applyProtection="1">
      <alignment horizontal="left"/>
    </xf>
    <xf numFmtId="0" fontId="21" fillId="3" borderId="11" xfId="0" applyFont="1" applyFill="1" applyBorder="1" applyAlignment="1">
      <alignment vertical="top"/>
    </xf>
    <xf numFmtId="0" fontId="0" fillId="7" borderId="0" xfId="0" applyFill="1"/>
    <xf numFmtId="0" fontId="35" fillId="0" borderId="0" xfId="0" applyFont="1"/>
    <xf numFmtId="0" fontId="58" fillId="0" borderId="0" xfId="0" applyFont="1"/>
    <xf numFmtId="0" fontId="33" fillId="0" borderId="0" xfId="0" applyFont="1" applyAlignment="1">
      <alignment horizontal="center"/>
    </xf>
    <xf numFmtId="0" fontId="33" fillId="0" borderId="0" xfId="0" applyFont="1"/>
    <xf numFmtId="0" fontId="33" fillId="0" borderId="0" xfId="0" applyFont="1" applyAlignment="1">
      <alignment horizontal="left"/>
    </xf>
    <xf numFmtId="49" fontId="22" fillId="0" borderId="0" xfId="0" applyNumberFormat="1" applyFont="1" applyAlignment="1">
      <alignment horizontal="center"/>
    </xf>
    <xf numFmtId="0" fontId="50" fillId="0" borderId="0" xfId="0" applyFont="1" applyAlignment="1">
      <alignment horizontal="center"/>
    </xf>
    <xf numFmtId="0" fontId="49" fillId="0" borderId="0" xfId="244" applyFont="1" applyAlignment="1" applyProtection="1">
      <alignment horizontal="center"/>
    </xf>
    <xf numFmtId="0" fontId="24" fillId="0" borderId="0" xfId="0" quotePrefix="1" applyFont="1" applyAlignment="1">
      <alignment horizontal="left"/>
    </xf>
    <xf numFmtId="49" fontId="24" fillId="0" borderId="0" xfId="0" applyNumberFormat="1" applyFont="1" applyAlignment="1">
      <alignment horizontal="center"/>
    </xf>
    <xf numFmtId="0" fontId="22" fillId="0" borderId="0" xfId="0" quotePrefix="1" applyFont="1" applyAlignment="1">
      <alignment horizontal="center"/>
    </xf>
    <xf numFmtId="49" fontId="0" fillId="0" borderId="0" xfId="0" applyNumberFormat="1"/>
    <xf numFmtId="0" fontId="47" fillId="0" borderId="0" xfId="0" applyFont="1" applyAlignment="1">
      <alignment horizontal="left"/>
    </xf>
    <xf numFmtId="49" fontId="24" fillId="0" borderId="0" xfId="0" applyNumberFormat="1" applyFont="1"/>
    <xf numFmtId="49" fontId="22" fillId="0" borderId="0" xfId="0" applyNumberFormat="1" applyFont="1" applyAlignment="1">
      <alignment horizontal="left"/>
    </xf>
    <xf numFmtId="168" fontId="24" fillId="0" borderId="0" xfId="0" applyNumberFormat="1" applyFont="1" applyAlignment="1">
      <alignment horizontal="center"/>
    </xf>
    <xf numFmtId="168" fontId="34"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5" fillId="0" borderId="0" xfId="0" applyFont="1" applyAlignment="1">
      <alignment vertical="top" wrapText="1"/>
    </xf>
    <xf numFmtId="0" fontId="53" fillId="0" borderId="4" xfId="0" applyFont="1" applyBorder="1" applyAlignment="1">
      <alignment horizontal="right"/>
    </xf>
    <xf numFmtId="0" fontId="60" fillId="0" borderId="0" xfId="0" applyFont="1"/>
    <xf numFmtId="3" fontId="24" fillId="0" borderId="0" xfId="0" applyNumberFormat="1" applyFont="1" applyAlignment="1">
      <alignment horizontal="center"/>
    </xf>
    <xf numFmtId="168" fontId="15" fillId="0" borderId="0" xfId="0" applyNumberFormat="1" applyFont="1" applyAlignment="1">
      <alignment horizontal="left" vertical="top"/>
    </xf>
    <xf numFmtId="168" fontId="24" fillId="0" borderId="0" xfId="0" applyNumberFormat="1" applyFont="1" applyAlignment="1">
      <alignment horizontal="left" vertical="top"/>
    </xf>
    <xf numFmtId="0" fontId="24" fillId="0" borderId="0" xfId="0" applyFont="1" applyAlignment="1">
      <alignment horizontal="center" vertical="center"/>
    </xf>
    <xf numFmtId="0" fontId="24" fillId="0" borderId="0" xfId="0" applyFont="1" applyAlignment="1">
      <alignment vertical="center"/>
    </xf>
    <xf numFmtId="0" fontId="0" fillId="0" borderId="0" xfId="0" applyAlignment="1">
      <alignment vertical="center"/>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2" fillId="0" borderId="0" xfId="542" applyFont="1" applyProtection="1">
      <protection locked="0"/>
    </xf>
    <xf numFmtId="0" fontId="15" fillId="0" borderId="0" xfId="539" applyProtection="1"/>
    <xf numFmtId="0" fontId="35" fillId="8" borderId="0" xfId="539" applyFont="1" applyFill="1" applyAlignment="1" applyProtection="1">
      <alignment horizontal="centerContinuous"/>
    </xf>
    <xf numFmtId="4" fontId="24" fillId="0" borderId="0" xfId="0" applyNumberFormat="1" applyFont="1"/>
    <xf numFmtId="0" fontId="22" fillId="0" borderId="0" xfId="543" applyFont="1"/>
    <xf numFmtId="0" fontId="24" fillId="0" borderId="0" xfId="543" applyFont="1" applyAlignment="1">
      <alignment horizontal="left"/>
    </xf>
    <xf numFmtId="0" fontId="24" fillId="0" borderId="15" xfId="0" applyFont="1" applyBorder="1"/>
    <xf numFmtId="0" fontId="24" fillId="0" borderId="11" xfId="0" applyFont="1" applyBorder="1"/>
    <xf numFmtId="2" fontId="38" fillId="0" borderId="11" xfId="0" applyNumberFormat="1" applyFont="1" applyBorder="1"/>
    <xf numFmtId="0" fontId="15" fillId="0" borderId="0" xfId="0" applyFont="1" applyProtection="1">
      <protection locked="0"/>
    </xf>
    <xf numFmtId="0" fontId="63" fillId="0" borderId="0" xfId="0" applyFont="1" applyAlignment="1">
      <alignment horizontal="center"/>
    </xf>
    <xf numFmtId="0" fontId="24" fillId="0" borderId="0" xfId="271"/>
    <xf numFmtId="0" fontId="22" fillId="0" borderId="0" xfId="271" applyFont="1"/>
    <xf numFmtId="0" fontId="24" fillId="0" borderId="0" xfId="271" applyAlignment="1">
      <alignment horizontal="left"/>
    </xf>
    <xf numFmtId="0" fontId="16" fillId="0" borderId="0" xfId="244" applyFill="1" applyBorder="1" applyProtection="1">
      <protection locked="0"/>
    </xf>
    <xf numFmtId="168" fontId="22" fillId="0" borderId="2" xfId="543" applyNumberFormat="1" applyFont="1" applyBorder="1" applyAlignment="1">
      <alignment horizontal="center" vertical="center"/>
    </xf>
    <xf numFmtId="0" fontId="37" fillId="0" borderId="0" xfId="543" applyFont="1" applyAlignment="1">
      <alignment horizontal="right" vertical="top" wrapText="1"/>
    </xf>
    <xf numFmtId="0" fontId="35" fillId="0" borderId="2" xfId="543" applyFont="1" applyBorder="1" applyAlignment="1">
      <alignment horizontal="right" vertical="top" wrapText="1"/>
    </xf>
    <xf numFmtId="0" fontId="20" fillId="0" borderId="0" xfId="0" applyFont="1"/>
    <xf numFmtId="0" fontId="65" fillId="0" borderId="0" xfId="0" applyFont="1"/>
    <xf numFmtId="0" fontId="63" fillId="0" borderId="0" xfId="0" applyFont="1"/>
    <xf numFmtId="0" fontId="35"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2" fillId="0" borderId="0" xfId="0" applyNumberFormat="1" applyFont="1" applyAlignment="1">
      <alignment horizontal="center"/>
    </xf>
    <xf numFmtId="3" fontId="0" fillId="0" borderId="0" xfId="0" applyNumberFormat="1" applyAlignment="1">
      <alignment horizontal="center"/>
    </xf>
    <xf numFmtId="3" fontId="24" fillId="0" borderId="0" xfId="0" applyNumberFormat="1" applyFont="1"/>
    <xf numFmtId="0" fontId="64" fillId="0" borderId="0" xfId="0" applyFont="1"/>
    <xf numFmtId="168" fontId="20" fillId="0" borderId="0" xfId="0" applyNumberFormat="1" applyFont="1"/>
    <xf numFmtId="10" fontId="20" fillId="0" borderId="0" xfId="0" applyNumberFormat="1" applyFont="1" applyAlignment="1">
      <alignment horizontal="center"/>
    </xf>
    <xf numFmtId="3" fontId="67" fillId="0" borderId="0" xfId="0" applyNumberFormat="1" applyFont="1"/>
    <xf numFmtId="3" fontId="20" fillId="0" borderId="0" xfId="0" applyNumberFormat="1" applyFont="1"/>
    <xf numFmtId="168" fontId="64" fillId="0" borderId="0" xfId="0" applyNumberFormat="1" applyFont="1"/>
    <xf numFmtId="168" fontId="64" fillId="0" borderId="0" xfId="0" applyNumberFormat="1" applyFont="1" applyAlignment="1">
      <alignment horizontal="center"/>
    </xf>
    <xf numFmtId="0" fontId="20" fillId="5" borderId="0" xfId="0" applyFont="1" applyFill="1" applyAlignment="1">
      <alignment horizontal="left"/>
    </xf>
    <xf numFmtId="0" fontId="20" fillId="5" borderId="0" xfId="0" applyFont="1" applyFill="1"/>
    <xf numFmtId="10" fontId="20" fillId="0" borderId="0" xfId="0" applyNumberFormat="1" applyFont="1"/>
    <xf numFmtId="172" fontId="20" fillId="0" borderId="0" xfId="0" applyNumberFormat="1" applyFont="1"/>
    <xf numFmtId="172" fontId="20" fillId="0" borderId="0" xfId="0" applyNumberFormat="1" applyFont="1" applyAlignment="1">
      <alignment horizontal="center"/>
    </xf>
    <xf numFmtId="0" fontId="20" fillId="0" borderId="6" xfId="0" applyFont="1" applyBorder="1"/>
    <xf numFmtId="10" fontId="20" fillId="0" borderId="6" xfId="0" applyNumberFormat="1" applyFont="1" applyBorder="1" applyAlignment="1">
      <alignment horizontal="center"/>
    </xf>
    <xf numFmtId="3" fontId="20" fillId="0" borderId="6" xfId="0" applyNumberFormat="1" applyFont="1" applyBorder="1"/>
    <xf numFmtId="10" fontId="24" fillId="0" borderId="0" xfId="0" applyNumberFormat="1" applyFont="1" applyAlignment="1">
      <alignment horizontal="center"/>
    </xf>
    <xf numFmtId="3" fontId="24" fillId="0" borderId="0" xfId="0" applyNumberFormat="1" applyFont="1" applyAlignment="1">
      <alignment vertical="top"/>
    </xf>
    <xf numFmtId="10" fontId="22" fillId="0" borderId="0" xfId="0" applyNumberFormat="1" applyFont="1" applyAlignment="1">
      <alignment horizontal="center"/>
    </xf>
    <xf numFmtId="0" fontId="63" fillId="0" borderId="6" xfId="0" applyFont="1" applyBorder="1" applyAlignment="1">
      <alignment horizontal="center"/>
    </xf>
    <xf numFmtId="172" fontId="24" fillId="0" borderId="0" xfId="0" applyNumberFormat="1" applyFont="1" applyAlignment="1">
      <alignment horizontal="center"/>
    </xf>
    <xf numFmtId="10" fontId="68" fillId="0" borderId="0" xfId="0" applyNumberFormat="1" applyFont="1" applyAlignment="1">
      <alignment horizontal="center"/>
    </xf>
    <xf numFmtId="4" fontId="24" fillId="0" borderId="0" xfId="271" applyNumberFormat="1" applyAlignment="1">
      <alignment horizontal="left"/>
    </xf>
    <xf numFmtId="0" fontId="24" fillId="0" borderId="0" xfId="271" applyAlignment="1">
      <alignment horizontal="center"/>
    </xf>
    <xf numFmtId="0" fontId="24" fillId="9" borderId="6" xfId="0" applyFont="1" applyFill="1" applyBorder="1"/>
    <xf numFmtId="0" fontId="24" fillId="0" borderId="4" xfId="271" applyBorder="1"/>
    <xf numFmtId="0" fontId="24" fillId="0" borderId="6" xfId="271" applyBorder="1"/>
    <xf numFmtId="0" fontId="24" fillId="0" borderId="1" xfId="0" applyFont="1" applyBorder="1"/>
    <xf numFmtId="168" fontId="24" fillId="0" borderId="3" xfId="0" applyNumberFormat="1" applyFont="1" applyBorder="1" applyAlignment="1">
      <alignment vertical="top"/>
    </xf>
    <xf numFmtId="168" fontId="24" fillId="0" borderId="4" xfId="0" applyNumberFormat="1" applyFont="1" applyBorder="1" applyAlignment="1">
      <alignment vertical="top"/>
    </xf>
    <xf numFmtId="168" fontId="24" fillId="0" borderId="5" xfId="0" applyNumberFormat="1" applyFont="1" applyBorder="1" applyAlignment="1">
      <alignment vertical="top"/>
    </xf>
    <xf numFmtId="168" fontId="24" fillId="0" borderId="8" xfId="0" applyNumberFormat="1" applyFont="1" applyBorder="1" applyAlignment="1">
      <alignment vertical="top"/>
    </xf>
    <xf numFmtId="168" fontId="24" fillId="0" borderId="0" xfId="0" applyNumberFormat="1" applyFont="1" applyAlignment="1">
      <alignment vertical="top"/>
    </xf>
    <xf numFmtId="0" fontId="24" fillId="0" borderId="0" xfId="0" applyFont="1" applyAlignment="1">
      <alignment horizontal="right" vertical="top"/>
    </xf>
    <xf numFmtId="0" fontId="24"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4" fillId="5" borderId="4" xfId="0" applyFont="1" applyFill="1" applyBorder="1" applyAlignment="1" applyProtection="1">
      <alignment horizontal="left" vertical="top"/>
      <protection locked="0"/>
    </xf>
    <xf numFmtId="0" fontId="24"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4" fontId="24" fillId="0" borderId="0" xfId="0" applyNumberFormat="1" applyFont="1" applyAlignment="1">
      <alignment horizontal="center"/>
    </xf>
    <xf numFmtId="4" fontId="0" fillId="0" borderId="0" xfId="0" applyNumberFormat="1"/>
    <xf numFmtId="0" fontId="34" fillId="0" borderId="1" xfId="543" applyFont="1" applyBorder="1" applyAlignment="1">
      <alignment horizontal="left" vertical="top" wrapText="1"/>
    </xf>
    <xf numFmtId="0" fontId="34" fillId="0" borderId="12" xfId="543" applyFont="1" applyBorder="1" applyAlignment="1">
      <alignment horizontal="center" vertical="top" wrapText="1"/>
    </xf>
    <xf numFmtId="0" fontId="34" fillId="0" borderId="8" xfId="543" applyFont="1" applyBorder="1" applyAlignment="1">
      <alignment horizontal="left" vertical="top" wrapText="1"/>
    </xf>
    <xf numFmtId="0" fontId="29" fillId="3" borderId="4" xfId="271" applyFont="1" applyFill="1" applyBorder="1" applyAlignment="1">
      <alignment vertical="top" wrapText="1"/>
    </xf>
    <xf numFmtId="0" fontId="21" fillId="3" borderId="11" xfId="271" applyFont="1" applyFill="1" applyBorder="1" applyAlignment="1">
      <alignment vertical="top"/>
    </xf>
    <xf numFmtId="0" fontId="22" fillId="0" borderId="9" xfId="271" applyFont="1" applyBorder="1" applyAlignment="1">
      <alignment horizontal="center" wrapText="1"/>
    </xf>
    <xf numFmtId="0" fontId="29" fillId="3" borderId="4" xfId="271" applyFont="1" applyFill="1" applyBorder="1" applyAlignment="1" applyProtection="1">
      <alignment vertical="top" wrapText="1"/>
      <protection locked="0"/>
    </xf>
    <xf numFmtId="0" fontId="29" fillId="3" borderId="5" xfId="271" applyFont="1" applyFill="1" applyBorder="1" applyAlignment="1" applyProtection="1">
      <alignment vertical="top" wrapText="1"/>
      <protection locked="0"/>
    </xf>
    <xf numFmtId="0" fontId="22" fillId="0" borderId="13" xfId="271" applyFont="1" applyBorder="1" applyAlignment="1">
      <alignment horizontal="center" wrapText="1"/>
    </xf>
    <xf numFmtId="0" fontId="47" fillId="2" borderId="11" xfId="271" applyFont="1" applyFill="1" applyBorder="1" applyAlignment="1">
      <alignment horizontal="left" vertical="top" wrapText="1"/>
    </xf>
    <xf numFmtId="0" fontId="24" fillId="0" borderId="11" xfId="271" applyBorder="1" applyAlignment="1" applyProtection="1">
      <alignment vertical="top" wrapText="1"/>
      <protection locked="0"/>
    </xf>
    <xf numFmtId="168" fontId="24" fillId="5" borderId="11" xfId="271" applyNumberFormat="1" applyFill="1" applyBorder="1" applyAlignment="1" applyProtection="1">
      <alignment vertical="top" wrapText="1"/>
      <protection locked="0"/>
    </xf>
    <xf numFmtId="0" fontId="24" fillId="5" borderId="3" xfId="271" applyFill="1" applyBorder="1" applyAlignment="1" applyProtection="1">
      <alignment vertical="top" wrapText="1"/>
      <protection locked="0"/>
    </xf>
    <xf numFmtId="0" fontId="24" fillId="5" borderId="11" xfId="271" applyFill="1" applyBorder="1" applyAlignment="1" applyProtection="1">
      <alignment vertical="top" wrapText="1"/>
      <protection locked="0"/>
    </xf>
    <xf numFmtId="0" fontId="24" fillId="0" borderId="11" xfId="271" applyBorder="1" applyAlignment="1">
      <alignment horizontal="right" vertical="top" wrapText="1"/>
    </xf>
    <xf numFmtId="168" fontId="24" fillId="0" borderId="11" xfId="271" applyNumberFormat="1" applyBorder="1" applyAlignment="1">
      <alignment vertical="top" wrapText="1"/>
    </xf>
    <xf numFmtId="0" fontId="22" fillId="0" borderId="11" xfId="271" applyFont="1" applyBorder="1" applyAlignment="1">
      <alignment horizontal="right" vertical="top" wrapText="1"/>
    </xf>
    <xf numFmtId="0" fontId="24" fillId="5" borderId="11" xfId="271" applyFill="1" applyBorder="1" applyAlignment="1" applyProtection="1">
      <alignment horizontal="right" vertical="top" wrapText="1"/>
      <protection locked="0"/>
    </xf>
    <xf numFmtId="168" fontId="22" fillId="0" borderId="11" xfId="271" applyNumberFormat="1" applyFont="1" applyBorder="1" applyAlignment="1">
      <alignment vertical="top" wrapText="1"/>
    </xf>
    <xf numFmtId="0" fontId="32" fillId="0" borderId="11" xfId="271" applyFont="1" applyBorder="1" applyAlignment="1">
      <alignment horizontal="right" vertical="top" wrapText="1"/>
    </xf>
    <xf numFmtId="0" fontId="29" fillId="0" borderId="0" xfId="271" applyFont="1" applyAlignment="1" applyProtection="1">
      <alignment horizontal="right" vertical="top" wrapText="1"/>
      <protection locked="0"/>
    </xf>
    <xf numFmtId="0" fontId="29" fillId="0" borderId="0" xfId="271" applyFont="1" applyAlignment="1" applyProtection="1">
      <alignment vertical="top" wrapText="1"/>
      <protection locked="0"/>
    </xf>
    <xf numFmtId="0" fontId="24" fillId="0" borderId="5" xfId="271" applyBorder="1" applyAlignment="1" applyProtection="1">
      <alignment vertical="top" wrapText="1"/>
      <protection locked="0"/>
    </xf>
    <xf numFmtId="0" fontId="22" fillId="0" borderId="3" xfId="271" applyFont="1" applyBorder="1" applyAlignment="1">
      <alignment horizontal="left" vertical="top"/>
    </xf>
    <xf numFmtId="0" fontId="24" fillId="0" borderId="4" xfId="271" applyBorder="1" applyAlignment="1" applyProtection="1">
      <alignment horizontal="left" vertical="top"/>
      <protection locked="0"/>
    </xf>
    <xf numFmtId="0" fontId="24" fillId="0" borderId="4" xfId="271" applyBorder="1" applyAlignment="1" applyProtection="1">
      <alignment vertical="top" wrapText="1"/>
      <protection locked="0"/>
    </xf>
    <xf numFmtId="0" fontId="29" fillId="0" borderId="0" xfId="271" applyFont="1" applyAlignment="1">
      <alignment vertical="top" wrapText="1"/>
    </xf>
    <xf numFmtId="0" fontId="24" fillId="0" borderId="4" xfId="271" applyBorder="1" applyAlignment="1">
      <alignment vertical="top" wrapText="1"/>
    </xf>
    <xf numFmtId="0" fontId="47"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61" fillId="0" borderId="0" xfId="542"/>
    <xf numFmtId="0" fontId="24" fillId="8" borderId="0" xfId="542" quotePrefix="1" applyFont="1" applyFill="1" applyAlignment="1">
      <alignment horizontal="left"/>
    </xf>
    <xf numFmtId="0" fontId="24" fillId="8" borderId="0" xfId="542" applyFont="1" applyFill="1"/>
    <xf numFmtId="0" fontId="32"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4" fillId="0" borderId="0" xfId="271" applyAlignment="1">
      <alignment horizontal="left" vertical="top"/>
    </xf>
    <xf numFmtId="0" fontId="22" fillId="0" borderId="0" xfId="271" applyFont="1" applyAlignment="1">
      <alignment horizontal="right"/>
    </xf>
    <xf numFmtId="0" fontId="23" fillId="0" borderId="0" xfId="271" applyFont="1" applyAlignment="1">
      <alignment horizontal="center"/>
    </xf>
    <xf numFmtId="5" fontId="24" fillId="0" borderId="0" xfId="542" applyNumberFormat="1" applyFont="1"/>
    <xf numFmtId="1" fontId="24" fillId="0" borderId="15" xfId="271" applyNumberFormat="1" applyBorder="1"/>
    <xf numFmtId="1" fontId="24" fillId="0" borderId="14" xfId="271" applyNumberFormat="1" applyBorder="1"/>
    <xf numFmtId="0" fontId="23" fillId="0" borderId="6" xfId="271" applyFont="1" applyBorder="1" applyAlignment="1">
      <alignment horizontal="left"/>
    </xf>
    <xf numFmtId="0" fontId="23" fillId="0" borderId="6" xfId="271" applyFont="1" applyBorder="1" applyAlignment="1">
      <alignment horizontal="right"/>
    </xf>
    <xf numFmtId="165" fontId="24" fillId="0" borderId="0" xfId="271" applyNumberFormat="1"/>
    <xf numFmtId="170" fontId="24" fillId="0" borderId="14" xfId="271" applyNumberFormat="1" applyBorder="1"/>
    <xf numFmtId="1" fontId="22" fillId="0" borderId="11" xfId="271" applyNumberFormat="1" applyFont="1" applyBorder="1"/>
    <xf numFmtId="165" fontId="22" fillId="0" borderId="11" xfId="271" applyNumberFormat="1" applyFont="1" applyBorder="1"/>
    <xf numFmtId="3" fontId="55" fillId="0" borderId="11" xfId="0" applyNumberFormat="1" applyFont="1" applyBorder="1" applyAlignment="1">
      <alignment vertical="top" wrapText="1"/>
    </xf>
    <xf numFmtId="166" fontId="24" fillId="0" borderId="0" xfId="0" applyNumberFormat="1" applyFont="1"/>
    <xf numFmtId="0" fontId="0" fillId="0" borderId="0" xfId="0" applyProtection="1">
      <protection locked="0"/>
    </xf>
    <xf numFmtId="0" fontId="22" fillId="0" borderId="0" xfId="271" applyFont="1" applyAlignment="1">
      <alignment horizontal="left"/>
    </xf>
    <xf numFmtId="0" fontId="20" fillId="0" borderId="0" xfId="0" applyFont="1" applyProtection="1">
      <protection locked="0"/>
    </xf>
    <xf numFmtId="0" fontId="20" fillId="0" borderId="0" xfId="271" applyFont="1" applyProtection="1">
      <protection locked="0"/>
    </xf>
    <xf numFmtId="168" fontId="20" fillId="0" borderId="0" xfId="271" applyNumberFormat="1" applyFont="1" applyProtection="1">
      <protection locked="0"/>
    </xf>
    <xf numFmtId="49" fontId="24" fillId="0" borderId="0" xfId="271" applyNumberFormat="1"/>
    <xf numFmtId="0" fontId="28" fillId="0" borderId="1" xfId="0" applyFont="1" applyBorder="1"/>
    <xf numFmtId="0" fontId="15" fillId="0" borderId="2" xfId="0" applyFont="1" applyBorder="1" applyAlignment="1">
      <alignment horizontal="left"/>
    </xf>
    <xf numFmtId="0" fontId="15" fillId="0" borderId="2" xfId="0" applyFont="1" applyBorder="1"/>
    <xf numFmtId="0" fontId="28" fillId="0" borderId="8" xfId="0" applyFont="1" applyBorder="1"/>
    <xf numFmtId="0" fontId="28" fillId="0" borderId="9" xfId="0" applyFont="1" applyBorder="1"/>
    <xf numFmtId="0" fontId="22"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4" fillId="5" borderId="0" xfId="0" applyNumberFormat="1" applyFont="1" applyFill="1" applyAlignment="1">
      <alignment horizontal="center"/>
    </xf>
    <xf numFmtId="0" fontId="24" fillId="0" borderId="0" xfId="271" applyAlignment="1" applyProtection="1">
      <alignment horizontal="left"/>
      <protection locked="0"/>
    </xf>
    <xf numFmtId="0" fontId="24" fillId="0" borderId="0" xfId="0" applyFont="1" applyAlignment="1" applyProtection="1">
      <alignment horizontal="left"/>
      <protection locked="0"/>
    </xf>
    <xf numFmtId="0" fontId="74" fillId="0" borderId="0" xfId="0" applyFont="1" applyAlignment="1">
      <alignment horizontal="left" vertical="center"/>
    </xf>
    <xf numFmtId="0" fontId="34" fillId="0" borderId="2" xfId="543" applyFont="1" applyBorder="1" applyAlignment="1">
      <alignment horizontal="center" vertical="top" wrapText="1"/>
    </xf>
    <xf numFmtId="49" fontId="45" fillId="0" borderId="0" xfId="0" applyNumberFormat="1" applyFont="1" applyAlignment="1">
      <alignment horizontal="center"/>
    </xf>
    <xf numFmtId="0" fontId="50" fillId="0" borderId="0" xfId="271" applyFont="1" applyAlignment="1">
      <alignment horizontal="center"/>
    </xf>
    <xf numFmtId="49" fontId="24" fillId="0" borderId="0" xfId="271" applyNumberForma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29"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2" fillId="0" borderId="0" xfId="0" applyFont="1" applyAlignment="1">
      <alignment horizontal="left" vertical="top" wrapText="1"/>
    </xf>
    <xf numFmtId="0" fontId="24" fillId="0" borderId="0" xfId="0" applyFont="1" applyAlignment="1">
      <alignment horizontal="right" vertical="top" wrapText="1"/>
    </xf>
    <xf numFmtId="10" fontId="24"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2" fillId="0" borderId="2" xfId="543" applyFont="1" applyBorder="1" applyAlignment="1">
      <alignment horizontal="center"/>
    </xf>
    <xf numFmtId="0" fontId="0" fillId="0" borderId="0" xfId="543" applyFont="1"/>
    <xf numFmtId="0" fontId="16"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2" fillId="8" borderId="11" xfId="542" applyFont="1" applyFill="1" applyBorder="1" applyAlignment="1">
      <alignment horizontal="left"/>
    </xf>
    <xf numFmtId="0" fontId="22"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2" fillId="0" borderId="0" xfId="271" applyFont="1" applyAlignment="1" applyProtection="1">
      <alignment horizontal="center" wrapText="1"/>
      <protection locked="0"/>
    </xf>
    <xf numFmtId="0" fontId="24" fillId="0" borderId="0" xfId="271" applyAlignment="1" applyProtection="1">
      <alignment vertical="top" wrapText="1"/>
      <protection locked="0"/>
    </xf>
    <xf numFmtId="0" fontId="22" fillId="0" borderId="0" xfId="271" applyFont="1" applyAlignment="1" applyProtection="1">
      <alignment vertical="top" wrapText="1"/>
      <protection locked="0"/>
    </xf>
    <xf numFmtId="0" fontId="22" fillId="0" borderId="8" xfId="271" applyFont="1" applyBorder="1" applyAlignment="1" applyProtection="1">
      <alignment horizontal="center" wrapText="1"/>
      <protection locked="0"/>
    </xf>
    <xf numFmtId="0" fontId="24" fillId="0" borderId="8" xfId="27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15" fillId="0" borderId="0" xfId="0" applyFont="1" applyAlignment="1">
      <alignment horizontal="center"/>
    </xf>
    <xf numFmtId="0" fontId="29" fillId="0" borderId="8" xfId="569" applyFont="1" applyBorder="1" applyAlignment="1">
      <alignment vertical="top" wrapText="1"/>
    </xf>
    <xf numFmtId="0" fontId="29"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8"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2"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0" fillId="0" borderId="0" xfId="569" applyFont="1" applyAlignment="1">
      <alignment vertical="top" wrapText="1"/>
    </xf>
    <xf numFmtId="0" fontId="30" fillId="0" borderId="12" xfId="569" applyFont="1" applyBorder="1" applyAlignment="1">
      <alignment vertical="top" wrapText="1"/>
    </xf>
    <xf numFmtId="0" fontId="30"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5" fillId="0" borderId="0" xfId="569" applyAlignment="1">
      <alignment vertical="top" wrapText="1"/>
    </xf>
    <xf numFmtId="0" fontId="15" fillId="0" borderId="0" xfId="569" applyAlignment="1">
      <alignment vertical="top"/>
    </xf>
    <xf numFmtId="0" fontId="52" fillId="0" borderId="0" xfId="569" applyFont="1" applyAlignment="1">
      <alignment horizontal="right" vertical="top" wrapText="1"/>
    </xf>
    <xf numFmtId="0" fontId="22" fillId="0" borderId="0" xfId="569" applyFont="1" applyAlignment="1">
      <alignment horizontal="left" vertical="top" wrapText="1"/>
    </xf>
    <xf numFmtId="168" fontId="52" fillId="0" borderId="0" xfId="569" applyNumberFormat="1" applyFont="1" applyAlignment="1">
      <alignment horizontal="right" vertical="top" wrapText="1"/>
    </xf>
    <xf numFmtId="0" fontId="15" fillId="0" borderId="0" xfId="569" applyAlignment="1" applyProtection="1">
      <alignment horizontal="left" vertical="top" wrapText="1"/>
      <protection locked="0"/>
    </xf>
    <xf numFmtId="0" fontId="15" fillId="0" borderId="0" xfId="569" applyAlignment="1">
      <alignment horizontal="right" vertical="top" wrapText="1"/>
    </xf>
    <xf numFmtId="0" fontId="15"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29"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5" fillId="0" borderId="0" xfId="569"/>
    <xf numFmtId="0" fontId="21" fillId="0" borderId="0" xfId="569" applyFont="1" applyAlignment="1">
      <alignment horizontal="center" vertical="center"/>
    </xf>
    <xf numFmtId="0" fontId="22" fillId="0" borderId="0" xfId="569" applyFont="1"/>
    <xf numFmtId="0" fontId="15" fillId="0" borderId="1" xfId="569" applyBorder="1"/>
    <xf numFmtId="0" fontId="15" fillId="0" borderId="2" xfId="569" applyBorder="1"/>
    <xf numFmtId="0" fontId="15" fillId="0" borderId="8" xfId="569" applyBorder="1"/>
    <xf numFmtId="0" fontId="15" fillId="0" borderId="9" xfId="569" applyBorder="1"/>
    <xf numFmtId="0" fontId="15" fillId="0" borderId="6" xfId="569" applyBorder="1"/>
    <xf numFmtId="0" fontId="23" fillId="0" borderId="0" xfId="569" applyFont="1"/>
    <xf numFmtId="0" fontId="15" fillId="0" borderId="7" xfId="569" applyBorder="1"/>
    <xf numFmtId="0" fontId="15" fillId="0" borderId="12" xfId="569" applyBorder="1"/>
    <xf numFmtId="0" fontId="15" fillId="0" borderId="10" xfId="569" applyBorder="1"/>
    <xf numFmtId="0" fontId="23" fillId="0" borderId="0" xfId="569" applyFont="1" applyAlignment="1">
      <alignment vertical="top" wrapText="1"/>
    </xf>
    <xf numFmtId="0" fontId="15" fillId="0" borderId="0" xfId="569" applyAlignment="1">
      <alignment horizontal="right"/>
    </xf>
    <xf numFmtId="0" fontId="15" fillId="0" borderId="0" xfId="569" applyAlignment="1">
      <alignment wrapText="1"/>
    </xf>
    <xf numFmtId="0" fontId="15" fillId="0" borderId="0" xfId="569" applyAlignment="1">
      <alignment vertical="center"/>
    </xf>
    <xf numFmtId="0" fontId="39" fillId="0" borderId="0" xfId="569" applyFont="1" applyAlignment="1">
      <alignment vertical="center" wrapText="1"/>
    </xf>
    <xf numFmtId="0" fontId="33" fillId="0" borderId="0" xfId="569" applyFont="1" applyAlignment="1">
      <alignment vertical="top" wrapText="1"/>
    </xf>
    <xf numFmtId="0" fontId="22" fillId="0" borderId="0" xfId="569" applyFont="1" applyAlignment="1">
      <alignment vertical="top" wrapText="1"/>
    </xf>
    <xf numFmtId="0" fontId="23" fillId="0" borderId="0" xfId="569" applyFont="1" applyAlignment="1">
      <alignment horizontal="left" vertical="top" wrapText="1"/>
    </xf>
    <xf numFmtId="164" fontId="15" fillId="0" borderId="0" xfId="569" applyNumberFormat="1" applyAlignment="1">
      <alignment horizontal="right"/>
    </xf>
    <xf numFmtId="168" fontId="15" fillId="0" borderId="0" xfId="569" applyNumberFormat="1" applyAlignment="1">
      <alignment horizontal="right"/>
    </xf>
    <xf numFmtId="0" fontId="106" fillId="0" borderId="0" xfId="569" applyFont="1" applyAlignment="1">
      <alignment horizontal="left" vertical="top" wrapText="1"/>
    </xf>
    <xf numFmtId="168" fontId="15" fillId="0" borderId="0" xfId="569" applyNumberFormat="1" applyAlignment="1">
      <alignment wrapText="1"/>
    </xf>
    <xf numFmtId="0" fontId="20" fillId="0" borderId="11" xfId="253" applyFont="1" applyBorder="1" applyAlignment="1">
      <alignment horizontal="center" wrapText="1"/>
    </xf>
    <xf numFmtId="0" fontId="20" fillId="0" borderId="0" xfId="253" applyFont="1" applyAlignment="1">
      <alignment horizontal="center" wrapText="1"/>
    </xf>
    <xf numFmtId="3" fontId="20" fillId="0" borderId="11" xfId="271" applyNumberFormat="1" applyFont="1" applyBorder="1"/>
    <xf numFmtId="3" fontId="20"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0" fillId="0" borderId="11" xfId="271" applyNumberFormat="1" applyFont="1" applyBorder="1"/>
    <xf numFmtId="168" fontId="20" fillId="0" borderId="0" xfId="271" applyNumberFormat="1" applyFont="1"/>
    <xf numFmtId="0" fontId="20" fillId="0" borderId="0" xfId="271" applyFont="1"/>
    <xf numFmtId="0" fontId="52" fillId="0" borderId="0" xfId="569" applyFont="1" applyAlignment="1">
      <alignment horizontal="left"/>
    </xf>
    <xf numFmtId="0" fontId="15" fillId="0" borderId="3" xfId="569" applyBorder="1"/>
    <xf numFmtId="0" fontId="0" fillId="5" borderId="6" xfId="0" applyFill="1" applyBorder="1" applyProtection="1">
      <protection locked="0"/>
    </xf>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5" fillId="0" borderId="0" xfId="1192" applyNumberFormat="1" applyAlignment="1">
      <alignment horizontal="left" vertical="top" wrapText="1"/>
    </xf>
    <xf numFmtId="0" fontId="15" fillId="0" borderId="0" xfId="0" applyFont="1" applyAlignment="1">
      <alignment horizontal="left" vertical="top" wrapText="1"/>
    </xf>
    <xf numFmtId="0" fontId="15" fillId="0" borderId="0" xfId="271" applyFont="1" applyAlignment="1">
      <alignment horizontal="left" vertical="top" wrapText="1"/>
    </xf>
    <xf numFmtId="0" fontId="22" fillId="0" borderId="12" xfId="543" applyFont="1" applyBorder="1" applyAlignment="1">
      <alignment horizontal="right"/>
    </xf>
    <xf numFmtId="0" fontId="34" fillId="0" borderId="0" xfId="543" applyFont="1" applyAlignment="1">
      <alignment horizontal="center"/>
    </xf>
    <xf numFmtId="4" fontId="15" fillId="0" borderId="0" xfId="569" applyNumberFormat="1" applyAlignment="1">
      <alignment horizontal="left"/>
    </xf>
    <xf numFmtId="0" fontId="15" fillId="0" borderId="0" xfId="569" applyAlignment="1">
      <alignment horizontal="left" vertical="top" wrapText="1"/>
    </xf>
    <xf numFmtId="0" fontId="15" fillId="0" borderId="0" xfId="569" applyAlignment="1">
      <alignment horizontal="left"/>
    </xf>
    <xf numFmtId="0" fontId="15" fillId="0" borderId="0" xfId="1192" applyAlignment="1">
      <alignment horizontal="left"/>
    </xf>
    <xf numFmtId="0" fontId="22" fillId="0" borderId="0" xfId="569" applyFont="1" applyAlignment="1">
      <alignment horizontal="left"/>
    </xf>
    <xf numFmtId="0" fontId="44" fillId="0" borderId="0" xfId="1192" applyFont="1"/>
    <xf numFmtId="0" fontId="52" fillId="0" borderId="11" xfId="0" applyFont="1" applyBorder="1" applyAlignment="1">
      <alignment horizontal="right" vertical="center"/>
    </xf>
    <xf numFmtId="0" fontId="15" fillId="0" borderId="0" xfId="1192" applyAlignment="1">
      <alignment horizontal="left" vertical="top" wrapText="1"/>
    </xf>
    <xf numFmtId="0" fontId="44" fillId="0" borderId="0" xfId="0" applyFont="1" applyAlignment="1">
      <alignment vertical="top" wrapText="1"/>
    </xf>
    <xf numFmtId="0" fontId="44" fillId="0" borderId="0" xfId="0" applyFont="1" applyAlignment="1">
      <alignment horizontal="left" vertical="top" wrapText="1"/>
    </xf>
    <xf numFmtId="6" fontId="53" fillId="0" borderId="0" xfId="569" applyNumberFormat="1" applyFont="1" applyAlignment="1">
      <alignment horizontal="right" vertical="top"/>
    </xf>
    <xf numFmtId="0" fontId="15" fillId="0" borderId="0" xfId="0" applyFont="1" applyAlignment="1">
      <alignment vertical="top" wrapText="1"/>
    </xf>
    <xf numFmtId="168" fontId="24" fillId="0" borderId="0" xfId="0" applyNumberFormat="1" applyFont="1" applyAlignment="1">
      <alignment horizontal="right"/>
    </xf>
    <xf numFmtId="168" fontId="24" fillId="0" borderId="28" xfId="540" applyNumberFormat="1" applyBorder="1" applyAlignment="1" applyProtection="1">
      <alignment horizontal="center"/>
    </xf>
    <xf numFmtId="168" fontId="24" fillId="0" borderId="29" xfId="540" applyNumberFormat="1" applyBorder="1" applyAlignment="1" applyProtection="1">
      <alignment horizontal="center"/>
    </xf>
    <xf numFmtId="168" fontId="24" fillId="0" borderId="30" xfId="540" applyNumberFormat="1" applyBorder="1" applyAlignment="1" applyProtection="1">
      <alignment horizontal="center"/>
    </xf>
    <xf numFmtId="168" fontId="24" fillId="0" borderId="31" xfId="540" applyNumberFormat="1" applyBorder="1" applyAlignment="1" applyProtection="1">
      <alignment horizontal="center"/>
    </xf>
    <xf numFmtId="168" fontId="24" fillId="0" borderId="32" xfId="540" applyNumberFormat="1" applyBorder="1" applyAlignment="1" applyProtection="1">
      <alignment horizontal="center"/>
    </xf>
    <xf numFmtId="168" fontId="24" fillId="0" borderId="33" xfId="540" applyNumberFormat="1" applyBorder="1" applyAlignment="1" applyProtection="1">
      <alignment horizontal="center"/>
    </xf>
    <xf numFmtId="168" fontId="24" fillId="0" borderId="34" xfId="540" applyNumberFormat="1" applyBorder="1" applyAlignment="1" applyProtection="1">
      <alignment horizontal="center"/>
    </xf>
    <xf numFmtId="168" fontId="24" fillId="0" borderId="35" xfId="540" applyNumberFormat="1" applyBorder="1" applyAlignment="1" applyProtection="1">
      <alignment horizontal="center"/>
    </xf>
    <xf numFmtId="168" fontId="24" fillId="0" borderId="36" xfId="540" applyNumberFormat="1" applyBorder="1" applyAlignment="1" applyProtection="1">
      <alignment horizontal="center"/>
    </xf>
    <xf numFmtId="168" fontId="24" fillId="0" borderId="37" xfId="540" applyNumberFormat="1" applyBorder="1" applyAlignment="1" applyProtection="1">
      <alignment horizontal="center"/>
    </xf>
    <xf numFmtId="168" fontId="24" fillId="0" borderId="38" xfId="540" applyNumberFormat="1" applyBorder="1" applyAlignment="1" applyProtection="1">
      <alignment horizontal="center"/>
    </xf>
    <xf numFmtId="168" fontId="24" fillId="0" borderId="39" xfId="540" applyNumberFormat="1" applyBorder="1" applyAlignment="1" applyProtection="1">
      <alignment horizontal="center"/>
    </xf>
    <xf numFmtId="168" fontId="24" fillId="0" borderId="40" xfId="540" applyNumberFormat="1" applyBorder="1" applyAlignment="1" applyProtection="1">
      <alignment horizontal="center"/>
    </xf>
    <xf numFmtId="168" fontId="24" fillId="0" borderId="0" xfId="540" applyNumberFormat="1" applyAlignment="1" applyProtection="1">
      <alignment horizontal="center"/>
    </xf>
    <xf numFmtId="168" fontId="24" fillId="0" borderId="14" xfId="540" applyNumberFormat="1" applyBorder="1" applyAlignment="1" applyProtection="1">
      <alignment horizontal="center"/>
    </xf>
    <xf numFmtId="168" fontId="24" fillId="0" borderId="41" xfId="540" applyNumberFormat="1" applyBorder="1" applyAlignment="1" applyProtection="1">
      <alignment horizontal="center"/>
    </xf>
    <xf numFmtId="168" fontId="24" fillId="0" borderId="42" xfId="540" applyNumberFormat="1" applyBorder="1" applyAlignment="1" applyProtection="1">
      <alignment horizontal="center"/>
    </xf>
    <xf numFmtId="168" fontId="24" fillId="0" borderId="43" xfId="540" applyNumberFormat="1" applyBorder="1" applyAlignment="1" applyProtection="1">
      <alignment horizontal="center"/>
    </xf>
    <xf numFmtId="168" fontId="24" fillId="0" borderId="44" xfId="540" applyNumberFormat="1" applyBorder="1" applyAlignment="1" applyProtection="1">
      <alignment horizontal="center"/>
    </xf>
    <xf numFmtId="0" fontId="15" fillId="0" borderId="0" xfId="1192"/>
    <xf numFmtId="0" fontId="15" fillId="0" borderId="0" xfId="0" applyFont="1" applyAlignment="1">
      <alignment wrapText="1"/>
    </xf>
    <xf numFmtId="0" fontId="44" fillId="0" borderId="0" xfId="0" applyFont="1" applyAlignment="1">
      <alignment horizontal="left" vertical="top"/>
    </xf>
    <xf numFmtId="0" fontId="44" fillId="0" borderId="0" xfId="0" applyFont="1" applyAlignment="1">
      <alignment vertical="top"/>
    </xf>
    <xf numFmtId="0" fontId="15" fillId="0" borderId="0" xfId="569" applyAlignment="1">
      <alignment horizontal="center"/>
    </xf>
    <xf numFmtId="0" fontId="33" fillId="0" borderId="0" xfId="569" applyFont="1" applyAlignment="1">
      <alignment horizontal="left"/>
    </xf>
    <xf numFmtId="0" fontId="33" fillId="0" borderId="0" xfId="569" applyFont="1" applyAlignment="1">
      <alignment horizontal="center"/>
    </xf>
    <xf numFmtId="49" fontId="22" fillId="0" borderId="0" xfId="569" applyNumberFormat="1" applyFont="1" applyAlignment="1">
      <alignment horizontal="center"/>
    </xf>
    <xf numFmtId="0" fontId="50" fillId="0" borderId="0" xfId="569" applyFont="1" applyAlignment="1">
      <alignment horizontal="center"/>
    </xf>
    <xf numFmtId="0" fontId="15" fillId="5" borderId="6" xfId="569" applyFill="1" applyBorder="1" applyProtection="1">
      <protection locked="0"/>
    </xf>
    <xf numFmtId="0" fontId="16" fillId="0" borderId="0" xfId="244" applyAlignment="1" applyProtection="1">
      <alignment horizontal="center"/>
    </xf>
    <xf numFmtId="49" fontId="15" fillId="0" borderId="0" xfId="569" applyNumberFormat="1" applyAlignment="1">
      <alignment horizontal="center"/>
    </xf>
    <xf numFmtId="0" fontId="15" fillId="0" borderId="0" xfId="569" applyAlignment="1">
      <alignment horizontal="center" vertical="center"/>
    </xf>
    <xf numFmtId="0" fontId="15" fillId="0" borderId="0" xfId="1192" applyAlignment="1">
      <alignment horizontal="center"/>
    </xf>
    <xf numFmtId="0" fontId="22" fillId="0" borderId="0" xfId="569" applyFont="1" applyAlignment="1">
      <alignment horizontal="center"/>
    </xf>
    <xf numFmtId="0" fontId="15" fillId="0" borderId="0" xfId="569" applyAlignment="1">
      <alignment horizontal="left" indent="4"/>
    </xf>
    <xf numFmtId="0" fontId="15" fillId="0" borderId="0" xfId="569" quotePrefix="1" applyAlignment="1">
      <alignment horizontal="left"/>
    </xf>
    <xf numFmtId="0" fontId="33" fillId="0" borderId="0" xfId="569" applyFont="1"/>
    <xf numFmtId="0" fontId="15" fillId="0" borderId="0" xfId="1192" applyAlignment="1" applyProtection="1">
      <alignment horizontal="left"/>
      <protection locked="0"/>
    </xf>
    <xf numFmtId="0" fontId="15" fillId="0" borderId="0" xfId="569" applyAlignment="1" applyProtection="1">
      <alignment horizontal="left"/>
      <protection locked="0"/>
    </xf>
    <xf numFmtId="49" fontId="15" fillId="0" borderId="0" xfId="1192" applyNumberFormat="1" applyAlignment="1">
      <alignment horizontal="center"/>
    </xf>
    <xf numFmtId="0" fontId="50" fillId="0" borderId="0" xfId="1192" applyFont="1" applyAlignment="1">
      <alignment horizontal="center"/>
    </xf>
    <xf numFmtId="0" fontId="22" fillId="0" borderId="0" xfId="1192" applyFont="1" applyAlignment="1">
      <alignment horizontal="left"/>
    </xf>
    <xf numFmtId="4" fontId="15" fillId="0" borderId="0" xfId="1192" applyNumberFormat="1" applyAlignment="1">
      <alignment horizontal="left"/>
    </xf>
    <xf numFmtId="0" fontId="22" fillId="0" borderId="0" xfId="569" quotePrefix="1" applyFont="1" applyAlignment="1">
      <alignment horizontal="center"/>
    </xf>
    <xf numFmtId="49" fontId="15" fillId="0" borderId="0" xfId="569" applyNumberFormat="1"/>
    <xf numFmtId="0" fontId="47" fillId="0" borderId="0" xfId="569" applyFont="1" applyAlignment="1">
      <alignment horizontal="left"/>
    </xf>
    <xf numFmtId="4" fontId="50" fillId="0" borderId="0" xfId="569" applyNumberFormat="1" applyFont="1" applyAlignment="1">
      <alignment horizontal="center"/>
    </xf>
    <xf numFmtId="4" fontId="15" fillId="0" borderId="0" xfId="569" applyNumberFormat="1" applyAlignment="1">
      <alignment horizontal="center"/>
    </xf>
    <xf numFmtId="4" fontId="15" fillId="0" borderId="0" xfId="569" applyNumberFormat="1"/>
    <xf numFmtId="0" fontId="45" fillId="0" borderId="0" xfId="569" applyFont="1" applyAlignment="1">
      <alignment horizontal="left"/>
    </xf>
    <xf numFmtId="0" fontId="16"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5" fillId="0" borderId="11" xfId="271" applyFont="1" applyBorder="1" applyAlignment="1">
      <alignment horizontal="right" vertical="top" wrapText="1"/>
    </xf>
    <xf numFmtId="0" fontId="23"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3"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5" fillId="0" borderId="0" xfId="271" applyFont="1" applyAlignment="1">
      <alignment horizontal="left" vertical="top"/>
    </xf>
    <xf numFmtId="0" fontId="52" fillId="0" borderId="0" xfId="569" applyFont="1"/>
    <xf numFmtId="0" fontId="15" fillId="0" borderId="0" xfId="0" applyFont="1" applyAlignment="1">
      <alignment horizontal="left" vertical="top"/>
    </xf>
    <xf numFmtId="4" fontId="15" fillId="0" borderId="0" xfId="1192" applyNumberFormat="1" applyAlignment="1">
      <alignment vertical="top" wrapText="1"/>
    </xf>
    <xf numFmtId="0" fontId="22" fillId="0" borderId="16" xfId="271" applyFont="1" applyBorder="1"/>
    <xf numFmtId="0" fontId="59" fillId="0" borderId="0" xfId="569" applyFont="1"/>
    <xf numFmtId="0" fontId="39" fillId="0" borderId="0" xfId="569" applyFont="1"/>
    <xf numFmtId="0" fontId="15" fillId="0" borderId="0" xfId="1192" applyAlignment="1">
      <alignment vertical="top" wrapText="1"/>
    </xf>
    <xf numFmtId="49" fontId="15" fillId="0" borderId="0" xfId="1192" applyNumberFormat="1" applyAlignment="1">
      <alignment vertical="top" wrapText="1"/>
    </xf>
    <xf numFmtId="0" fontId="54" fillId="0" borderId="9" xfId="543" applyFont="1" applyBorder="1" applyAlignment="1">
      <alignment vertical="top"/>
    </xf>
    <xf numFmtId="0" fontId="15"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5" fillId="0" borderId="8" xfId="543" applyNumberFormat="1" applyBorder="1"/>
    <xf numFmtId="0" fontId="15" fillId="0" borderId="8" xfId="4495" applyFont="1" applyBorder="1"/>
    <xf numFmtId="0" fontId="15" fillId="0" borderId="0" xfId="4495" applyFont="1"/>
    <xf numFmtId="0" fontId="21" fillId="0" borderId="0" xfId="4495" applyFont="1" applyAlignment="1">
      <alignment horizontal="center" vertical="center"/>
    </xf>
    <xf numFmtId="0" fontId="22" fillId="0" borderId="0" xfId="4495" applyFont="1" applyAlignment="1">
      <alignment horizontal="left"/>
    </xf>
    <xf numFmtId="0" fontId="22" fillId="0" borderId="0" xfId="4495" applyFont="1"/>
    <xf numFmtId="0" fontId="25" fillId="0" borderId="0" xfId="4495" applyFont="1" applyAlignment="1">
      <alignment horizontal="center" vertical="center"/>
    </xf>
    <xf numFmtId="0" fontId="25" fillId="0" borderId="27" xfId="4495" applyFont="1" applyBorder="1" applyAlignment="1">
      <alignment horizontal="center" vertical="center"/>
    </xf>
    <xf numFmtId="0" fontId="25" fillId="0" borderId="46" xfId="4495" applyFont="1" applyBorder="1" applyAlignment="1">
      <alignment horizontal="center" vertical="center"/>
    </xf>
    <xf numFmtId="0" fontId="22" fillId="0" borderId="0" xfId="4495" applyFont="1" applyAlignment="1">
      <alignment horizontal="right"/>
    </xf>
    <xf numFmtId="0" fontId="33" fillId="0" borderId="0" xfId="4495" applyFont="1" applyAlignment="1">
      <alignment horizontal="left" vertical="center"/>
    </xf>
    <xf numFmtId="0" fontId="15" fillId="0" borderId="0" xfId="1192" quotePrefix="1" applyAlignment="1">
      <alignment horizontal="center"/>
    </xf>
    <xf numFmtId="0" fontId="45" fillId="0" borderId="0" xfId="4495" applyFont="1" applyAlignment="1">
      <alignment horizontal="left" vertical="center"/>
    </xf>
    <xf numFmtId="49" fontId="23" fillId="0" borderId="0" xfId="4495" applyNumberFormat="1" applyFont="1" applyAlignment="1">
      <alignment horizontal="left" vertical="top"/>
    </xf>
    <xf numFmtId="0" fontId="15" fillId="0" borderId="47" xfId="4495" applyFont="1" applyBorder="1" applyAlignment="1">
      <alignment horizontal="left" vertical="center"/>
    </xf>
    <xf numFmtId="0" fontId="25" fillId="0" borderId="48" xfId="4495" applyFont="1" applyBorder="1" applyAlignment="1">
      <alignment horizontal="center" vertical="center"/>
    </xf>
    <xf numFmtId="0" fontId="23" fillId="0" borderId="0" xfId="4495" applyFont="1"/>
    <xf numFmtId="0" fontId="23"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5"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5" fillId="0" borderId="0" xfId="4496" applyFont="1" applyAlignment="1">
      <alignment vertical="center"/>
    </xf>
    <xf numFmtId="0" fontId="23" fillId="0" borderId="3" xfId="4495" applyFont="1" applyBorder="1" applyAlignment="1">
      <alignment vertical="top" wrapText="1"/>
    </xf>
    <xf numFmtId="0" fontId="23" fillId="0" borderId="4" xfId="4495" applyFont="1" applyBorder="1" applyAlignment="1">
      <alignment vertical="top" wrapText="1"/>
    </xf>
    <xf numFmtId="164" fontId="119" fillId="0" borderId="4" xfId="4495" applyNumberFormat="1" applyBorder="1" applyAlignment="1">
      <alignment horizontal="right"/>
    </xf>
    <xf numFmtId="0" fontId="23" fillId="0" borderId="4" xfId="4495" applyFont="1" applyBorder="1"/>
    <xf numFmtId="0" fontId="22" fillId="0" borderId="5" xfId="4495" applyFont="1" applyBorder="1" applyAlignment="1">
      <alignment horizontal="right"/>
    </xf>
    <xf numFmtId="0" fontId="15" fillId="0" borderId="16" xfId="4495" applyFont="1" applyBorder="1"/>
    <xf numFmtId="0" fontId="15" fillId="0" borderId="16" xfId="4495" applyFont="1" applyBorder="1" applyAlignment="1">
      <alignment horizontal="left" vertical="top"/>
    </xf>
    <xf numFmtId="0" fontId="23" fillId="0" borderId="16" xfId="4495" applyFont="1" applyBorder="1" applyAlignment="1">
      <alignment horizontal="left" vertical="top" wrapText="1"/>
    </xf>
    <xf numFmtId="0" fontId="23" fillId="0" borderId="45" xfId="4495" applyFont="1" applyBorder="1" applyAlignment="1">
      <alignment horizontal="left" vertical="top" wrapText="1"/>
    </xf>
    <xf numFmtId="0" fontId="119" fillId="0" borderId="0" xfId="4495"/>
    <xf numFmtId="0" fontId="16" fillId="0" borderId="0" xfId="244" applyFill="1" applyBorder="1" applyAlignment="1" applyProtection="1">
      <alignment horizontal="left" vertical="top"/>
    </xf>
    <xf numFmtId="0" fontId="16" fillId="0" borderId="0" xfId="244" applyFill="1" applyBorder="1" applyAlignment="1" applyProtection="1">
      <alignment horizontal="left" vertical="top" wrapText="1"/>
    </xf>
    <xf numFmtId="0" fontId="23" fillId="0" borderId="0" xfId="4495" applyFont="1" applyAlignment="1">
      <alignment horizontal="left" vertical="top" wrapText="1"/>
    </xf>
    <xf numFmtId="0" fontId="23" fillId="0" borderId="0" xfId="4495" applyFont="1" applyAlignment="1">
      <alignment horizontal="right" vertical="top"/>
    </xf>
    <xf numFmtId="0" fontId="15"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2" fillId="0" borderId="57" xfId="4495" applyFont="1" applyBorder="1"/>
    <xf numFmtId="0" fontId="22" fillId="0" borderId="58" xfId="4495" applyFont="1" applyBorder="1"/>
    <xf numFmtId="0" fontId="22" fillId="0" borderId="58" xfId="4495" applyFont="1" applyBorder="1" applyAlignment="1">
      <alignment horizontal="right"/>
    </xf>
    <xf numFmtId="0" fontId="22"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5" fillId="0" borderId="57" xfId="4495" applyFont="1" applyBorder="1" applyAlignment="1">
      <alignment horizontal="center" vertical="center"/>
    </xf>
    <xf numFmtId="0" fontId="25" fillId="0" borderId="58" xfId="4495" applyFont="1" applyBorder="1" applyAlignment="1">
      <alignment horizontal="center" vertical="center"/>
    </xf>
    <xf numFmtId="0" fontId="25" fillId="0" borderId="59" xfId="4495" applyFont="1" applyBorder="1" applyAlignment="1">
      <alignment horizontal="center" vertical="center"/>
    </xf>
    <xf numFmtId="0" fontId="22" fillId="0" borderId="0" xfId="4495" applyFont="1" applyAlignment="1">
      <alignment horizontal="center"/>
    </xf>
    <xf numFmtId="0" fontId="22" fillId="0" borderId="8" xfId="4495" applyFont="1" applyBorder="1"/>
    <xf numFmtId="0" fontId="23" fillId="0" borderId="0" xfId="4495" applyFont="1" applyAlignment="1">
      <alignment horizontal="left"/>
    </xf>
    <xf numFmtId="0" fontId="22" fillId="0" borderId="0" xfId="4495" applyFont="1" applyAlignment="1">
      <alignment horizontal="center" vertical="top"/>
    </xf>
    <xf numFmtId="0" fontId="15" fillId="0" borderId="0" xfId="4495" applyFont="1" applyAlignment="1">
      <alignment horizontal="center"/>
    </xf>
    <xf numFmtId="0" fontId="31" fillId="0" borderId="0" xfId="4495" applyFont="1"/>
    <xf numFmtId="0" fontId="23" fillId="0" borderId="8" xfId="4495" applyFont="1" applyBorder="1"/>
    <xf numFmtId="0" fontId="52" fillId="0" borderId="8" xfId="4495" applyFont="1" applyBorder="1"/>
    <xf numFmtId="1" fontId="15" fillId="0" borderId="0" xfId="1192" applyNumberFormat="1"/>
    <xf numFmtId="0" fontId="15" fillId="0" borderId="3" xfId="4495" applyFont="1" applyBorder="1"/>
    <xf numFmtId="0" fontId="15" fillId="0" borderId="4" xfId="4495" applyFont="1" applyBorder="1"/>
    <xf numFmtId="0" fontId="15" fillId="0" borderId="0" xfId="1192" applyAlignment="1">
      <alignment wrapText="1"/>
    </xf>
    <xf numFmtId="0" fontId="23" fillId="0" borderId="0" xfId="4495" applyFont="1" applyAlignment="1">
      <alignment vertical="top" wrapText="1"/>
    </xf>
    <xf numFmtId="0" fontId="23" fillId="0" borderId="0" xfId="1192" applyFont="1"/>
    <xf numFmtId="0" fontId="15" fillId="0" borderId="0" xfId="4495" applyFont="1" applyAlignment="1">
      <alignment horizontal="left"/>
    </xf>
    <xf numFmtId="0" fontId="23" fillId="0" borderId="3" xfId="4495" applyFont="1" applyBorder="1"/>
    <xf numFmtId="0" fontId="15" fillId="0" borderId="4" xfId="4495" applyFont="1" applyBorder="1" applyAlignment="1">
      <alignment horizontal="right"/>
    </xf>
    <xf numFmtId="1" fontId="15" fillId="0" borderId="0" xfId="4495" applyNumberFormat="1" applyFont="1" applyAlignment="1">
      <alignment horizontal="center"/>
    </xf>
    <xf numFmtId="0" fontId="52" fillId="0" borderId="0" xfId="4495" applyFont="1"/>
    <xf numFmtId="0" fontId="15" fillId="0" borderId="0" xfId="4495" applyFont="1" applyAlignment="1">
      <alignment horizontal="right"/>
    </xf>
    <xf numFmtId="0" fontId="23" fillId="0" borderId="0" xfId="4495" applyFont="1" applyAlignment="1">
      <alignment vertical="top"/>
    </xf>
    <xf numFmtId="0" fontId="23" fillId="0" borderId="27" xfId="4495" applyFont="1" applyBorder="1"/>
    <xf numFmtId="0" fontId="22" fillId="0" borderId="0" xfId="4495" applyFont="1" applyAlignment="1">
      <alignment vertical="top"/>
    </xf>
    <xf numFmtId="0" fontId="33" fillId="0" borderId="0" xfId="4495" applyFont="1" applyAlignment="1">
      <alignment vertical="top" wrapText="1"/>
    </xf>
    <xf numFmtId="0" fontId="22" fillId="0" borderId="0" xfId="4495" applyFont="1" applyAlignment="1">
      <alignment horizontal="left" vertical="top" wrapText="1"/>
    </xf>
    <xf numFmtId="0" fontId="15" fillId="0" borderId="0" xfId="4495" applyFont="1" applyAlignment="1">
      <alignment horizontal="left" vertical="top"/>
    </xf>
    <xf numFmtId="0" fontId="33" fillId="0" borderId="0" xfId="4495" applyFont="1" applyAlignment="1">
      <alignment vertical="top"/>
    </xf>
    <xf numFmtId="0" fontId="15" fillId="0" borderId="10" xfId="4495" applyFont="1" applyBorder="1" applyAlignment="1">
      <alignment horizontal="center"/>
    </xf>
    <xf numFmtId="0" fontId="15" fillId="0" borderId="16" xfId="4495" applyFont="1" applyBorder="1" applyAlignment="1">
      <alignment horizontal="center"/>
    </xf>
    <xf numFmtId="0" fontId="31" fillId="0" borderId="16" xfId="4495" applyFont="1" applyBorder="1"/>
    <xf numFmtId="0" fontId="23" fillId="0" borderId="16" xfId="4495" applyFont="1" applyBorder="1"/>
    <xf numFmtId="0" fontId="15" fillId="0" borderId="0" xfId="4496" applyFont="1" applyAlignment="1">
      <alignment vertical="top" wrapText="1"/>
    </xf>
    <xf numFmtId="0" fontId="22" fillId="0" borderId="0" xfId="1192" applyFont="1" applyAlignment="1">
      <alignment horizontal="right"/>
    </xf>
    <xf numFmtId="0" fontId="15" fillId="0" borderId="0" xfId="4496" applyFont="1"/>
    <xf numFmtId="0" fontId="15" fillId="0" borderId="0" xfId="4496" applyFont="1" applyAlignment="1">
      <alignment horizontal="left"/>
    </xf>
    <xf numFmtId="0" fontId="15" fillId="0" borderId="0" xfId="4496" applyFont="1" applyAlignment="1">
      <alignment horizontal="right"/>
    </xf>
    <xf numFmtId="0" fontId="23" fillId="0" borderId="0" xfId="4496" applyFont="1" applyAlignment="1">
      <alignment vertical="top" wrapText="1"/>
    </xf>
    <xf numFmtId="0" fontId="15" fillId="0" borderId="4" xfId="4496" applyFont="1" applyBorder="1"/>
    <xf numFmtId="0" fontId="22" fillId="0" borderId="4" xfId="4496" applyFont="1" applyBorder="1" applyAlignment="1">
      <alignment horizontal="right"/>
    </xf>
    <xf numFmtId="0" fontId="23" fillId="0" borderId="27" xfId="4495" applyFont="1" applyBorder="1" applyAlignment="1">
      <alignment horizontal="left" vertical="top"/>
    </xf>
    <xf numFmtId="0" fontId="15" fillId="0" borderId="27" xfId="4495" applyFont="1" applyBorder="1" applyAlignment="1">
      <alignment horizontal="left" vertical="top"/>
    </xf>
    <xf numFmtId="0" fontId="22" fillId="0" borderId="27" xfId="4495" applyFont="1" applyBorder="1" applyAlignment="1">
      <alignment horizontal="right"/>
    </xf>
    <xf numFmtId="0" fontId="15" fillId="0" borderId="27" xfId="4495" applyFont="1" applyBorder="1" applyAlignment="1">
      <alignment horizontal="center"/>
    </xf>
    <xf numFmtId="0" fontId="15" fillId="0" borderId="46" xfId="4495" applyFont="1" applyBorder="1" applyAlignment="1">
      <alignment horizontal="center"/>
    </xf>
    <xf numFmtId="164" fontId="23" fillId="0" borderId="0" xfId="4495" applyNumberFormat="1" applyFont="1" applyAlignment="1">
      <alignment horizontal="left" vertical="top" wrapText="1"/>
    </xf>
    <xf numFmtId="0" fontId="26" fillId="0" borderId="0" xfId="4495" applyFont="1"/>
    <xf numFmtId="0" fontId="23" fillId="0" borderId="0" xfId="4495" applyFont="1" applyAlignment="1">
      <alignment horizontal="right"/>
    </xf>
    <xf numFmtId="0" fontId="15" fillId="0" borderId="27" xfId="543" applyBorder="1"/>
    <xf numFmtId="0" fontId="15" fillId="0" borderId="46" xfId="543" applyBorder="1"/>
    <xf numFmtId="0" fontId="22" fillId="0" borderId="0" xfId="4495" applyFont="1" applyAlignment="1">
      <alignment horizontal="left" vertical="top"/>
    </xf>
    <xf numFmtId="1" fontId="119" fillId="0" borderId="0" xfId="4495" applyNumberFormat="1"/>
    <xf numFmtId="0" fontId="15" fillId="0" borderId="0" xfId="4495" applyFont="1" applyAlignment="1">
      <alignment vertical="top" wrapText="1"/>
    </xf>
    <xf numFmtId="0" fontId="15" fillId="0" borderId="0" xfId="4495" applyFont="1" applyAlignment="1">
      <alignment horizontal="left" vertical="top" wrapText="1"/>
    </xf>
    <xf numFmtId="0" fontId="15" fillId="0" borderId="50" xfId="4495" applyFont="1" applyBorder="1" applyAlignment="1">
      <alignment vertical="top"/>
    </xf>
    <xf numFmtId="0" fontId="15" fillId="0" borderId="51" xfId="4495" applyFont="1" applyBorder="1" applyAlignment="1">
      <alignment vertical="top"/>
    </xf>
    <xf numFmtId="0" fontId="15" fillId="0" borderId="52" xfId="4495" applyFont="1" applyBorder="1" applyAlignment="1">
      <alignment vertical="top"/>
    </xf>
    <xf numFmtId="1" fontId="23" fillId="0" borderId="8" xfId="4495" applyNumberFormat="1" applyFont="1" applyBorder="1"/>
    <xf numFmtId="0" fontId="15" fillId="0" borderId="0" xfId="543" applyAlignment="1">
      <alignment vertical="top"/>
    </xf>
    <xf numFmtId="0" fontId="23" fillId="0" borderId="51" xfId="4495" applyFont="1" applyBorder="1" applyAlignment="1">
      <alignment horizontal="left" vertical="top"/>
    </xf>
    <xf numFmtId="0" fontId="23" fillId="0" borderId="52" xfId="4495" applyFont="1" applyBorder="1" applyAlignment="1">
      <alignment horizontal="left" vertical="top"/>
    </xf>
    <xf numFmtId="0" fontId="119" fillId="0" borderId="0" xfId="4495" applyAlignment="1" applyProtection="1">
      <alignment horizontal="center"/>
      <protection locked="0"/>
    </xf>
    <xf numFmtId="0" fontId="15" fillId="0" borderId="53" xfId="4495" applyFont="1" applyBorder="1" applyAlignment="1">
      <alignment vertical="top"/>
    </xf>
    <xf numFmtId="0" fontId="15" fillId="0" borderId="54" xfId="4495" applyFont="1" applyBorder="1" applyAlignment="1">
      <alignment vertical="top" wrapText="1"/>
    </xf>
    <xf numFmtId="0" fontId="60" fillId="0" borderId="53" xfId="4495" applyFont="1" applyBorder="1"/>
    <xf numFmtId="0" fontId="23" fillId="0" borderId="54" xfId="4495" applyFont="1" applyBorder="1" applyAlignment="1">
      <alignment horizontal="left" vertical="top"/>
    </xf>
    <xf numFmtId="0" fontId="15" fillId="0" borderId="53" xfId="4495" applyFont="1" applyBorder="1" applyAlignment="1">
      <alignment vertical="center" wrapText="1"/>
    </xf>
    <xf numFmtId="0" fontId="60" fillId="0" borderId="57" xfId="4495" applyFont="1" applyBorder="1"/>
    <xf numFmtId="0" fontId="23" fillId="0" borderId="58" xfId="4495" applyFont="1" applyBorder="1" applyAlignment="1">
      <alignment horizontal="left" vertical="top"/>
    </xf>
    <xf numFmtId="0" fontId="23" fillId="0" borderId="12" xfId="4495" applyFont="1" applyBorder="1"/>
    <xf numFmtId="0" fontId="15" fillId="0" borderId="57" xfId="4495" applyFont="1" applyBorder="1" applyAlignment="1">
      <alignment vertical="center"/>
    </xf>
    <xf numFmtId="0" fontId="15" fillId="0" borderId="58" xfId="4495" applyFont="1" applyBorder="1" applyAlignment="1">
      <alignment vertical="top"/>
    </xf>
    <xf numFmtId="0" fontId="15" fillId="0" borderId="59" xfId="4495" applyFont="1" applyBorder="1" applyAlignment="1">
      <alignment vertical="top"/>
    </xf>
    <xf numFmtId="0" fontId="15" fillId="0" borderId="0" xfId="4495" applyFont="1" applyAlignment="1">
      <alignment vertical="top"/>
    </xf>
    <xf numFmtId="0" fontId="23" fillId="0" borderId="4" xfId="4495" applyFont="1" applyBorder="1" applyAlignment="1">
      <alignment horizontal="left" vertical="top"/>
    </xf>
    <xf numFmtId="0" fontId="15" fillId="0" borderId="4" xfId="4495" applyFont="1" applyBorder="1" applyAlignment="1">
      <alignment horizontal="left" vertical="top"/>
    </xf>
    <xf numFmtId="0" fontId="15" fillId="0" borderId="2" xfId="4495" applyFont="1" applyBorder="1"/>
    <xf numFmtId="0" fontId="23" fillId="0" borderId="2" xfId="4495" applyFont="1" applyBorder="1"/>
    <xf numFmtId="0" fontId="15" fillId="0" borderId="2" xfId="4495" applyFont="1" applyBorder="1" applyAlignment="1">
      <alignment horizontal="center"/>
    </xf>
    <xf numFmtId="0" fontId="23" fillId="0" borderId="7" xfId="4495" applyFont="1" applyBorder="1"/>
    <xf numFmtId="0" fontId="31" fillId="0" borderId="0" xfId="4495" applyFont="1" applyAlignment="1">
      <alignment horizontal="right"/>
    </xf>
    <xf numFmtId="0" fontId="125" fillId="0" borderId="0" xfId="4495" applyFont="1" applyAlignment="1">
      <alignment horizontal="left" vertical="top" wrapText="1"/>
    </xf>
    <xf numFmtId="0" fontId="31" fillId="0" borderId="0" xfId="4495" applyFont="1" applyAlignment="1">
      <alignment horizontal="left" vertical="top"/>
    </xf>
    <xf numFmtId="0" fontId="23" fillId="0" borderId="0" xfId="4495" quotePrefix="1" applyFont="1" applyAlignment="1">
      <alignment horizontal="right"/>
    </xf>
    <xf numFmtId="0" fontId="15" fillId="0" borderId="0" xfId="4497"/>
    <xf numFmtId="0" fontId="23" fillId="0" borderId="0" xfId="4495" applyFont="1" applyAlignment="1">
      <alignment horizontal="left" vertical="top" wrapText="1" shrinkToFit="1"/>
    </xf>
    <xf numFmtId="0" fontId="119" fillId="0" borderId="0" xfId="4495" applyAlignment="1">
      <alignment vertical="top" wrapText="1"/>
    </xf>
    <xf numFmtId="0" fontId="23" fillId="0" borderId="4" xfId="4495" applyFont="1" applyBorder="1" applyAlignment="1">
      <alignment horizontal="left" vertical="top" wrapText="1" shrinkToFit="1"/>
    </xf>
    <xf numFmtId="0" fontId="31" fillId="0" borderId="8" xfId="4495" applyFont="1" applyBorder="1"/>
    <xf numFmtId="0" fontId="23" fillId="0" borderId="0" xfId="4495" applyFont="1" applyAlignment="1">
      <alignment horizontal="center"/>
    </xf>
    <xf numFmtId="0" fontId="23" fillId="0" borderId="0" xfId="4495" quotePrefix="1" applyFont="1"/>
    <xf numFmtId="0" fontId="23" fillId="0" borderId="0" xfId="4495" applyFont="1" applyAlignment="1">
      <alignment horizontal="left" vertical="top" shrinkToFit="1"/>
    </xf>
    <xf numFmtId="0" fontId="45" fillId="0" borderId="0" xfId="4495" applyFont="1"/>
    <xf numFmtId="0" fontId="23" fillId="0" borderId="3" xfId="4495" applyFont="1" applyBorder="1" applyAlignment="1">
      <alignment horizontal="center"/>
    </xf>
    <xf numFmtId="0" fontId="119" fillId="0" borderId="8" xfId="4495" applyBorder="1"/>
    <xf numFmtId="0" fontId="22" fillId="0" borderId="8" xfId="4495" applyFont="1" applyBorder="1" applyAlignment="1">
      <alignment vertical="top"/>
    </xf>
    <xf numFmtId="0" fontId="119" fillId="0" borderId="0" xfId="4495" applyAlignment="1">
      <alignment vertical="top"/>
    </xf>
    <xf numFmtId="0" fontId="22"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5" fillId="0" borderId="0" xfId="4497" applyNumberFormat="1"/>
    <xf numFmtId="1" fontId="23"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3" fillId="0" borderId="6" xfId="4495" applyFont="1" applyBorder="1"/>
    <xf numFmtId="1" fontId="23" fillId="0" borderId="8" xfId="4495" applyNumberFormat="1" applyFont="1" applyBorder="1" applyAlignment="1">
      <alignment horizontal="center" vertical="top"/>
    </xf>
    <xf numFmtId="0" fontId="119" fillId="0" borderId="12" xfId="4495" applyBorder="1"/>
    <xf numFmtId="0" fontId="23" fillId="0" borderId="9" xfId="4495" applyFont="1" applyBorder="1"/>
    <xf numFmtId="0" fontId="119" fillId="0" borderId="10" xfId="4495" applyBorder="1"/>
    <xf numFmtId="0" fontId="31" fillId="0" borderId="3" xfId="4495" applyFont="1" applyBorder="1"/>
    <xf numFmtId="0" fontId="22" fillId="0" borderId="4" xfId="4495" applyFont="1" applyBorder="1"/>
    <xf numFmtId="0" fontId="119" fillId="0" borderId="12" xfId="4495" applyBorder="1" applyAlignment="1">
      <alignment vertical="top"/>
    </xf>
    <xf numFmtId="0" fontId="31"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1" fillId="0" borderId="9" xfId="4495" applyFont="1" applyBorder="1"/>
    <xf numFmtId="0" fontId="23" fillId="0" borderId="10" xfId="4495" applyFont="1" applyBorder="1"/>
    <xf numFmtId="0" fontId="129" fillId="0" borderId="0" xfId="4495" applyFont="1" applyAlignment="1">
      <alignment wrapText="1"/>
    </xf>
    <xf numFmtId="0" fontId="31" fillId="0" borderId="9" xfId="4495" applyFont="1" applyBorder="1" applyAlignment="1">
      <alignment horizontal="center"/>
    </xf>
    <xf numFmtId="0" fontId="22" fillId="0" borderId="10" xfId="4495" applyFont="1" applyBorder="1"/>
    <xf numFmtId="0" fontId="33" fillId="0" borderId="0" xfId="4495" applyFont="1"/>
    <xf numFmtId="0" fontId="23" fillId="0" borderId="50" xfId="4495" applyFont="1" applyBorder="1"/>
    <xf numFmtId="0" fontId="23" fillId="0" borderId="51" xfId="4495" applyFont="1" applyBorder="1"/>
    <xf numFmtId="1" fontId="23" fillId="0" borderId="51" xfId="4495" quotePrefix="1" applyNumberFormat="1" applyFont="1" applyBorder="1" applyAlignment="1">
      <alignment horizontal="center" vertical="top"/>
    </xf>
    <xf numFmtId="0" fontId="22" fillId="0" borderId="51" xfId="4495" applyFont="1" applyBorder="1"/>
    <xf numFmtId="0" fontId="22" fillId="0" borderId="52" xfId="4495" applyFont="1" applyBorder="1" applyAlignment="1">
      <alignment horizontal="center"/>
    </xf>
    <xf numFmtId="0" fontId="15" fillId="0" borderId="53" xfId="4495" applyFont="1" applyBorder="1"/>
    <xf numFmtId="1" fontId="23" fillId="0" borderId="0" xfId="4495" quotePrefix="1" applyNumberFormat="1" applyFont="1" applyAlignment="1">
      <alignment horizontal="center" vertical="top"/>
    </xf>
    <xf numFmtId="0" fontId="22" fillId="0" borderId="54" xfId="4495" applyFont="1" applyBorder="1" applyAlignment="1">
      <alignment horizontal="center"/>
    </xf>
    <xf numFmtId="0" fontId="31" fillId="0" borderId="0" xfId="4495" applyFont="1" applyAlignment="1">
      <alignment vertical="top"/>
    </xf>
    <xf numFmtId="0" fontId="23" fillId="0" borderId="61" xfId="4495" applyFont="1" applyBorder="1"/>
    <xf numFmtId="0" fontId="119" fillId="0" borderId="58" xfId="4495" applyBorder="1" applyAlignment="1">
      <alignment horizontal="center"/>
    </xf>
    <xf numFmtId="1" fontId="23" fillId="0" borderId="58" xfId="4495" quotePrefix="1" applyNumberFormat="1" applyFont="1" applyBorder="1" applyAlignment="1">
      <alignment horizontal="center" vertical="top"/>
    </xf>
    <xf numFmtId="0" fontId="31" fillId="0" borderId="58" xfId="4495" applyFont="1" applyBorder="1" applyAlignment="1">
      <alignment vertical="top"/>
    </xf>
    <xf numFmtId="0" fontId="23" fillId="0" borderId="58" xfId="4495" applyFont="1" applyBorder="1" applyAlignment="1">
      <alignment vertical="top" wrapText="1"/>
    </xf>
    <xf numFmtId="0" fontId="23" fillId="0" borderId="58" xfId="4495" applyFont="1" applyBorder="1"/>
    <xf numFmtId="0" fontId="22" fillId="0" borderId="58" xfId="4495" applyFont="1" applyBorder="1" applyAlignment="1">
      <alignment horizontal="center"/>
    </xf>
    <xf numFmtId="0" fontId="119" fillId="0" borderId="61" xfId="4495" applyBorder="1"/>
    <xf numFmtId="0" fontId="119" fillId="0" borderId="0" xfId="4495" applyAlignment="1">
      <alignment horizontal="center"/>
    </xf>
    <xf numFmtId="0" fontId="15" fillId="0" borderId="53" xfId="543" applyBorder="1"/>
    <xf numFmtId="0" fontId="23" fillId="0" borderId="54" xfId="4495" applyFont="1" applyBorder="1"/>
    <xf numFmtId="0" fontId="15" fillId="0" borderId="58" xfId="543" applyBorder="1"/>
    <xf numFmtId="1" fontId="23" fillId="0" borderId="58" xfId="4495" applyNumberFormat="1" applyFont="1" applyBorder="1" applyAlignment="1">
      <alignment horizontal="center" vertical="top"/>
    </xf>
    <xf numFmtId="0" fontId="31" fillId="0" borderId="58" xfId="4495" applyFont="1" applyBorder="1" applyAlignment="1">
      <alignment vertical="center"/>
    </xf>
    <xf numFmtId="0" fontId="119" fillId="0" borderId="58" xfId="4495" applyBorder="1" applyAlignment="1">
      <alignment vertical="top" wrapText="1"/>
    </xf>
    <xf numFmtId="0" fontId="15" fillId="0" borderId="58" xfId="4495" applyFont="1" applyBorder="1"/>
    <xf numFmtId="0" fontId="31" fillId="0" borderId="0" xfId="4495" applyFont="1" applyAlignment="1">
      <alignment vertical="center"/>
    </xf>
    <xf numFmtId="0" fontId="23" fillId="0" borderId="53" xfId="4495" applyFont="1" applyBorder="1"/>
    <xf numFmtId="0" fontId="15" fillId="0" borderId="57" xfId="543" applyBorder="1"/>
    <xf numFmtId="0" fontId="23" fillId="0" borderId="58" xfId="4495" applyFont="1" applyBorder="1" applyAlignment="1">
      <alignment vertical="top"/>
    </xf>
    <xf numFmtId="0" fontId="23" fillId="0" borderId="59" xfId="4495" applyFont="1" applyBorder="1"/>
    <xf numFmtId="0" fontId="23" fillId="0" borderId="57" xfId="4495" applyFont="1" applyBorder="1"/>
    <xf numFmtId="0" fontId="15" fillId="0" borderId="51" xfId="4495" applyFont="1" applyBorder="1"/>
    <xf numFmtId="0" fontId="23" fillId="0" borderId="52" xfId="4495" applyFont="1" applyBorder="1"/>
    <xf numFmtId="0" fontId="15" fillId="0" borderId="50" xfId="543" applyBorder="1"/>
    <xf numFmtId="0" fontId="15" fillId="0" borderId="51" xfId="543" applyBorder="1"/>
    <xf numFmtId="0" fontId="15" fillId="0" borderId="52" xfId="543" applyBorder="1"/>
    <xf numFmtId="0" fontId="23" fillId="0" borderId="0" xfId="4495" applyFont="1" applyAlignment="1">
      <alignment wrapText="1"/>
    </xf>
    <xf numFmtId="0" fontId="22" fillId="0" borderId="54" xfId="4495" applyFont="1" applyBorder="1" applyAlignment="1">
      <alignment horizontal="center" vertical="top"/>
    </xf>
    <xf numFmtId="0" fontId="119" fillId="0" borderId="53" xfId="4495" applyBorder="1" applyAlignment="1">
      <alignment horizontal="center"/>
    </xf>
    <xf numFmtId="2" fontId="23" fillId="0" borderId="0" xfId="4495" applyNumberFormat="1" applyFont="1" applyAlignment="1">
      <alignment horizontal="right"/>
    </xf>
    <xf numFmtId="2" fontId="23" fillId="0" borderId="8" xfId="4495" applyNumberFormat="1" applyFont="1" applyBorder="1" applyAlignment="1">
      <alignment horizontal="left"/>
    </xf>
    <xf numFmtId="0" fontId="23"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2" fillId="0" borderId="59" xfId="4495" applyFont="1" applyBorder="1" applyAlignment="1">
      <alignment horizontal="center"/>
    </xf>
    <xf numFmtId="9" fontId="23" fillId="0" borderId="0" xfId="4495" applyNumberFormat="1" applyFont="1" applyAlignment="1">
      <alignment horizontal="left"/>
    </xf>
    <xf numFmtId="0" fontId="15" fillId="0" borderId="17" xfId="543" applyBorder="1"/>
    <xf numFmtId="0" fontId="15" fillId="0" borderId="16" xfId="543" applyBorder="1"/>
    <xf numFmtId="0" fontId="15" fillId="0" borderId="51" xfId="4495" quotePrefix="1" applyFont="1" applyBorder="1" applyAlignment="1">
      <alignment horizontal="center" vertical="top"/>
    </xf>
    <xf numFmtId="0" fontId="23" fillId="0" borderId="53" xfId="4495" applyFont="1" applyBorder="1" applyAlignment="1">
      <alignment horizontal="left" vertical="top"/>
    </xf>
    <xf numFmtId="0" fontId="23" fillId="0" borderId="0" xfId="4495" applyFont="1" applyAlignment="1">
      <alignment horizontal="center" vertical="top"/>
    </xf>
    <xf numFmtId="0" fontId="23" fillId="0" borderId="57" xfId="4495" applyFont="1" applyBorder="1" applyAlignment="1">
      <alignment horizontal="left" vertical="top"/>
    </xf>
    <xf numFmtId="0" fontId="23" fillId="0" borderId="58" xfId="4495" applyFont="1" applyBorder="1" applyAlignment="1">
      <alignment horizontal="center" vertical="top"/>
    </xf>
    <xf numFmtId="0" fontId="119" fillId="0" borderId="58" xfId="4495" applyBorder="1"/>
    <xf numFmtId="0" fontId="22" fillId="0" borderId="58" xfId="4495" applyFont="1" applyBorder="1" applyAlignment="1">
      <alignment vertical="top"/>
    </xf>
    <xf numFmtId="0" fontId="22" fillId="0" borderId="58" xfId="4495" applyFont="1" applyBorder="1" applyAlignment="1">
      <alignment horizontal="left" vertical="top"/>
    </xf>
    <xf numFmtId="0" fontId="22" fillId="0" borderId="51" xfId="4495" applyFont="1" applyBorder="1" applyAlignment="1">
      <alignment horizontal="left" vertical="top"/>
    </xf>
    <xf numFmtId="0" fontId="22" fillId="0" borderId="53" xfId="4495" applyFont="1" applyBorder="1" applyAlignment="1">
      <alignment horizontal="left" vertical="top"/>
    </xf>
    <xf numFmtId="0" fontId="52" fillId="0" borderId="0" xfId="4495" applyFont="1" applyAlignment="1">
      <alignment horizontal="left" vertical="top"/>
    </xf>
    <xf numFmtId="0" fontId="23"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1" fillId="0" borderId="53" xfId="4495" applyFont="1" applyBorder="1"/>
    <xf numFmtId="2" fontId="23" fillId="0" borderId="8" xfId="4495" applyNumberFormat="1" applyFont="1" applyBorder="1" applyAlignment="1">
      <alignment horizontal="right"/>
    </xf>
    <xf numFmtId="0" fontId="22"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2" fillId="0" borderId="58" xfId="4495" applyNumberFormat="1" applyFont="1" applyBorder="1" applyAlignment="1">
      <alignment vertical="top"/>
    </xf>
    <xf numFmtId="172" fontId="22" fillId="0" borderId="8" xfId="543" applyNumberFormat="1" applyFont="1" applyBorder="1"/>
    <xf numFmtId="172" fontId="22" fillId="0" borderId="0" xfId="543" applyNumberFormat="1" applyFont="1"/>
    <xf numFmtId="0" fontId="31" fillId="0" borderId="0" xfId="4495" applyFont="1" applyAlignment="1">
      <alignment wrapText="1"/>
    </xf>
    <xf numFmtId="0" fontId="31" fillId="0" borderId="0" xfId="4495" applyFont="1" applyAlignment="1">
      <alignment horizontal="center"/>
    </xf>
    <xf numFmtId="0" fontId="31" fillId="0" borderId="0" xfId="4495" applyFont="1" applyAlignment="1">
      <alignment vertical="center" wrapText="1"/>
    </xf>
    <xf numFmtId="180" fontId="23" fillId="0" borderId="0" xfId="4495" applyNumberFormat="1" applyFont="1" applyAlignment="1">
      <alignment horizontal="center"/>
    </xf>
    <xf numFmtId="1" fontId="23" fillId="0" borderId="0" xfId="4495" applyNumberFormat="1" applyFont="1" applyAlignment="1">
      <alignment horizontal="center"/>
    </xf>
    <xf numFmtId="0" fontId="22" fillId="0" borderId="51" xfId="4495" applyFont="1" applyBorder="1" applyAlignment="1">
      <alignment horizontal="center"/>
    </xf>
    <xf numFmtId="0" fontId="22" fillId="0" borderId="51" xfId="4495" applyFont="1" applyBorder="1" applyAlignment="1">
      <alignment vertical="top"/>
    </xf>
    <xf numFmtId="0" fontId="22" fillId="0" borderId="53" xfId="4495" applyFont="1" applyBorder="1"/>
    <xf numFmtId="0" fontId="15" fillId="0" borderId="54" xfId="543" applyBorder="1"/>
    <xf numFmtId="49" fontId="23" fillId="0" borderId="0" xfId="4495" applyNumberFormat="1" applyFont="1" applyAlignment="1">
      <alignment horizontal="left" vertical="center" wrapText="1"/>
    </xf>
    <xf numFmtId="0" fontId="15" fillId="0" borderId="57" xfId="4495" applyFont="1" applyBorder="1"/>
    <xf numFmtId="1" fontId="15" fillId="0" borderId="0" xfId="4495" applyNumberFormat="1" applyFont="1" applyAlignment="1">
      <alignment vertical="center"/>
    </xf>
    <xf numFmtId="0" fontId="33" fillId="0" borderId="50" xfId="4495" applyFont="1" applyBorder="1"/>
    <xf numFmtId="0" fontId="23" fillId="0" borderId="51" xfId="4495" applyFont="1" applyBorder="1" applyAlignment="1">
      <alignment horizontal="center" vertical="top"/>
    </xf>
    <xf numFmtId="0" fontId="23" fillId="0" borderId="51" xfId="4495" applyFont="1" applyBorder="1" applyAlignment="1">
      <alignment vertical="top" wrapText="1"/>
    </xf>
    <xf numFmtId="0" fontId="23" fillId="0" borderId="51" xfId="4495" applyFont="1" applyBorder="1" applyAlignment="1">
      <alignment horizontal="left" vertical="top" wrapText="1"/>
    </xf>
    <xf numFmtId="0" fontId="15" fillId="0" borderId="0" xfId="4495" quotePrefix="1" applyFont="1" applyAlignment="1">
      <alignment horizontal="center" vertical="top"/>
    </xf>
    <xf numFmtId="1" fontId="23" fillId="0" borderId="0" xfId="4495" quotePrefix="1" applyNumberFormat="1" applyFont="1" applyAlignment="1">
      <alignment wrapText="1"/>
    </xf>
    <xf numFmtId="0" fontId="23" fillId="0" borderId="6" xfId="4495" applyFont="1" applyBorder="1" applyAlignment="1">
      <alignment horizontal="right"/>
    </xf>
    <xf numFmtId="0" fontId="121" fillId="0" borderId="0" xfId="4496" applyFont="1" applyAlignment="1">
      <alignment wrapText="1"/>
    </xf>
    <xf numFmtId="0" fontId="15" fillId="0" borderId="0" xfId="4496" applyFont="1" applyAlignment="1">
      <alignment wrapText="1"/>
    </xf>
    <xf numFmtId="0" fontId="31" fillId="0" borderId="51" xfId="4495" applyFont="1" applyBorder="1" applyAlignment="1">
      <alignment vertical="top"/>
    </xf>
    <xf numFmtId="0" fontId="15" fillId="0" borderId="51" xfId="4496" applyFont="1" applyBorder="1" applyAlignment="1">
      <alignment wrapText="1"/>
    </xf>
    <xf numFmtId="0" fontId="22" fillId="0" borderId="51" xfId="4495" applyFont="1" applyBorder="1" applyAlignment="1">
      <alignment horizontal="right"/>
    </xf>
    <xf numFmtId="0" fontId="15" fillId="0" borderId="52" xfId="4495" applyFont="1" applyBorder="1" applyAlignment="1">
      <alignment horizontal="center"/>
    </xf>
    <xf numFmtId="0" fontId="15" fillId="0" borderId="53" xfId="4495" applyFont="1" applyBorder="1" applyAlignment="1">
      <alignment horizontal="left" vertical="top"/>
    </xf>
    <xf numFmtId="0" fontId="15" fillId="0" borderId="54" xfId="4495" applyFont="1" applyBorder="1" applyAlignment="1">
      <alignment horizontal="left" vertical="top"/>
    </xf>
    <xf numFmtId="0" fontId="15" fillId="0" borderId="54" xfId="4495" applyFont="1" applyBorder="1" applyAlignment="1">
      <alignment horizontal="center"/>
    </xf>
    <xf numFmtId="0" fontId="15" fillId="0" borderId="59" xfId="4495" applyFont="1" applyBorder="1" applyAlignment="1">
      <alignment horizontal="center"/>
    </xf>
    <xf numFmtId="9" fontId="15" fillId="0" borderId="0" xfId="4496" applyNumberFormat="1" applyFont="1" applyAlignment="1">
      <alignment horizontal="center"/>
    </xf>
    <xf numFmtId="1" fontId="15" fillId="0" borderId="0" xfId="543" applyNumberFormat="1"/>
    <xf numFmtId="0" fontId="23" fillId="0" borderId="1" xfId="4495" applyFont="1" applyBorder="1"/>
    <xf numFmtId="0" fontId="22" fillId="0" borderId="0" xfId="4495" applyFont="1" applyAlignment="1">
      <alignment horizontal="center" wrapText="1"/>
    </xf>
    <xf numFmtId="0" fontId="22" fillId="0" borderId="9" xfId="4495" applyFont="1" applyBorder="1" applyAlignment="1">
      <alignment horizontal="left"/>
    </xf>
    <xf numFmtId="0" fontId="22" fillId="0" borderId="3" xfId="4495" applyFont="1" applyBorder="1" applyAlignment="1">
      <alignment horizontal="left"/>
    </xf>
    <xf numFmtId="0" fontId="22" fillId="0" borderId="4" xfId="4495" applyFont="1" applyBorder="1" applyAlignment="1">
      <alignment horizontal="left"/>
    </xf>
    <xf numFmtId="0" fontId="15" fillId="0" borderId="2" xfId="4495" applyFont="1" applyBorder="1" applyAlignment="1">
      <alignment horizontal="left"/>
    </xf>
    <xf numFmtId="0" fontId="22" fillId="0" borderId="2" xfId="4495" applyFont="1" applyBorder="1" applyAlignment="1">
      <alignment horizontal="left"/>
    </xf>
    <xf numFmtId="0" fontId="22" fillId="0" borderId="5" xfId="4495" applyFont="1" applyBorder="1" applyAlignment="1">
      <alignment horizontal="left"/>
    </xf>
    <xf numFmtId="180" fontId="63" fillId="0" borderId="0" xfId="4495" applyNumberFormat="1" applyFont="1" applyAlignment="1">
      <alignment horizontal="center" vertical="center"/>
    </xf>
    <xf numFmtId="0" fontId="15" fillId="0" borderId="12" xfId="4495" applyFont="1" applyBorder="1" applyAlignment="1">
      <alignment vertical="top"/>
    </xf>
    <xf numFmtId="0" fontId="45" fillId="0" borderId="0" xfId="4495" applyFont="1" applyAlignment="1">
      <alignment vertical="top" wrapText="1"/>
    </xf>
    <xf numFmtId="0" fontId="15" fillId="0" borderId="51" xfId="4495" applyFont="1" applyBorder="1" applyAlignment="1">
      <alignment horizontal="left" vertical="top" wrapText="1"/>
    </xf>
    <xf numFmtId="0" fontId="15" fillId="0" borderId="51" xfId="4495" applyFont="1" applyBorder="1" applyAlignment="1">
      <alignment horizontal="right"/>
    </xf>
    <xf numFmtId="0" fontId="15" fillId="0" borderId="52" xfId="4495" applyFont="1" applyBorder="1" applyAlignment="1">
      <alignment horizontal="right"/>
    </xf>
    <xf numFmtId="0" fontId="15" fillId="0" borderId="54" xfId="4495" applyFont="1" applyBorder="1" applyAlignment="1">
      <alignment horizontal="right"/>
    </xf>
    <xf numFmtId="0" fontId="15" fillId="0" borderId="58" xfId="4495" applyFont="1" applyBorder="1" applyAlignment="1">
      <alignment horizontal="left" vertical="top" wrapText="1"/>
    </xf>
    <xf numFmtId="0" fontId="15" fillId="0" borderId="58" xfId="4495" applyFont="1" applyBorder="1" applyAlignment="1">
      <alignment horizontal="right"/>
    </xf>
    <xf numFmtId="0" fontId="15" fillId="0" borderId="59" xfId="4495" applyFont="1" applyBorder="1" applyAlignment="1">
      <alignment horizontal="right"/>
    </xf>
    <xf numFmtId="0" fontId="45" fillId="0" borderId="0" xfId="4495" applyFont="1" applyAlignment="1">
      <alignment horizontal="left" vertical="top" wrapText="1"/>
    </xf>
    <xf numFmtId="0" fontId="15" fillId="0" borderId="0" xfId="1192" applyAlignment="1">
      <alignment horizontal="left" vertical="top"/>
    </xf>
    <xf numFmtId="0" fontId="33" fillId="0" borderId="0" xfId="1192" applyFont="1" applyAlignment="1">
      <alignment horizontal="left" vertical="top"/>
    </xf>
    <xf numFmtId="0" fontId="15" fillId="0" borderId="0" xfId="1192" applyAlignment="1">
      <alignment vertical="top"/>
    </xf>
    <xf numFmtId="168" fontId="15" fillId="0" borderId="0" xfId="1192" applyNumberFormat="1"/>
    <xf numFmtId="165" fontId="15" fillId="0" borderId="0" xfId="1192" applyNumberFormat="1"/>
    <xf numFmtId="165" fontId="15" fillId="0" borderId="0" xfId="1192" applyNumberFormat="1" applyAlignment="1">
      <alignment horizontal="right"/>
    </xf>
    <xf numFmtId="2" fontId="15" fillId="0" borderId="0" xfId="1192" applyNumberFormat="1"/>
    <xf numFmtId="6" fontId="15" fillId="0" borderId="0" xfId="1192" applyNumberFormat="1"/>
    <xf numFmtId="0" fontId="22" fillId="0" borderId="0" xfId="1192" applyFont="1"/>
    <xf numFmtId="0" fontId="45" fillId="0" borderId="0" xfId="1192" applyFont="1"/>
    <xf numFmtId="168" fontId="15" fillId="0" borderId="0" xfId="4495" applyNumberFormat="1" applyFont="1"/>
    <xf numFmtId="0" fontId="22"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5" fillId="0" borderId="0" xfId="1192" applyNumberFormat="1" applyAlignment="1">
      <alignment horizontal="center"/>
    </xf>
    <xf numFmtId="9" fontId="15" fillId="0" borderId="0" xfId="1192" applyNumberFormat="1"/>
    <xf numFmtId="0" fontId="15" fillId="0" borderId="0" xfId="1192" applyAlignment="1">
      <alignment horizontal="right"/>
    </xf>
    <xf numFmtId="0" fontId="15" fillId="0" borderId="53" xfId="4495" applyFont="1" applyBorder="1" applyAlignment="1">
      <alignment horizontal="left"/>
    </xf>
    <xf numFmtId="6" fontId="22" fillId="0" borderId="0" xfId="1192" applyNumberFormat="1" applyFont="1" applyAlignment="1">
      <alignment horizontal="right"/>
    </xf>
    <xf numFmtId="165" fontId="15" fillId="0" borderId="0" xfId="4495" applyNumberFormat="1" applyFont="1"/>
    <xf numFmtId="0" fontId="53" fillId="0" borderId="4" xfId="4495" applyFont="1" applyBorder="1"/>
    <xf numFmtId="0" fontId="35" fillId="0" borderId="0" xfId="543" applyFont="1" applyAlignment="1">
      <alignment vertical="center" wrapText="1"/>
    </xf>
    <xf numFmtId="1" fontId="22" fillId="0" borderId="13" xfId="271" applyNumberFormat="1" applyFont="1" applyBorder="1"/>
    <xf numFmtId="1" fontId="24" fillId="0" borderId="13" xfId="271" applyNumberFormat="1" applyBorder="1"/>
    <xf numFmtId="0" fontId="15" fillId="0" borderId="11" xfId="0" applyFont="1" applyBorder="1"/>
    <xf numFmtId="9" fontId="15"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3" fillId="0" borderId="0" xfId="4495" applyNumberFormat="1" applyFont="1"/>
    <xf numFmtId="0" fontId="22" fillId="0" borderId="8" xfId="0" applyFont="1" applyBorder="1" applyAlignment="1">
      <alignment horizontal="center" vertical="center" wrapText="1"/>
    </xf>
    <xf numFmtId="0" fontId="22"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2" fillId="0" borderId="7" xfId="0" applyFont="1" applyBorder="1" applyAlignment="1">
      <alignment horizontal="right"/>
    </xf>
    <xf numFmtId="0" fontId="0" fillId="0" borderId="0" xfId="0" applyAlignment="1" applyProtection="1">
      <alignment horizontal="left" vertical="top" wrapText="1"/>
      <protection locked="0"/>
    </xf>
    <xf numFmtId="2" fontId="15" fillId="0" borderId="0" xfId="0" applyNumberFormat="1" applyFont="1"/>
    <xf numFmtId="0" fontId="15" fillId="0" borderId="9" xfId="0" applyFont="1" applyBorder="1" applyAlignment="1">
      <alignment horizontal="left"/>
    </xf>
    <xf numFmtId="0" fontId="15" fillId="0" borderId="6" xfId="0" applyFont="1" applyBorder="1"/>
    <xf numFmtId="0" fontId="15" fillId="0" borderId="9" xfId="0" applyFont="1" applyBorder="1"/>
    <xf numFmtId="0" fontId="48" fillId="0" borderId="0" xfId="0" applyFont="1" applyAlignment="1">
      <alignment horizontal="center"/>
    </xf>
    <xf numFmtId="0" fontId="21" fillId="0" borderId="0" xfId="0" applyFont="1" applyAlignment="1">
      <alignment horizontal="center" vertical="center" wrapText="1"/>
    </xf>
    <xf numFmtId="0" fontId="30" fillId="0" borderId="0" xfId="0" applyFont="1" applyAlignment="1">
      <alignment horizontal="center"/>
    </xf>
    <xf numFmtId="0" fontId="23" fillId="0" borderId="0" xfId="0" applyFont="1" applyAlignment="1">
      <alignment horizontal="center"/>
    </xf>
    <xf numFmtId="0" fontId="22" fillId="0" borderId="3" xfId="0" applyFont="1" applyBorder="1"/>
    <xf numFmtId="0" fontId="22" fillId="0" borderId="4" xfId="271" applyFont="1" applyBorder="1"/>
    <xf numFmtId="0" fontId="22" fillId="0" borderId="3" xfId="271" applyFont="1" applyBorder="1"/>
    <xf numFmtId="0" fontId="22" fillId="0" borderId="5" xfId="271" applyFont="1" applyBorder="1"/>
    <xf numFmtId="0" fontId="15" fillId="0" borderId="58" xfId="4495" applyFont="1" applyBorder="1" applyAlignment="1">
      <alignment vertical="center" wrapText="1"/>
    </xf>
    <xf numFmtId="0" fontId="15" fillId="0" borderId="59" xfId="4495" applyFont="1" applyBorder="1" applyAlignment="1">
      <alignment vertical="center" wrapText="1"/>
    </xf>
    <xf numFmtId="0" fontId="15" fillId="0" borderId="0" xfId="4495" applyFont="1" applyAlignment="1">
      <alignment horizontal="left" vertical="center" wrapText="1"/>
    </xf>
    <xf numFmtId="0" fontId="22" fillId="0" borderId="5" xfId="0" applyFont="1" applyBorder="1"/>
    <xf numFmtId="168" fontId="20" fillId="43" borderId="0" xfId="0" applyNumberFormat="1" applyFont="1" applyFill="1"/>
    <xf numFmtId="9" fontId="23" fillId="0" borderId="0" xfId="543" applyNumberFormat="1" applyFont="1" applyAlignment="1">
      <alignment horizontal="center"/>
    </xf>
    <xf numFmtId="171" fontId="15" fillId="0" borderId="0" xfId="543" applyNumberFormat="1"/>
    <xf numFmtId="171" fontId="15" fillId="0" borderId="11" xfId="543" applyNumberFormat="1" applyBorder="1"/>
    <xf numFmtId="1" fontId="15" fillId="0" borderId="11" xfId="543" applyNumberFormat="1" applyBorder="1" applyAlignment="1">
      <alignment horizontal="center"/>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35" fillId="0" borderId="12" xfId="543" applyFont="1" applyBorder="1" applyAlignment="1">
      <alignment horizontal="center" vertical="top"/>
    </xf>
    <xf numFmtId="0" fontId="36" fillId="0" borderId="7" xfId="543" applyFont="1" applyBorder="1"/>
    <xf numFmtId="0" fontId="15" fillId="0" borderId="12" xfId="543" quotePrefix="1" applyBorder="1"/>
    <xf numFmtId="0" fontId="52" fillId="0" borderId="2" xfId="569" applyFont="1" applyBorder="1" applyAlignment="1">
      <alignment vertical="top"/>
    </xf>
    <xf numFmtId="0" fontId="25" fillId="0" borderId="0" xfId="4495" applyFont="1"/>
    <xf numFmtId="0" fontId="15" fillId="0" borderId="0" xfId="4495" applyFont="1" applyAlignment="1">
      <alignment vertical="top" wrapText="1" shrinkToFit="1"/>
    </xf>
    <xf numFmtId="0" fontId="155" fillId="0" borderId="0" xfId="4495" applyFont="1"/>
    <xf numFmtId="164" fontId="15" fillId="0" borderId="0" xfId="1192" applyNumberFormat="1" applyAlignment="1">
      <alignment horizontal="right"/>
    </xf>
    <xf numFmtId="164" fontId="15" fillId="0" borderId="0" xfId="4495" applyNumberFormat="1" applyFont="1" applyAlignment="1">
      <alignment horizontal="right"/>
    </xf>
    <xf numFmtId="0" fontId="15" fillId="0" borderId="0" xfId="4495" applyFont="1" applyAlignment="1">
      <alignment horizontal="left" vertical="top" wrapText="1" shrinkToFit="1"/>
    </xf>
    <xf numFmtId="0" fontId="15" fillId="0" borderId="6" xfId="4495" applyFont="1" applyBorder="1" applyAlignment="1">
      <alignment vertical="top" wrapText="1"/>
    </xf>
    <xf numFmtId="0" fontId="155" fillId="0" borderId="4" xfId="4495" applyFont="1" applyBorder="1"/>
    <xf numFmtId="0" fontId="15" fillId="0" borderId="4" xfId="4495" applyFont="1" applyBorder="1" applyAlignment="1">
      <alignment horizontal="left" vertical="top" wrapText="1" shrinkToFit="1"/>
    </xf>
    <xf numFmtId="0" fontId="25" fillId="0" borderId="0" xfId="4495" applyFont="1" applyAlignment="1">
      <alignment horizontal="left" vertical="top"/>
    </xf>
    <xf numFmtId="0" fontId="15" fillId="0" borderId="0" xfId="4495" applyFont="1" applyAlignment="1">
      <alignment vertical="center" wrapText="1" shrinkToFit="1"/>
    </xf>
    <xf numFmtId="0" fontId="15" fillId="0" borderId="0" xfId="4495" applyFont="1" applyAlignment="1">
      <alignment horizontal="left" vertical="top" shrinkToFit="1"/>
    </xf>
    <xf numFmtId="0" fontId="15" fillId="0" borderId="0" xfId="4495" applyFont="1" applyAlignment="1">
      <alignment horizontal="left" vertical="center" shrinkToFit="1"/>
    </xf>
    <xf numFmtId="0" fontId="25" fillId="0" borderId="4" xfId="4495" applyFont="1" applyBorder="1"/>
    <xf numFmtId="0" fontId="15" fillId="0" borderId="4" xfId="4495" applyFont="1" applyBorder="1" applyAlignment="1">
      <alignment horizontal="left" vertical="top" shrinkToFit="1"/>
    </xf>
    <xf numFmtId="0" fontId="15" fillId="0" borderId="0" xfId="4495" applyFont="1" applyAlignment="1">
      <alignment vertical="center"/>
    </xf>
    <xf numFmtId="0" fontId="21" fillId="0" borderId="0" xfId="4495" applyFont="1"/>
    <xf numFmtId="0" fontId="25" fillId="0" borderId="0" xfId="4495" applyFont="1" applyAlignment="1">
      <alignment horizontal="center"/>
    </xf>
    <xf numFmtId="0" fontId="15" fillId="0" borderId="4" xfId="4495" applyFont="1" applyBorder="1" applyAlignment="1">
      <alignment horizontal="left" vertical="top" wrapText="1"/>
    </xf>
    <xf numFmtId="44" fontId="15" fillId="0" borderId="0" xfId="707" applyFont="1" applyFill="1" applyBorder="1" applyAlignment="1" applyProtection="1">
      <alignment horizontal="left" vertical="top" wrapText="1"/>
    </xf>
    <xf numFmtId="44" fontId="15" fillId="0" borderId="4" xfId="707" applyFont="1" applyFill="1" applyBorder="1" applyAlignment="1" applyProtection="1">
      <alignment horizontal="left" vertical="top" wrapText="1"/>
    </xf>
    <xf numFmtId="164" fontId="33" fillId="0" borderId="0" xfId="4495" applyNumberFormat="1" applyFont="1" applyAlignment="1">
      <alignment horizontal="left"/>
    </xf>
    <xf numFmtId="0" fontId="25" fillId="0" borderId="0" xfId="4495" applyFont="1" applyAlignment="1">
      <alignment horizontal="left"/>
    </xf>
    <xf numFmtId="0" fontId="15" fillId="0" borderId="4" xfId="4495" applyFont="1" applyBorder="1" applyAlignment="1">
      <alignment vertical="top" wrapText="1"/>
    </xf>
    <xf numFmtId="0" fontId="25" fillId="0" borderId="4" xfId="4495" applyFont="1" applyBorder="1" applyAlignment="1">
      <alignment horizontal="left" vertical="top"/>
    </xf>
    <xf numFmtId="0" fontId="15" fillId="0" borderId="0" xfId="4495" applyFont="1" applyAlignment="1">
      <alignment horizontal="left" vertical="center" wrapText="1" shrinkToFit="1"/>
    </xf>
    <xf numFmtId="0" fontId="15" fillId="0" borderId="6" xfId="4495" applyFont="1" applyBorder="1" applyAlignment="1">
      <alignment horizontal="left" vertical="top" wrapText="1"/>
    </xf>
    <xf numFmtId="2" fontId="117" fillId="0" borderId="0" xfId="0" applyNumberFormat="1" applyFont="1" applyAlignment="1">
      <alignment horizontal="center"/>
    </xf>
    <xf numFmtId="9" fontId="15" fillId="0" borderId="0" xfId="4494" applyFont="1" applyAlignment="1">
      <alignment horizontal="center"/>
    </xf>
    <xf numFmtId="3" fontId="15" fillId="0" borderId="0" xfId="0" applyNumberFormat="1" applyFont="1"/>
    <xf numFmtId="10" fontId="15" fillId="0" borderId="0" xfId="0" applyNumberFormat="1" applyFont="1" applyAlignment="1">
      <alignment horizontal="center"/>
    </xf>
    <xf numFmtId="168" fontId="15" fillId="0" borderId="0" xfId="0" applyNumberFormat="1" applyFont="1"/>
    <xf numFmtId="172" fontId="15" fillId="0" borderId="11" xfId="0" applyNumberFormat="1" applyFont="1" applyBorder="1" applyAlignment="1">
      <alignment horizontal="center"/>
    </xf>
    <xf numFmtId="168" fontId="15" fillId="5" borderId="0" xfId="0" applyNumberFormat="1" applyFont="1" applyFill="1"/>
    <xf numFmtId="3" fontId="15" fillId="5" borderId="0" xfId="0" applyNumberFormat="1" applyFont="1" applyFill="1"/>
    <xf numFmtId="0" fontId="15" fillId="5" borderId="0" xfId="0" applyFont="1" applyFill="1"/>
    <xf numFmtId="3" fontId="15" fillId="5" borderId="6" xfId="0" applyNumberFormat="1" applyFont="1" applyFill="1" applyBorder="1"/>
    <xf numFmtId="3" fontId="15" fillId="0" borderId="6" xfId="0" applyNumberFormat="1" applyFont="1" applyBorder="1"/>
    <xf numFmtId="168" fontId="15" fillId="0" borderId="0" xfId="0" applyNumberFormat="1" applyFont="1" applyAlignment="1">
      <alignment horizontal="center"/>
    </xf>
    <xf numFmtId="3" fontId="15" fillId="0" borderId="0" xfId="0" applyNumberFormat="1" applyFont="1" applyAlignment="1">
      <alignment horizontal="center"/>
    </xf>
    <xf numFmtId="0" fontId="15" fillId="0" borderId="50" xfId="4495" applyFont="1" applyBorder="1" applyAlignment="1">
      <alignment vertical="center"/>
    </xf>
    <xf numFmtId="0" fontId="15" fillId="0" borderId="51" xfId="4495" applyFont="1" applyBorder="1" applyAlignment="1">
      <alignment vertical="center"/>
    </xf>
    <xf numFmtId="0" fontId="15" fillId="0" borderId="52" xfId="4495" applyFont="1" applyBorder="1" applyAlignment="1">
      <alignment vertical="center"/>
    </xf>
    <xf numFmtId="0" fontId="15" fillId="0" borderId="54" xfId="4495" applyFont="1" applyBorder="1" applyAlignment="1">
      <alignment vertical="center" wrapText="1"/>
    </xf>
    <xf numFmtId="0" fontId="15" fillId="0" borderId="53" xfId="4495" applyFont="1" applyBorder="1" applyAlignment="1">
      <alignment vertical="top" wrapText="1"/>
    </xf>
    <xf numFmtId="0" fontId="15" fillId="0" borderId="58" xfId="0" applyFont="1" applyBorder="1" applyAlignment="1">
      <alignment horizontal="left"/>
    </xf>
    <xf numFmtId="9" fontId="15" fillId="0" borderId="0" xfId="543" applyNumberFormat="1" applyAlignment="1">
      <alignment horizontal="center"/>
    </xf>
    <xf numFmtId="0" fontId="47" fillId="0" borderId="0" xfId="4496" applyFont="1"/>
    <xf numFmtId="168" fontId="52" fillId="5" borderId="11" xfId="0" applyNumberFormat="1" applyFont="1" applyFill="1" applyBorder="1" applyAlignment="1" applyProtection="1">
      <alignment vertical="top" wrapText="1"/>
      <protection locked="0"/>
    </xf>
    <xf numFmtId="0" fontId="15" fillId="0" borderId="0" xfId="0" applyFont="1" applyAlignment="1">
      <alignment horizontal="left" wrapText="1"/>
    </xf>
    <xf numFmtId="4" fontId="33" fillId="0" borderId="0" xfId="0" applyNumberFormat="1" applyFont="1" applyAlignment="1">
      <alignment horizontal="left"/>
    </xf>
    <xf numFmtId="4" fontId="15" fillId="0" borderId="0" xfId="0" applyNumberFormat="1" applyFont="1" applyAlignment="1">
      <alignment horizontal="left" vertical="top" wrapText="1"/>
    </xf>
    <xf numFmtId="0" fontId="22" fillId="0" borderId="4" xfId="0" applyFont="1" applyBorder="1" applyAlignment="1">
      <alignment horizontal="left"/>
    </xf>
    <xf numFmtId="4" fontId="15" fillId="0" borderId="0" xfId="0" applyNumberFormat="1" applyFont="1" applyAlignment="1">
      <alignment horizontal="left"/>
    </xf>
    <xf numFmtId="43" fontId="50" fillId="0" borderId="0" xfId="4504" applyFont="1" applyAlignment="1" applyProtection="1">
      <alignment horizontal="center"/>
    </xf>
    <xf numFmtId="43" fontId="15" fillId="0" borderId="0" xfId="4504" applyFont="1" applyAlignment="1" applyProtection="1">
      <alignment horizontal="center"/>
    </xf>
    <xf numFmtId="43" fontId="15" fillId="0" borderId="0" xfId="4504" applyFont="1" applyProtection="1"/>
    <xf numFmtId="49" fontId="15" fillId="0" borderId="0" xfId="0" applyNumberFormat="1" applyFont="1"/>
    <xf numFmtId="49" fontId="15" fillId="0" borderId="0" xfId="0" applyNumberFormat="1" applyFont="1" applyAlignment="1">
      <alignment horizontal="center"/>
    </xf>
    <xf numFmtId="4" fontId="15" fillId="0" borderId="0" xfId="0" applyNumberFormat="1" applyFont="1" applyAlignment="1">
      <alignment vertical="top" wrapText="1"/>
    </xf>
    <xf numFmtId="0" fontId="15" fillId="0" borderId="0" xfId="0" quotePrefix="1" applyFont="1"/>
    <xf numFmtId="0" fontId="45" fillId="0" borderId="0" xfId="0" applyFont="1" applyAlignment="1">
      <alignment horizontal="left"/>
    </xf>
    <xf numFmtId="0" fontId="15" fillId="0" borderId="4" xfId="0" applyFont="1" applyBorder="1" applyAlignment="1">
      <alignment horizontal="left"/>
    </xf>
    <xf numFmtId="0" fontId="15" fillId="0" borderId="0" xfId="0" quotePrefix="1" applyFont="1" applyAlignment="1">
      <alignment horizontal="left"/>
    </xf>
    <xf numFmtId="0" fontId="15" fillId="0" borderId="0" xfId="0" quotePrefix="1" applyFont="1" applyAlignment="1">
      <alignment horizontal="left" vertical="top"/>
    </xf>
    <xf numFmtId="0" fontId="45" fillId="0" borderId="0" xfId="1192" applyFont="1" applyAlignment="1">
      <alignment horizontal="left"/>
    </xf>
    <xf numFmtId="0" fontId="50" fillId="0" borderId="0" xfId="0" applyFont="1" applyAlignment="1">
      <alignment horizontal="center" vertical="center"/>
    </xf>
    <xf numFmtId="49" fontId="22" fillId="0" borderId="0" xfId="0" applyNumberFormat="1" applyFont="1" applyAlignment="1">
      <alignment horizontal="center" vertical="center"/>
    </xf>
    <xf numFmtId="49" fontId="15" fillId="0" borderId="0" xfId="0" applyNumberFormat="1" applyFont="1" applyAlignment="1">
      <alignment vertical="center"/>
    </xf>
    <xf numFmtId="4" fontId="15" fillId="0" borderId="0" xfId="0" applyNumberFormat="1" applyFont="1" applyAlignment="1">
      <alignment horizontal="center"/>
    </xf>
    <xf numFmtId="4" fontId="15" fillId="0" borderId="0" xfId="0" applyNumberFormat="1" applyFont="1"/>
    <xf numFmtId="10" fontId="15"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5" fillId="0" borderId="0" xfId="1192" quotePrefix="1" applyNumberFormat="1" applyAlignment="1">
      <alignment horizontal="center"/>
    </xf>
    <xf numFmtId="0" fontId="121" fillId="0" borderId="0" xfId="4495" applyFont="1"/>
    <xf numFmtId="10" fontId="121" fillId="0" borderId="0" xfId="4495" applyNumberFormat="1" applyFont="1"/>
    <xf numFmtId="172" fontId="15" fillId="0" borderId="0" xfId="4495" applyNumberFormat="1" applyFont="1"/>
    <xf numFmtId="0" fontId="38" fillId="0" borderId="0" xfId="0" applyFont="1" applyAlignment="1">
      <alignment horizontal="center"/>
    </xf>
    <xf numFmtId="0" fontId="34" fillId="0" borderId="0" xfId="0" applyFont="1" applyAlignment="1">
      <alignment horizontal="left"/>
    </xf>
    <xf numFmtId="0" fontId="0" fillId="0" borderId="10" xfId="0" applyBorder="1" applyAlignment="1">
      <alignment horizontal="left"/>
    </xf>
    <xf numFmtId="1" fontId="15" fillId="0" borderId="0" xfId="1192" applyNumberFormat="1" applyAlignment="1">
      <alignment horizontal="center"/>
    </xf>
    <xf numFmtId="0" fontId="119" fillId="0" borderId="63" xfId="4495" applyBorder="1"/>
    <xf numFmtId="0" fontId="52" fillId="0" borderId="0" xfId="271" applyFont="1" applyAlignment="1">
      <alignment vertical="top"/>
    </xf>
    <xf numFmtId="0" fontId="22" fillId="0" borderId="11" xfId="0" applyFont="1" applyBorder="1" applyAlignment="1">
      <alignment horizontal="right" vertical="top" wrapText="1"/>
    </xf>
    <xf numFmtId="0" fontId="24" fillId="0" borderId="11" xfId="271" applyBorder="1" applyAlignment="1" applyProtection="1">
      <alignment horizontal="right" vertical="top" wrapText="1"/>
      <protection locked="0"/>
    </xf>
    <xf numFmtId="0" fontId="15" fillId="0" borderId="54" xfId="4495" applyFont="1" applyBorder="1" applyAlignment="1">
      <alignment vertical="top"/>
    </xf>
    <xf numFmtId="9" fontId="24" fillId="0" borderId="0" xfId="0" applyNumberFormat="1" applyFont="1"/>
    <xf numFmtId="0" fontId="15" fillId="0" borderId="16" xfId="569" applyBorder="1" applyAlignment="1">
      <alignment horizontal="center"/>
    </xf>
    <xf numFmtId="164" fontId="15" fillId="0" borderId="57" xfId="4495" applyNumberFormat="1" applyFont="1" applyBorder="1" applyAlignment="1">
      <alignment vertical="top" wrapText="1"/>
    </xf>
    <xf numFmtId="164" fontId="15" fillId="0" borderId="58" xfId="4495" applyNumberFormat="1" applyFont="1" applyBorder="1" applyAlignment="1">
      <alignment vertical="top" wrapText="1"/>
    </xf>
    <xf numFmtId="164" fontId="15" fillId="0" borderId="59" xfId="4495" applyNumberFormat="1" applyFont="1" applyBorder="1" applyAlignment="1">
      <alignment vertical="top" wrapText="1"/>
    </xf>
    <xf numFmtId="0" fontId="22" fillId="0" borderId="0" xfId="1192" applyFont="1" applyAlignment="1">
      <alignment horizontal="left" vertical="top" wrapText="1"/>
    </xf>
    <xf numFmtId="0" fontId="15" fillId="0" borderId="16" xfId="569" applyBorder="1"/>
    <xf numFmtId="0" fontId="15" fillId="0" borderId="4" xfId="569" applyBorder="1"/>
    <xf numFmtId="0" fontId="22" fillId="0" borderId="4" xfId="569" applyFont="1" applyBorder="1"/>
    <xf numFmtId="49" fontId="15" fillId="0" borderId="4" xfId="569" applyNumberFormat="1" applyBorder="1"/>
    <xf numFmtId="0" fontId="161" fillId="0" borderId="0" xfId="0" applyFont="1"/>
    <xf numFmtId="0" fontId="15" fillId="0" borderId="0" xfId="0" applyFont="1" applyAlignment="1">
      <alignment horizontal="right"/>
    </xf>
    <xf numFmtId="1" fontId="15" fillId="0" borderId="0" xfId="0" applyNumberFormat="1" applyFont="1" applyAlignment="1">
      <alignment horizontal="center"/>
    </xf>
    <xf numFmtId="0" fontId="22" fillId="0" borderId="0" xfId="0" applyFont="1" applyAlignment="1">
      <alignment horizontal="left" vertical="center"/>
    </xf>
    <xf numFmtId="0" fontId="15" fillId="0" borderId="0" xfId="0" applyFont="1" applyAlignment="1">
      <alignment horizontal="left" vertical="center"/>
    </xf>
    <xf numFmtId="0" fontId="22" fillId="0" borderId="0" xfId="569" applyFont="1" applyAlignment="1">
      <alignment vertical="top"/>
    </xf>
    <xf numFmtId="0" fontId="16" fillId="0" borderId="0" xfId="244" applyAlignment="1"/>
    <xf numFmtId="0" fontId="22" fillId="0" borderId="0" xfId="0" applyFont="1" applyAlignment="1">
      <alignment vertical="top" wrapText="1"/>
    </xf>
    <xf numFmtId="49" fontId="22" fillId="0" borderId="0" xfId="0" applyNumberFormat="1" applyFont="1"/>
    <xf numFmtId="49" fontId="22" fillId="0" borderId="0" xfId="0" applyNumberFormat="1" applyFont="1" applyAlignment="1">
      <alignment vertical="top"/>
    </xf>
    <xf numFmtId="0" fontId="38" fillId="0" borderId="11" xfId="0" applyFont="1" applyBorder="1"/>
    <xf numFmtId="175" fontId="15"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2"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82" fontId="97" fillId="0" borderId="11" xfId="4496" applyNumberFormat="1" applyFont="1" applyBorder="1" applyAlignment="1">
      <alignment horizontal="left"/>
    </xf>
    <xf numFmtId="1" fontId="97" fillId="0" borderId="0" xfId="4496" applyNumberFormat="1" applyFont="1"/>
    <xf numFmtId="2" fontId="97" fillId="0" borderId="0" xfId="4496" applyNumberFormat="1" applyFont="1" applyAlignment="1">
      <alignment horizontal="center"/>
    </xf>
    <xf numFmtId="2"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2"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0" fillId="0" borderId="11" xfId="271" applyNumberFormat="1" applyFont="1" applyBorder="1" applyAlignment="1">
      <alignment horizontal="center"/>
    </xf>
    <xf numFmtId="3" fontId="20" fillId="43" borderId="11" xfId="271" applyNumberFormat="1" applyFont="1" applyFill="1" applyBorder="1" applyAlignment="1" applyProtection="1">
      <alignment horizontal="center"/>
      <protection locked="0"/>
    </xf>
    <xf numFmtId="3" fontId="20" fillId="43" borderId="11" xfId="271" applyNumberFormat="1" applyFont="1" applyFill="1" applyBorder="1" applyProtection="1">
      <protection locked="0"/>
    </xf>
    <xf numFmtId="0" fontId="97" fillId="0" borderId="0" xfId="4496" applyFont="1" applyAlignment="1">
      <alignment horizontal="right"/>
    </xf>
    <xf numFmtId="168" fontId="24"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71" xfId="4496" applyFont="1" applyBorder="1" applyAlignment="1">
      <alignment horizontal="center" vertical="top" wrapText="1"/>
    </xf>
    <xf numFmtId="0" fontId="136" fillId="0" borderId="71" xfId="4496" applyFont="1" applyBorder="1" applyAlignment="1">
      <alignment horizontal="center"/>
    </xf>
    <xf numFmtId="0" fontId="166"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86"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97" fillId="0" borderId="15" xfId="4496" applyNumberFormat="1" applyFont="1" applyBorder="1"/>
    <xf numFmtId="182" fontId="136" fillId="0" borderId="71" xfId="8722" applyNumberFormat="1" applyFont="1" applyBorder="1" applyProtection="1"/>
    <xf numFmtId="9" fontId="97" fillId="0" borderId="15" xfId="4494" applyFont="1" applyFill="1" applyBorder="1" applyAlignment="1" applyProtection="1">
      <alignment horizontal="right"/>
    </xf>
    <xf numFmtId="182" fontId="136" fillId="0" borderId="71" xfId="4496" applyNumberFormat="1" applyFont="1" applyBorder="1"/>
    <xf numFmtId="0" fontId="166" fillId="0" borderId="0" xfId="4496" applyFont="1" applyAlignment="1">
      <alignment horizontal="right"/>
    </xf>
    <xf numFmtId="0" fontId="97" fillId="0" borderId="0" xfId="4496" applyFont="1" applyAlignment="1">
      <alignment horizontal="right" vertical="top" wrapText="1" indent="1"/>
    </xf>
    <xf numFmtId="182" fontId="97" fillId="0" borderId="6" xfId="8722"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2"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2"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70" xfId="4496" applyFont="1" applyBorder="1" applyAlignment="1">
      <alignment horizontal="right" indent="1"/>
    </xf>
    <xf numFmtId="0" fontId="97" fillId="0" borderId="80" xfId="4496" applyFont="1" applyBorder="1" applyAlignment="1">
      <alignment horizontal="right" indent="1"/>
    </xf>
    <xf numFmtId="0" fontId="97" fillId="0" borderId="80" xfId="4496" quotePrefix="1" applyFont="1" applyBorder="1" applyAlignment="1">
      <alignment horizontal="right" indent="1"/>
    </xf>
    <xf numFmtId="0" fontId="97" fillId="0" borderId="72" xfId="4496" applyFont="1" applyBorder="1" applyAlignment="1">
      <alignment horizontal="right" indent="1"/>
    </xf>
    <xf numFmtId="182" fontId="97" fillId="0" borderId="74" xfId="4496" applyNumberFormat="1" applyFont="1" applyBorder="1"/>
    <xf numFmtId="182" fontId="97" fillId="0" borderId="91" xfId="4496" applyNumberFormat="1" applyFont="1" applyBorder="1"/>
    <xf numFmtId="182" fontId="97" fillId="0" borderId="93" xfId="4496" applyNumberFormat="1" applyFont="1" applyBorder="1"/>
    <xf numFmtId="175" fontId="22" fillId="0" borderId="0" xfId="543" applyNumberFormat="1" applyFont="1" applyAlignment="1">
      <alignment vertical="center"/>
    </xf>
    <xf numFmtId="10" fontId="136" fillId="0" borderId="0" xfId="4494" applyNumberFormat="1" applyFont="1" applyProtection="1"/>
    <xf numFmtId="0" fontId="22"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71"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3" xfId="4496" applyNumberFormat="1" applyFont="1" applyBorder="1"/>
    <xf numFmtId="0" fontId="136" fillId="0" borderId="4" xfId="4496" applyFont="1" applyBorder="1" applyAlignment="1">
      <alignment horizontal="left" indent="1"/>
    </xf>
    <xf numFmtId="0" fontId="97" fillId="0" borderId="4" xfId="4496" applyFont="1" applyBorder="1"/>
    <xf numFmtId="0" fontId="33" fillId="0" borderId="0" xfId="4495" applyFont="1" applyAlignment="1">
      <alignment vertical="center"/>
    </xf>
    <xf numFmtId="0" fontId="121" fillId="0" borderId="0" xfId="4496" applyFont="1" applyAlignment="1">
      <alignment vertical="center" wrapText="1"/>
    </xf>
    <xf numFmtId="0" fontId="20" fillId="43" borderId="0" xfId="1192" applyFont="1" applyFill="1"/>
    <xf numFmtId="3" fontId="67" fillId="43" borderId="6" xfId="1192" applyNumberFormat="1" applyFont="1" applyFill="1" applyBorder="1"/>
    <xf numFmtId="0" fontId="168" fillId="0" borderId="0" xfId="0" applyFont="1"/>
    <xf numFmtId="0" fontId="20" fillId="0" borderId="11" xfId="253" applyFont="1" applyBorder="1" applyAlignment="1" applyProtection="1">
      <alignment horizontal="center" wrapText="1"/>
      <protection locked="0"/>
    </xf>
    <xf numFmtId="0" fontId="169" fillId="0" borderId="0" xfId="0" applyFont="1"/>
    <xf numFmtId="0" fontId="170"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5" fillId="43" borderId="3" xfId="569" applyFill="1" applyBorder="1"/>
    <xf numFmtId="0" fontId="175" fillId="0" borderId="0" xfId="0" applyFont="1" applyAlignment="1">
      <alignment horizontal="right"/>
    </xf>
    <xf numFmtId="1" fontId="23"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 fillId="0" borderId="0" xfId="8726"/>
    <xf numFmtId="0" fontId="102" fillId="0" borderId="0" xfId="8726" applyFont="1"/>
    <xf numFmtId="0" fontId="154" fillId="0" borderId="0" xfId="8726" applyFont="1"/>
    <xf numFmtId="0" fontId="3" fillId="48" borderId="44" xfId="8726" applyFill="1" applyBorder="1"/>
    <xf numFmtId="0" fontId="3" fillId="48" borderId="42" xfId="8726" applyFill="1" applyBorder="1"/>
    <xf numFmtId="0" fontId="3" fillId="48" borderId="41" xfId="8726" applyFill="1" applyBorder="1"/>
    <xf numFmtId="0" fontId="3" fillId="44" borderId="44" xfId="8726" applyFill="1" applyBorder="1"/>
    <xf numFmtId="0" fontId="3" fillId="44" borderId="42" xfId="8726" applyFill="1" applyBorder="1"/>
    <xf numFmtId="0" fontId="3" fillId="44" borderId="86" xfId="8726" applyFill="1" applyBorder="1"/>
    <xf numFmtId="0" fontId="3" fillId="48" borderId="0" xfId="8726" applyFill="1"/>
    <xf numFmtId="0" fontId="3" fillId="44" borderId="41" xfId="8726" applyFill="1" applyBorder="1"/>
    <xf numFmtId="0" fontId="3" fillId="44" borderId="0" xfId="8726" applyFill="1"/>
    <xf numFmtId="0" fontId="3" fillId="44" borderId="66" xfId="8726" applyFill="1" applyBorder="1"/>
    <xf numFmtId="0" fontId="3" fillId="44" borderId="0" xfId="8726" applyFill="1" applyAlignment="1">
      <alignment horizontal="left"/>
    </xf>
    <xf numFmtId="0" fontId="3" fillId="48" borderId="86" xfId="8726" applyFill="1" applyBorder="1"/>
    <xf numFmtId="0" fontId="3" fillId="48" borderId="66" xfId="8726" applyFill="1" applyBorder="1"/>
    <xf numFmtId="49" fontId="101" fillId="48" borderId="66" xfId="8726" applyNumberFormat="1" applyFont="1" applyFill="1" applyBorder="1" applyAlignment="1">
      <alignment horizontal="right" vertical="top"/>
    </xf>
    <xf numFmtId="0" fontId="101" fillId="48" borderId="0" xfId="8726" applyFont="1" applyFill="1"/>
    <xf numFmtId="0" fontId="101" fillId="48" borderId="66" xfId="8726" applyFont="1" applyFill="1" applyBorder="1"/>
    <xf numFmtId="0" fontId="101" fillId="48" borderId="41" xfId="8726" applyFont="1" applyFill="1" applyBorder="1" applyAlignment="1">
      <alignment horizontal="center"/>
    </xf>
    <xf numFmtId="0" fontId="102" fillId="48" borderId="0" xfId="8726" applyFont="1" applyFill="1"/>
    <xf numFmtId="0" fontId="3" fillId="48" borderId="69" xfId="8726" applyFill="1" applyBorder="1"/>
    <xf numFmtId="168" fontId="158" fillId="48" borderId="68" xfId="700" applyNumberFormat="1" applyFont="1" applyFill="1" applyBorder="1" applyAlignment="1" applyProtection="1">
      <protection locked="0"/>
    </xf>
    <xf numFmtId="0" fontId="163" fillId="48" borderId="0" xfId="8726" applyFont="1" applyFill="1"/>
    <xf numFmtId="0" fontId="148" fillId="47" borderId="91" xfId="8726" applyFont="1" applyFill="1" applyBorder="1" applyAlignment="1">
      <alignment horizontal="center"/>
    </xf>
    <xf numFmtId="0" fontId="148" fillId="47" borderId="11" xfId="8726" applyFont="1" applyFill="1" applyBorder="1" applyAlignment="1">
      <alignment horizontal="center"/>
    </xf>
    <xf numFmtId="0" fontId="162" fillId="47" borderId="91" xfId="8726" applyFont="1" applyFill="1" applyBorder="1"/>
    <xf numFmtId="0" fontId="162" fillId="47" borderId="11" xfId="8726" applyFont="1" applyFill="1" applyBorder="1"/>
    <xf numFmtId="0" fontId="3" fillId="45" borderId="69" xfId="8726" applyFill="1" applyBorder="1"/>
    <xf numFmtId="0" fontId="3" fillId="45" borderId="68" xfId="8726" applyFill="1" applyBorder="1"/>
    <xf numFmtId="0" fontId="101" fillId="45" borderId="68" xfId="8726" applyFont="1" applyFill="1" applyBorder="1"/>
    <xf numFmtId="0" fontId="101" fillId="45" borderId="67" xfId="8726" applyFont="1" applyFill="1" applyBorder="1"/>
    <xf numFmtId="0" fontId="101" fillId="45" borderId="69" xfId="8726" applyFont="1" applyFill="1" applyBorder="1"/>
    <xf numFmtId="0" fontId="3" fillId="48" borderId="0" xfId="8726" applyFill="1" applyAlignment="1">
      <alignment horizontal="left"/>
    </xf>
    <xf numFmtId="0" fontId="152" fillId="48" borderId="0" xfId="8726" applyFont="1" applyFill="1"/>
    <xf numFmtId="0" fontId="101" fillId="45" borderId="89" xfId="8726" applyFont="1" applyFill="1" applyBorder="1"/>
    <xf numFmtId="0" fontId="101" fillId="45" borderId="76" xfId="8726" applyFont="1" applyFill="1" applyBorder="1"/>
    <xf numFmtId="0" fontId="101" fillId="45" borderId="75" xfId="8726" applyFont="1" applyFill="1" applyBorder="1"/>
    <xf numFmtId="0" fontId="101" fillId="45" borderId="31" xfId="8726" applyFont="1" applyFill="1" applyBorder="1"/>
    <xf numFmtId="0" fontId="101" fillId="45" borderId="29" xfId="8726" applyFont="1" applyFill="1" applyBorder="1"/>
    <xf numFmtId="0" fontId="101" fillId="45" borderId="65" xfId="8726" applyFont="1" applyFill="1" applyBorder="1"/>
    <xf numFmtId="0" fontId="3" fillId="45" borderId="83" xfId="8726" applyFill="1" applyBorder="1"/>
    <xf numFmtId="0" fontId="3" fillId="45" borderId="82" xfId="8726" applyFill="1" applyBorder="1"/>
    <xf numFmtId="0" fontId="3" fillId="45" borderId="81" xfId="8726" applyFill="1" applyBorder="1"/>
    <xf numFmtId="0" fontId="101" fillId="45" borderId="81" xfId="8726" applyFont="1" applyFill="1" applyBorder="1"/>
    <xf numFmtId="0" fontId="3" fillId="45" borderId="31" xfId="8726" applyFill="1" applyBorder="1"/>
    <xf numFmtId="0" fontId="3" fillId="45" borderId="29" xfId="8726" applyFill="1" applyBorder="1"/>
    <xf numFmtId="0" fontId="3" fillId="45" borderId="67" xfId="8726" applyFill="1" applyBorder="1"/>
    <xf numFmtId="0" fontId="85" fillId="0" borderId="0" xfId="8726" applyFont="1"/>
    <xf numFmtId="0" fontId="3" fillId="45" borderId="99" xfId="8726" applyFill="1" applyBorder="1"/>
    <xf numFmtId="0" fontId="3" fillId="45" borderId="65" xfId="8726" applyFill="1" applyBorder="1"/>
    <xf numFmtId="0" fontId="101" fillId="45" borderId="28" xfId="8726" applyFont="1" applyFill="1" applyBorder="1"/>
    <xf numFmtId="0" fontId="3" fillId="52" borderId="101" xfId="8726" applyFill="1" applyBorder="1"/>
    <xf numFmtId="0" fontId="3" fillId="51" borderId="101" xfId="8726" applyFill="1" applyBorder="1"/>
    <xf numFmtId="0" fontId="101" fillId="50" borderId="100" xfId="8726" applyFont="1" applyFill="1" applyBorder="1"/>
    <xf numFmtId="0" fontId="101" fillId="0" borderId="0" xfId="8726" applyFont="1"/>
    <xf numFmtId="0" fontId="101" fillId="48" borderId="41" xfId="8726" applyFont="1" applyFill="1" applyBorder="1"/>
    <xf numFmtId="0" fontId="150" fillId="48" borderId="0" xfId="8726" applyFont="1" applyFill="1"/>
    <xf numFmtId="182" fontId="164" fillId="48" borderId="0" xfId="8727" applyNumberFormat="1" applyFont="1" applyFill="1" applyBorder="1" applyAlignment="1"/>
    <xf numFmtId="0" fontId="22" fillId="0" borderId="4" xfId="569" applyFont="1" applyBorder="1" applyAlignment="1">
      <alignment horizontal="center"/>
    </xf>
    <xf numFmtId="43" fontId="22" fillId="0" borderId="0" xfId="4504" applyFont="1" applyAlignment="1" applyProtection="1">
      <alignment horizontal="center"/>
    </xf>
    <xf numFmtId="0" fontId="22" fillId="0" borderId="0" xfId="569" applyFont="1" applyAlignment="1">
      <alignment horizontal="center" vertical="center"/>
    </xf>
    <xf numFmtId="0" fontId="22" fillId="0" borderId="16" xfId="569" applyFont="1" applyBorder="1" applyAlignment="1">
      <alignment horizontal="center"/>
    </xf>
    <xf numFmtId="49" fontId="22" fillId="0" borderId="4" xfId="569" applyNumberFormat="1" applyFont="1" applyBorder="1" applyAlignment="1">
      <alignment horizontal="center"/>
    </xf>
    <xf numFmtId="4" fontId="22" fillId="0" borderId="0" xfId="569" applyNumberFormat="1" applyFont="1" applyAlignment="1">
      <alignment horizontal="center"/>
    </xf>
    <xf numFmtId="0" fontId="15" fillId="0" borderId="0" xfId="569" applyAlignment="1">
      <alignment horizontal="center" wrapText="1"/>
    </xf>
    <xf numFmtId="166" fontId="24"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0" borderId="0" xfId="0" applyFont="1" applyAlignment="1">
      <alignment horizontal="left" vertical="top" wrapText="1"/>
    </xf>
    <xf numFmtId="0" fontId="16" fillId="0" borderId="0" xfId="244"/>
    <xf numFmtId="0" fontId="0" fillId="0" borderId="0" xfId="0"/>
    <xf numFmtId="0" fontId="15" fillId="0" borderId="0" xfId="1192" applyAlignment="1">
      <alignment horizontal="left" vertical="top" wrapText="1"/>
    </xf>
    <xf numFmtId="0" fontId="22" fillId="0" borderId="0" xfId="0" applyFont="1" applyAlignment="1">
      <alignment horizontal="left" vertical="top" wrapText="1"/>
    </xf>
    <xf numFmtId="0" fontId="44" fillId="0" borderId="0" xfId="0" applyFont="1" applyAlignment="1">
      <alignment horizontal="left" vertical="top" wrapText="1"/>
    </xf>
    <xf numFmtId="0" fontId="15" fillId="0" borderId="0" xfId="0" applyFont="1" applyAlignment="1">
      <alignment horizontal="left" wrapText="1"/>
    </xf>
    <xf numFmtId="0" fontId="16" fillId="0" borderId="0" xfId="244" applyAlignment="1" applyProtection="1">
      <alignment horizontal="left"/>
    </xf>
    <xf numFmtId="0" fontId="112" fillId="0" borderId="0" xfId="0" applyFont="1" applyAlignment="1">
      <alignment horizontal="left" wrapText="1"/>
    </xf>
    <xf numFmtId="0" fontId="24" fillId="0" borderId="0" xfId="0" applyFont="1" applyAlignment="1">
      <alignment horizontal="left" wrapText="1"/>
    </xf>
    <xf numFmtId="0" fontId="21" fillId="3" borderId="0" xfId="0" applyFont="1" applyFill="1" applyAlignment="1">
      <alignment horizontal="center" vertical="center" wrapText="1"/>
    </xf>
    <xf numFmtId="0" fontId="21" fillId="3" borderId="16" xfId="0" applyFont="1" applyFill="1" applyBorder="1" applyAlignment="1">
      <alignment horizontal="center" vertical="center" wrapText="1"/>
    </xf>
    <xf numFmtId="0" fontId="104" fillId="0" borderId="0" xfId="0" applyFont="1" applyAlignment="1">
      <alignment horizontal="left" vertical="top" wrapText="1"/>
    </xf>
    <xf numFmtId="0" fontId="33" fillId="0" borderId="0" xfId="569" applyFont="1" applyAlignment="1">
      <alignment horizontal="left"/>
    </xf>
    <xf numFmtId="4" fontId="15" fillId="0" borderId="0" xfId="569" applyNumberFormat="1" applyAlignment="1">
      <alignment horizontal="left"/>
    </xf>
    <xf numFmtId="0" fontId="15" fillId="0" borderId="0" xfId="569" applyAlignment="1">
      <alignment horizontal="left" vertical="top" wrapText="1"/>
    </xf>
    <xf numFmtId="4" fontId="33" fillId="0" borderId="0" xfId="569" applyNumberFormat="1" applyFont="1" applyAlignment="1">
      <alignment horizontal="left" vertical="top" wrapText="1"/>
    </xf>
    <xf numFmtId="4" fontId="15" fillId="0" borderId="0" xfId="569" applyNumberFormat="1" applyAlignment="1">
      <alignment horizontal="left" vertical="top" wrapText="1"/>
    </xf>
    <xf numFmtId="0" fontId="24" fillId="0" borderId="0" xfId="0" applyFont="1" applyAlignment="1">
      <alignment horizontal="left" vertical="top"/>
    </xf>
    <xf numFmtId="0" fontId="33" fillId="0" borderId="0" xfId="0" applyFont="1" applyAlignment="1">
      <alignment horizontal="left"/>
    </xf>
    <xf numFmtId="0" fontId="15" fillId="0" borderId="0" xfId="0" applyFont="1" applyAlignment="1">
      <alignment horizontal="left"/>
    </xf>
    <xf numFmtId="0" fontId="22" fillId="0" borderId="4" xfId="569" applyFont="1" applyBorder="1" applyAlignment="1">
      <alignment horizontal="left"/>
    </xf>
    <xf numFmtId="0" fontId="22" fillId="0" borderId="4" xfId="569" applyFont="1" applyBorder="1" applyAlignment="1">
      <alignment horizontal="left" vertical="top"/>
    </xf>
    <xf numFmtId="0" fontId="33" fillId="0" borderId="0" xfId="0" applyFont="1" applyAlignment="1">
      <alignment horizontal="left" wrapText="1"/>
    </xf>
    <xf numFmtId="0" fontId="15" fillId="0" borderId="0" xfId="0" applyFont="1" applyAlignment="1">
      <alignment horizontal="left" vertical="top"/>
    </xf>
    <xf numFmtId="0" fontId="22" fillId="0" borderId="0" xfId="0" applyFont="1" applyAlignment="1">
      <alignment horizontal="left"/>
    </xf>
    <xf numFmtId="0" fontId="24" fillId="0" borderId="0" xfId="0" applyFont="1" applyAlignment="1">
      <alignment horizontal="left"/>
    </xf>
    <xf numFmtId="0" fontId="16" fillId="0" borderId="0" xfId="244" quotePrefix="1" applyAlignment="1" applyProtection="1">
      <alignment horizontal="left"/>
    </xf>
    <xf numFmtId="0" fontId="22" fillId="0" borderId="4" xfId="0" applyFont="1" applyBorder="1" applyAlignment="1">
      <alignment horizontal="left"/>
    </xf>
    <xf numFmtId="0" fontId="33" fillId="0" borderId="0" xfId="569" applyFont="1" applyAlignment="1">
      <alignment horizontal="left" vertical="top"/>
    </xf>
    <xf numFmtId="0" fontId="15" fillId="0" borderId="0" xfId="569" applyAlignment="1">
      <alignment horizontal="left" vertical="top"/>
    </xf>
    <xf numFmtId="0" fontId="22" fillId="0" borderId="0" xfId="569" applyFont="1" applyAlignment="1">
      <alignment horizontal="left" vertical="top"/>
    </xf>
    <xf numFmtId="0" fontId="33" fillId="0" borderId="0" xfId="0" applyFont="1" applyAlignment="1">
      <alignment horizontal="left" vertical="top" wrapText="1"/>
    </xf>
    <xf numFmtId="4" fontId="15" fillId="0" borderId="0" xfId="0" applyNumberFormat="1" applyFont="1" applyAlignment="1">
      <alignment horizontal="left" vertical="top" wrapText="1"/>
    </xf>
    <xf numFmtId="4" fontId="33" fillId="0" borderId="0" xfId="0" applyNumberFormat="1" applyFont="1" applyAlignment="1">
      <alignment horizontal="left"/>
    </xf>
    <xf numFmtId="4" fontId="16" fillId="0" borderId="0" xfId="244" applyNumberFormat="1" applyFill="1" applyAlignment="1" applyProtection="1">
      <alignment horizontal="left"/>
    </xf>
    <xf numFmtId="0" fontId="15" fillId="0" borderId="0" xfId="271" applyFont="1" applyAlignment="1">
      <alignment horizontal="left" vertical="top" wrapText="1"/>
    </xf>
    <xf numFmtId="4" fontId="15" fillId="0" borderId="0" xfId="1192" applyNumberFormat="1" applyAlignment="1">
      <alignment horizontal="left" vertical="top" wrapText="1"/>
    </xf>
    <xf numFmtId="0" fontId="33" fillId="0" borderId="0" xfId="0" applyFont="1" applyAlignment="1">
      <alignment horizontal="center"/>
    </xf>
    <xf numFmtId="0" fontId="0" fillId="0" borderId="0" xfId="0" applyAlignment="1">
      <alignment horizontal="center"/>
    </xf>
    <xf numFmtId="0" fontId="22" fillId="0" borderId="0" xfId="0" applyFont="1" applyAlignment="1">
      <alignment horizontal="center"/>
    </xf>
    <xf numFmtId="49" fontId="15" fillId="0" borderId="0" xfId="0" applyNumberFormat="1" applyFont="1" applyAlignment="1">
      <alignment horizontal="left" vertical="top" wrapText="1"/>
    </xf>
    <xf numFmtId="49" fontId="15" fillId="0" borderId="0" xfId="1192" applyNumberFormat="1" applyAlignment="1">
      <alignment horizontal="left" vertical="top" wrapText="1"/>
    </xf>
    <xf numFmtId="0" fontId="33" fillId="0" borderId="0" xfId="569" applyFont="1" applyAlignment="1">
      <alignment horizontal="left" vertical="top" wrapText="1"/>
    </xf>
    <xf numFmtId="0" fontId="15" fillId="0" borderId="0" xfId="569" applyAlignment="1">
      <alignment horizontal="left"/>
    </xf>
    <xf numFmtId="0" fontId="16" fillId="0" borderId="0" xfId="244" applyAlignment="1">
      <alignment horizontal="left"/>
    </xf>
    <xf numFmtId="0" fontId="22" fillId="0" borderId="16" xfId="0" applyFont="1" applyBorder="1" applyAlignment="1">
      <alignment horizontal="left"/>
    </xf>
    <xf numFmtId="0" fontId="15" fillId="0" borderId="27" xfId="0" applyFont="1" applyBorder="1" applyAlignment="1">
      <alignment horizontal="left"/>
    </xf>
    <xf numFmtId="0" fontId="15" fillId="0" borderId="0" xfId="1192" applyAlignment="1">
      <alignment horizontal="left"/>
    </xf>
    <xf numFmtId="0" fontId="0" fillId="0" borderId="0" xfId="0" applyAlignment="1">
      <alignment horizontal="left" vertical="top" wrapText="1"/>
    </xf>
    <xf numFmtId="0" fontId="15" fillId="0" borderId="0" xfId="271" applyFont="1" applyAlignment="1" applyProtection="1">
      <alignment horizontal="left" vertical="top" wrapText="1"/>
      <protection locked="0"/>
    </xf>
    <xf numFmtId="0" fontId="33" fillId="0" borderId="0" xfId="1192" applyFont="1" applyAlignment="1">
      <alignment horizontal="left"/>
    </xf>
    <xf numFmtId="0" fontId="22" fillId="0" borderId="0" xfId="271" applyFont="1" applyAlignment="1">
      <alignment horizontal="left" vertical="top" wrapText="1"/>
    </xf>
    <xf numFmtId="0" fontId="113" fillId="0" borderId="0" xfId="569" applyFont="1" applyAlignment="1">
      <alignment horizontal="center"/>
    </xf>
    <xf numFmtId="0" fontId="114" fillId="0" borderId="0" xfId="569" applyFont="1"/>
    <xf numFmtId="0" fontId="15" fillId="0" borderId="0" xfId="569" applyAlignment="1">
      <alignment wrapText="1"/>
    </xf>
    <xf numFmtId="0" fontId="22" fillId="0" borderId="0" xfId="569" applyFont="1" applyAlignment="1">
      <alignment wrapText="1"/>
    </xf>
    <xf numFmtId="0" fontId="30" fillId="0" borderId="0" xfId="569" applyFont="1" applyAlignment="1">
      <alignment horizontal="center"/>
    </xf>
    <xf numFmtId="0" fontId="15" fillId="0" borderId="0" xfId="569"/>
    <xf numFmtId="0" fontId="15" fillId="0" borderId="0" xfId="1192" applyAlignment="1">
      <alignment vertical="top" wrapText="1"/>
    </xf>
    <xf numFmtId="0" fontId="33" fillId="0" borderId="0" xfId="569" applyFont="1" applyAlignment="1">
      <alignment horizontal="center"/>
    </xf>
    <xf numFmtId="0" fontId="22" fillId="0" borderId="0" xfId="569" applyFont="1" applyAlignment="1">
      <alignment horizontal="center"/>
    </xf>
    <xf numFmtId="0" fontId="15" fillId="0" borderId="15" xfId="569" applyBorder="1" applyAlignment="1">
      <alignment horizontal="center" vertical="top" wrapText="1"/>
    </xf>
    <xf numFmtId="0" fontId="15" fillId="0" borderId="14" xfId="569" applyBorder="1" applyAlignment="1">
      <alignment horizontal="center" vertical="top" wrapText="1"/>
    </xf>
    <xf numFmtId="0" fontId="15" fillId="0" borderId="13" xfId="569" applyBorder="1" applyAlignment="1">
      <alignment horizontal="center" vertical="top" wrapText="1"/>
    </xf>
    <xf numFmtId="0" fontId="15" fillId="0" borderId="0" xfId="1192" applyAlignment="1" applyProtection="1">
      <alignment horizontal="left" vertical="top" wrapText="1"/>
      <protection locked="0"/>
    </xf>
    <xf numFmtId="0" fontId="15" fillId="0" borderId="27" xfId="569" applyBorder="1" applyAlignment="1">
      <alignment horizontal="left"/>
    </xf>
    <xf numFmtId="0" fontId="16" fillId="0" borderId="0" xfId="244" applyAlignment="1" applyProtection="1">
      <alignment horizontal="left" vertical="top" wrapText="1"/>
    </xf>
    <xf numFmtId="0" fontId="22" fillId="0" borderId="0" xfId="569" applyFont="1" applyAlignment="1">
      <alignment horizontal="left"/>
    </xf>
    <xf numFmtId="0" fontId="22" fillId="0" borderId="4" xfId="0" applyFont="1" applyBorder="1" applyAlignment="1">
      <alignment horizontal="left" vertical="top"/>
    </xf>
    <xf numFmtId="0" fontId="22" fillId="0" borderId="16" xfId="569" applyFont="1" applyBorder="1" applyAlignment="1">
      <alignment horizontal="left"/>
    </xf>
    <xf numFmtId="0" fontId="15" fillId="0" borderId="0" xfId="569" applyAlignment="1">
      <alignment horizontal="left" vertical="center" wrapText="1"/>
    </xf>
    <xf numFmtId="0" fontId="22" fillId="0" borderId="0" xfId="0" applyFont="1" applyAlignment="1">
      <alignment horizontal="left" vertical="top"/>
    </xf>
    <xf numFmtId="0" fontId="16" fillId="0" borderId="0" xfId="244" applyNumberFormat="1" applyFill="1" applyAlignment="1" applyProtection="1">
      <alignment horizontal="left"/>
    </xf>
    <xf numFmtId="0" fontId="33" fillId="0" borderId="0" xfId="569" applyFont="1" applyAlignment="1">
      <alignment horizontal="left" wrapText="1"/>
    </xf>
    <xf numFmtId="0" fontId="33" fillId="0" borderId="0" xfId="569" applyFont="1" applyAlignment="1">
      <alignment horizontal="center" wrapText="1"/>
    </xf>
    <xf numFmtId="0" fontId="15" fillId="0" borderId="0" xfId="0" quotePrefix="1" applyFont="1" applyAlignment="1">
      <alignment horizontal="left" vertical="top"/>
    </xf>
    <xf numFmtId="0" fontId="15" fillId="0" borderId="0" xfId="0" quotePrefix="1" applyFont="1" applyAlignment="1">
      <alignment horizontal="left" vertical="top" wrapText="1"/>
    </xf>
    <xf numFmtId="0" fontId="15" fillId="0" borderId="0" xfId="569" applyAlignment="1">
      <alignment vertical="top" wrapText="1"/>
    </xf>
    <xf numFmtId="4" fontId="33" fillId="0" borderId="0" xfId="0" applyNumberFormat="1" applyFont="1" applyAlignment="1">
      <alignment horizontal="left" vertical="top" wrapText="1"/>
    </xf>
    <xf numFmtId="0" fontId="33" fillId="0" borderId="0" xfId="1192" applyFont="1" applyAlignment="1">
      <alignment horizontal="left" vertical="top" wrapText="1"/>
    </xf>
    <xf numFmtId="0" fontId="22" fillId="0" borderId="0" xfId="1192" applyFont="1" applyAlignment="1">
      <alignment horizontal="left" vertical="top" wrapText="1"/>
    </xf>
    <xf numFmtId="4" fontId="15" fillId="0" borderId="0" xfId="0" applyNumberFormat="1" applyFont="1" applyAlignment="1">
      <alignment horizontal="left"/>
    </xf>
    <xf numFmtId="0" fontId="22" fillId="0" borderId="0" xfId="0" applyFont="1" applyAlignment="1">
      <alignment vertical="top" wrapText="1"/>
    </xf>
    <xf numFmtId="0" fontId="15" fillId="0" borderId="0" xfId="0" applyFont="1" applyAlignment="1">
      <alignment horizontal="left" vertical="center" wrapText="1"/>
    </xf>
    <xf numFmtId="0" fontId="15" fillId="0" borderId="0" xfId="569" applyAlignment="1">
      <alignment horizontal="left" wrapText="1"/>
    </xf>
    <xf numFmtId="0" fontId="15" fillId="0" borderId="0" xfId="0" applyFont="1" applyAlignment="1">
      <alignment vertical="top" wrapText="1"/>
    </xf>
    <xf numFmtId="0" fontId="16" fillId="0" borderId="0" xfId="244" applyFill="1" applyBorder="1" applyAlignment="1">
      <alignment horizontal="left" vertical="top" wrapText="1"/>
    </xf>
    <xf numFmtId="0" fontId="33" fillId="0" borderId="0" xfId="0" applyFont="1" applyAlignment="1">
      <alignment horizontal="left" vertical="top"/>
    </xf>
    <xf numFmtId="0" fontId="0" fillId="0" borderId="11" xfId="0" applyBorder="1" applyAlignment="1">
      <alignment horizontal="center"/>
    </xf>
    <xf numFmtId="0" fontId="24" fillId="5" borderId="4" xfId="0" applyFont="1" applyFill="1" applyBorder="1" applyAlignment="1" applyProtection="1">
      <alignment wrapText="1"/>
      <protection locked="0"/>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5" fontId="22" fillId="0" borderId="3" xfId="271" applyNumberFormat="1" applyFont="1" applyBorder="1" applyAlignment="1">
      <alignment horizontal="center"/>
    </xf>
    <xf numFmtId="165" fontId="22" fillId="0" borderId="4" xfId="271" applyNumberFormat="1" applyFont="1" applyBorder="1" applyAlignment="1">
      <alignment horizontal="center"/>
    </xf>
    <xf numFmtId="165" fontId="22" fillId="0" borderId="5" xfId="271" applyNumberFormat="1" applyFont="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5" fillId="0" borderId="5" xfId="0" applyFont="1" applyBorder="1" applyAlignment="1">
      <alignment horizontal="center"/>
    </xf>
    <xf numFmtId="0" fontId="24" fillId="5" borderId="4" xfId="0" applyFont="1" applyFill="1" applyBorder="1" applyAlignment="1" applyProtection="1">
      <alignment horizontal="left"/>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24" fillId="0" borderId="3" xfId="0" applyNumberFormat="1" applyFont="1" applyBorder="1" applyAlignment="1">
      <alignment horizontal="center"/>
    </xf>
    <xf numFmtId="168" fontId="24" fillId="0" borderId="4" xfId="0" applyNumberFormat="1" applyFont="1" applyBorder="1" applyAlignment="1">
      <alignment horizontal="center"/>
    </xf>
    <xf numFmtId="168" fontId="24" fillId="0" borderId="5" xfId="0" applyNumberFormat="1" applyFont="1" applyBorder="1" applyAlignment="1">
      <alignment horizontal="center"/>
    </xf>
    <xf numFmtId="165" fontId="24" fillId="0" borderId="1" xfId="0" applyNumberFormat="1" applyFont="1" applyBorder="1" applyAlignment="1">
      <alignment horizontal="right"/>
    </xf>
    <xf numFmtId="165" fontId="24" fillId="0" borderId="2" xfId="0" applyNumberFormat="1" applyFont="1" applyBorder="1" applyAlignment="1">
      <alignment horizontal="right"/>
    </xf>
    <xf numFmtId="165" fontId="24" fillId="0" borderId="7" xfId="0" applyNumberFormat="1" applyFont="1" applyBorder="1" applyAlignment="1">
      <alignment horizontal="right"/>
    </xf>
    <xf numFmtId="9" fontId="24" fillId="5" borderId="3" xfId="0" applyNumberFormat="1" applyFont="1" applyFill="1" applyBorder="1" applyAlignment="1" applyProtection="1">
      <alignment horizontal="center"/>
      <protection locked="0"/>
    </xf>
    <xf numFmtId="9" fontId="24" fillId="5" borderId="4" xfId="0" applyNumberFormat="1" applyFont="1" applyFill="1" applyBorder="1" applyAlignment="1" applyProtection="1">
      <alignment horizontal="center"/>
      <protection locked="0"/>
    </xf>
    <xf numFmtId="9" fontId="24" fillId="5" borderId="5" xfId="0" applyNumberFormat="1" applyFont="1" applyFill="1" applyBorder="1" applyAlignment="1" applyProtection="1">
      <alignment horizontal="center"/>
      <protection locked="0"/>
    </xf>
    <xf numFmtId="0" fontId="15"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6" fontId="24" fillId="5" borderId="4" xfId="0" applyNumberFormat="1" applyFont="1" applyFill="1" applyBorder="1" applyAlignment="1" applyProtection="1">
      <alignment horizontal="lef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68" fontId="24" fillId="5" borderId="3" xfId="0" applyNumberFormat="1" applyFont="1" applyFill="1" applyBorder="1" applyAlignment="1" applyProtection="1">
      <alignment horizontal="center"/>
      <protection locked="0"/>
    </xf>
    <xf numFmtId="168" fontId="24" fillId="5" borderId="4" xfId="0" applyNumberFormat="1" applyFont="1" applyFill="1" applyBorder="1" applyAlignment="1" applyProtection="1">
      <alignment horizontal="center"/>
      <protection locked="0"/>
    </xf>
    <xf numFmtId="168" fontId="24" fillId="5" borderId="5" xfId="0" applyNumberFormat="1" applyFont="1" applyFill="1" applyBorder="1" applyAlignment="1" applyProtection="1">
      <alignment horizontal="center"/>
      <protection locked="0"/>
    </xf>
    <xf numFmtId="0" fontId="15" fillId="5" borderId="11" xfId="0" applyFont="1" applyFill="1" applyBorder="1" applyAlignment="1" applyProtection="1">
      <alignment horizontal="left" wrapText="1"/>
      <protection locked="0"/>
    </xf>
    <xf numFmtId="0" fontId="15" fillId="0" borderId="11" xfId="0" applyFont="1" applyBorder="1" applyAlignment="1">
      <alignment horizontal="center"/>
    </xf>
    <xf numFmtId="0" fontId="24" fillId="2" borderId="11" xfId="0" applyFont="1" applyFill="1" applyBorder="1" applyAlignment="1">
      <alignment horizontal="center"/>
    </xf>
    <xf numFmtId="0" fontId="24" fillId="45" borderId="11" xfId="0" applyFont="1" applyFill="1" applyBorder="1" applyAlignment="1">
      <alignment horizontal="center"/>
    </xf>
    <xf numFmtId="0" fontId="15"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4" fillId="45" borderId="3" xfId="0" applyFont="1" applyFill="1" applyBorder="1" applyAlignment="1">
      <alignment horizontal="center"/>
    </xf>
    <xf numFmtId="0" fontId="24" fillId="45" borderId="4" xfId="0" applyFont="1" applyFill="1" applyBorder="1" applyAlignment="1">
      <alignment horizontal="center"/>
    </xf>
    <xf numFmtId="0" fontId="24" fillId="45" borderId="5" xfId="0" applyFont="1" applyFill="1" applyBorder="1" applyAlignment="1">
      <alignment horizontal="center"/>
    </xf>
    <xf numFmtId="0" fontId="24" fillId="0" borderId="3" xfId="0" applyFont="1" applyBorder="1" applyAlignment="1">
      <alignment horizontal="center"/>
    </xf>
    <xf numFmtId="0" fontId="24" fillId="0" borderId="5" xfId="0" applyFont="1" applyBorder="1" applyAlignment="1">
      <alignment horizontal="center"/>
    </xf>
    <xf numFmtId="3" fontId="0" fillId="0" borderId="6" xfId="0" applyNumberFormat="1" applyBorder="1" applyAlignment="1">
      <alignment horizontal="right"/>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0" xfId="0" applyFont="1" applyAlignment="1">
      <alignment horizontal="center" vertical="center" wrapText="1"/>
    </xf>
    <xf numFmtId="0" fontId="22" fillId="0" borderId="12"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10" xfId="0" applyFont="1" applyBorder="1" applyAlignment="1">
      <alignment horizontal="center" vertical="center" wrapText="1"/>
    </xf>
    <xf numFmtId="166" fontId="15" fillId="5" borderId="4" xfId="0" applyNumberFormat="1" applyFont="1" applyFill="1" applyBorder="1" applyAlignment="1" applyProtection="1">
      <alignment horizontal="left"/>
      <protection locked="0"/>
    </xf>
    <xf numFmtId="0" fontId="15" fillId="0" borderId="1" xfId="0" applyFont="1" applyBorder="1" applyAlignment="1">
      <alignment horizontal="center" vertical="top" wrapText="1"/>
    </xf>
    <xf numFmtId="0" fontId="24" fillId="0" borderId="2" xfId="0" applyFont="1" applyBorder="1" applyAlignment="1">
      <alignment horizontal="center" vertical="top" wrapText="1"/>
    </xf>
    <xf numFmtId="0" fontId="24" fillId="0" borderId="7" xfId="0" applyFont="1" applyBorder="1" applyAlignment="1">
      <alignment horizontal="center" vertical="top" wrapText="1"/>
    </xf>
    <xf numFmtId="0" fontId="24" fillId="0" borderId="8" xfId="0" applyFont="1" applyBorder="1" applyAlignment="1">
      <alignment horizontal="center" vertical="top" wrapText="1"/>
    </xf>
    <xf numFmtId="0" fontId="24" fillId="0" borderId="0" xfId="0" applyFont="1" applyAlignment="1">
      <alignment horizontal="center" vertical="top" wrapText="1"/>
    </xf>
    <xf numFmtId="0" fontId="24" fillId="0" borderId="12" xfId="0" applyFont="1" applyBorder="1" applyAlignment="1">
      <alignment horizontal="center" vertical="top" wrapText="1"/>
    </xf>
    <xf numFmtId="0" fontId="24" fillId="0" borderId="9" xfId="0" applyFont="1" applyBorder="1" applyAlignment="1">
      <alignment horizontal="center" vertical="top" wrapText="1"/>
    </xf>
    <xf numFmtId="0" fontId="24" fillId="0" borderId="6" xfId="0" applyFont="1" applyBorder="1" applyAlignment="1">
      <alignment horizontal="center" vertical="top" wrapText="1"/>
    </xf>
    <xf numFmtId="0" fontId="24" fillId="0" borderId="10" xfId="0" applyFont="1"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3" fontId="24" fillId="5" borderId="11" xfId="0" applyNumberFormat="1" applyFont="1" applyFill="1" applyBorder="1" applyAlignment="1" applyProtection="1">
      <alignment horizontal="center"/>
      <protection locked="0"/>
    </xf>
    <xf numFmtId="0" fontId="15" fillId="0" borderId="3" xfId="0" applyFont="1" applyBorder="1" applyAlignment="1">
      <alignment horizontal="left"/>
    </xf>
    <xf numFmtId="0" fontId="15" fillId="0" borderId="4" xfId="0" applyFont="1" applyBorder="1" applyAlignment="1">
      <alignment horizontal="left"/>
    </xf>
    <xf numFmtId="0" fontId="15" fillId="0" borderId="5" xfId="0" applyFont="1" applyBorder="1" applyAlignment="1">
      <alignment horizontal="left"/>
    </xf>
    <xf numFmtId="1" fontId="24" fillId="5" borderId="11" xfId="0" quotePrefix="1" applyNumberFormat="1" applyFont="1" applyFill="1" applyBorder="1" applyAlignment="1" applyProtection="1">
      <alignment horizontal="center"/>
      <protection locked="0"/>
    </xf>
    <xf numFmtId="1" fontId="24"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4" fillId="5" borderId="6" xfId="0" applyNumberFormat="1" applyFont="1" applyFill="1" applyBorder="1" applyAlignment="1" applyProtection="1">
      <alignment horizontal="right"/>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5" fillId="0" borderId="3" xfId="0" applyNumberFormat="1" applyFont="1" applyBorder="1" applyAlignment="1">
      <alignment horizontal="left" vertical="top"/>
    </xf>
    <xf numFmtId="168" fontId="24" fillId="0" borderId="4" xfId="0" applyNumberFormat="1" applyFont="1" applyBorder="1" applyAlignment="1">
      <alignment horizontal="left" vertical="top"/>
    </xf>
    <xf numFmtId="168" fontId="24" fillId="0" borderId="5" xfId="0" applyNumberFormat="1" applyFont="1" applyBorder="1" applyAlignment="1">
      <alignment horizontal="left" vertical="top"/>
    </xf>
    <xf numFmtId="0" fontId="24" fillId="5" borderId="9" xfId="0" applyFont="1" applyFill="1" applyBorder="1" applyAlignment="1" applyProtection="1">
      <alignment horizontal="center"/>
      <protection locked="0"/>
    </xf>
    <xf numFmtId="0" fontId="24" fillId="5" borderId="6" xfId="0"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15"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22" fillId="0" borderId="4" xfId="0" applyFont="1" applyBorder="1" applyAlignment="1">
      <alignment horizontal="center"/>
    </xf>
    <xf numFmtId="0" fontId="22" fillId="0" borderId="5" xfId="0" applyFont="1" applyBorder="1" applyAlignment="1">
      <alignment horizontal="center"/>
    </xf>
    <xf numFmtId="168" fontId="15" fillId="0" borderId="4" xfId="0" applyNumberFormat="1" applyFont="1" applyBorder="1" applyAlignment="1">
      <alignment horizontal="left" vertical="top"/>
    </xf>
    <xf numFmtId="168" fontId="15" fillId="0" borderId="5" xfId="0" applyNumberFormat="1" applyFont="1" applyBorder="1" applyAlignment="1">
      <alignment horizontal="left" vertical="top"/>
    </xf>
    <xf numFmtId="1" fontId="24" fillId="5" borderId="3" xfId="0" applyNumberFormat="1" applyFont="1" applyFill="1" applyBorder="1" applyAlignment="1" applyProtection="1">
      <alignment horizontal="right" vertical="top"/>
      <protection locked="0"/>
    </xf>
    <xf numFmtId="1" fontId="24" fillId="5" borderId="4" xfId="0" applyNumberFormat="1" applyFont="1" applyFill="1" applyBorder="1" applyAlignment="1" applyProtection="1">
      <alignment horizontal="right" vertical="top"/>
      <protection locked="0"/>
    </xf>
    <xf numFmtId="1" fontId="24" fillId="5" borderId="5" xfId="0" applyNumberFormat="1" applyFont="1" applyFill="1" applyBorder="1" applyAlignment="1" applyProtection="1">
      <alignment horizontal="right" vertical="top"/>
      <protection locked="0"/>
    </xf>
    <xf numFmtId="0" fontId="15" fillId="5" borderId="11" xfId="0" applyFont="1" applyFill="1" applyBorder="1" applyAlignment="1" applyProtection="1">
      <alignment vertical="center" wrapText="1"/>
      <protection locked="0"/>
    </xf>
    <xf numFmtId="0" fontId="15" fillId="5" borderId="11" xfId="0" applyFont="1" applyFill="1" applyBorder="1" applyAlignment="1" applyProtection="1">
      <alignment horizontal="left" vertical="center" wrapText="1"/>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2" fillId="0" borderId="3" xfId="0" applyFont="1" applyBorder="1" applyAlignment="1">
      <alignment horizontal="center"/>
    </xf>
    <xf numFmtId="0" fontId="0" fillId="0" borderId="3" xfId="0" applyBorder="1" applyAlignment="1">
      <alignment horizontal="left"/>
    </xf>
    <xf numFmtId="168" fontId="24" fillId="0" borderId="3" xfId="0" applyNumberFormat="1" applyFont="1" applyBorder="1" applyAlignment="1">
      <alignment horizontal="left" vertical="top"/>
    </xf>
    <xf numFmtId="0" fontId="15" fillId="43" borderId="4" xfId="0" applyFont="1" applyFill="1" applyBorder="1" applyAlignment="1" applyProtection="1">
      <alignment horizontal="left" wrapText="1"/>
      <protection locked="0"/>
    </xf>
    <xf numFmtId="180" fontId="23" fillId="43" borderId="3" xfId="0" applyNumberFormat="1" applyFont="1" applyFill="1" applyBorder="1" applyAlignment="1" applyProtection="1">
      <alignment horizontal="center" vertical="center"/>
      <protection locked="0"/>
    </xf>
    <xf numFmtId="180" fontId="23" fillId="43" borderId="4" xfId="0" applyNumberFormat="1" applyFont="1" applyFill="1" applyBorder="1" applyAlignment="1" applyProtection="1">
      <alignment horizontal="center" vertical="center"/>
      <protection locked="0"/>
    </xf>
    <xf numFmtId="180" fontId="23" fillId="43" borderId="5" xfId="0" applyNumberFormat="1" applyFont="1" applyFill="1" applyBorder="1" applyAlignment="1" applyProtection="1">
      <alignment horizontal="center" vertical="center"/>
      <protection locked="0"/>
    </xf>
    <xf numFmtId="0" fontId="0" fillId="0" borderId="6" xfId="0" applyBorder="1" applyAlignment="1" applyProtection="1">
      <alignment horizontal="center"/>
      <protection locked="0"/>
    </xf>
    <xf numFmtId="0" fontId="34" fillId="5" borderId="6" xfId="0"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5" fontId="0" fillId="5" borderId="4" xfId="0" applyNumberFormat="1" applyFill="1" applyBorder="1" applyAlignment="1" applyProtection="1">
      <alignment horizontal="left" vertical="center" wrapText="1"/>
      <protection locked="0"/>
    </xf>
    <xf numFmtId="0" fontId="0" fillId="0" borderId="12" xfId="0" applyBorder="1" applyAlignment="1">
      <alignment horizontal="center"/>
    </xf>
    <xf numFmtId="165" fontId="24" fillId="5" borderId="3" xfId="0" applyNumberFormat="1" applyFont="1" applyFill="1" applyBorder="1" applyAlignment="1" applyProtection="1">
      <alignment horizontal="center"/>
      <protection locked="0"/>
    </xf>
    <xf numFmtId="165" fontId="24" fillId="5" borderId="4" xfId="0" applyNumberFormat="1" applyFont="1" applyFill="1" applyBorder="1" applyAlignment="1" applyProtection="1">
      <alignment horizontal="center"/>
      <protection locked="0"/>
    </xf>
    <xf numFmtId="165" fontId="24"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4" fillId="0" borderId="11" xfId="0" applyNumberFormat="1" applyFont="1" applyBorder="1" applyAlignment="1">
      <alignment horizontal="center"/>
    </xf>
    <xf numFmtId="0" fontId="24" fillId="5" borderId="11" xfId="0" applyFont="1" applyFill="1" applyBorder="1" applyAlignment="1" applyProtection="1">
      <alignment horizontal="center"/>
      <protection locked="0"/>
    </xf>
    <xf numFmtId="10" fontId="24" fillId="0" borderId="11" xfId="0" applyNumberFormat="1" applyFont="1" applyBorder="1" applyAlignment="1">
      <alignment horizontal="center"/>
    </xf>
    <xf numFmtId="0" fontId="24" fillId="5" borderId="0" xfId="0" applyFont="1" applyFill="1" applyAlignment="1" applyProtection="1">
      <alignment horizontal="left" vertical="top" wrapText="1"/>
      <protection locked="0"/>
    </xf>
    <xf numFmtId="0" fontId="24"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24" fillId="5" borderId="6" xfId="0" applyNumberFormat="1" applyFont="1" applyFill="1" applyBorder="1" applyAlignment="1" applyProtection="1">
      <alignment horizontal="right"/>
      <protection locked="0"/>
    </xf>
    <xf numFmtId="0" fontId="22" fillId="0" borderId="9" xfId="0" applyFont="1" applyBorder="1" applyAlignment="1">
      <alignment horizontal="center"/>
    </xf>
    <xf numFmtId="0" fontId="22" fillId="0" borderId="6" xfId="0" applyFont="1" applyBorder="1" applyAlignment="1">
      <alignment horizontal="center"/>
    </xf>
    <xf numFmtId="0" fontId="22" fillId="0" borderId="10" xfId="0" applyFont="1" applyBorder="1" applyAlignment="1">
      <alignment horizontal="center"/>
    </xf>
    <xf numFmtId="175" fontId="15" fillId="43" borderId="3" xfId="0" applyNumberFormat="1" applyFont="1" applyFill="1" applyBorder="1" applyAlignment="1" applyProtection="1">
      <alignment horizontal="center" vertical="center"/>
      <protection locked="0"/>
    </xf>
    <xf numFmtId="175" fontId="15" fillId="43" borderId="4" xfId="0" applyNumberFormat="1" applyFont="1" applyFill="1" applyBorder="1" applyAlignment="1" applyProtection="1">
      <alignment horizontal="center" vertical="center"/>
      <protection locked="0"/>
    </xf>
    <xf numFmtId="175" fontId="15" fillId="43" borderId="5" xfId="0" applyNumberFormat="1" applyFont="1" applyFill="1" applyBorder="1" applyAlignment="1" applyProtection="1">
      <alignment horizontal="center" vertical="center"/>
      <protection locked="0"/>
    </xf>
    <xf numFmtId="168" fontId="15" fillId="43" borderId="3" xfId="0" applyNumberFormat="1" applyFont="1" applyFill="1" applyBorder="1" applyAlignment="1" applyProtection="1">
      <alignment horizontal="center" vertical="center"/>
      <protection locked="0"/>
    </xf>
    <xf numFmtId="168" fontId="15" fillId="43" borderId="4" xfId="0" applyNumberFormat="1" applyFont="1" applyFill="1" applyBorder="1" applyAlignment="1" applyProtection="1">
      <alignment horizontal="center" vertical="center"/>
      <protection locked="0"/>
    </xf>
    <xf numFmtId="168" fontId="15" fillId="43" borderId="5" xfId="0" applyNumberFormat="1" applyFont="1" applyFill="1" applyBorder="1" applyAlignment="1" applyProtection="1">
      <alignment horizontal="center" vertical="center"/>
      <protection locked="0"/>
    </xf>
    <xf numFmtId="0" fontId="23" fillId="43" borderId="6" xfId="0" applyFont="1" applyFill="1" applyBorder="1" applyAlignment="1" applyProtection="1">
      <alignment horizontal="left"/>
      <protection locked="0"/>
    </xf>
    <xf numFmtId="0" fontId="168" fillId="0" borderId="0" xfId="0" applyFont="1" applyAlignment="1" applyProtection="1">
      <alignment horizontal="left" vertical="top" wrapText="1"/>
      <protection locked="0"/>
    </xf>
    <xf numFmtId="168" fontId="24" fillId="5" borderId="3" xfId="0" applyNumberFormat="1" applyFont="1" applyFill="1" applyBorder="1" applyAlignment="1" applyProtection="1">
      <alignment horizontal="left" vertical="top"/>
      <protection locked="0"/>
    </xf>
    <xf numFmtId="168" fontId="24" fillId="5" borderId="4" xfId="0" applyNumberFormat="1" applyFont="1" applyFill="1" applyBorder="1" applyAlignment="1" applyProtection="1">
      <alignment horizontal="left" vertical="top"/>
      <protection locked="0"/>
    </xf>
    <xf numFmtId="168" fontId="24" fillId="5" borderId="5" xfId="0" applyNumberFormat="1" applyFont="1" applyFill="1" applyBorder="1" applyAlignment="1" applyProtection="1">
      <alignment horizontal="left" vertical="top"/>
      <protection locked="0"/>
    </xf>
    <xf numFmtId="3" fontId="24" fillId="0" borderId="11" xfId="0" applyNumberFormat="1" applyFont="1" applyBorder="1" applyAlignment="1">
      <alignment horizontal="center"/>
    </xf>
    <xf numFmtId="0" fontId="15" fillId="5" borderId="4" xfId="0" applyFont="1" applyFill="1" applyBorder="1" applyAlignment="1" applyProtection="1">
      <alignment horizontal="left"/>
      <protection locked="0"/>
    </xf>
    <xf numFmtId="168" fontId="171" fillId="0" borderId="0" xfId="0" applyNumberFormat="1" applyFont="1" applyAlignment="1">
      <alignment horizontal="center" vertical="center" wrapText="1"/>
    </xf>
    <xf numFmtId="0" fontId="0" fillId="43" borderId="6" xfId="0"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15" fillId="0" borderId="11" xfId="543" applyBorder="1" applyAlignment="1">
      <alignment horizontal="center"/>
    </xf>
    <xf numFmtId="0" fontId="15" fillId="0" borderId="3" xfId="543" applyBorder="1" applyAlignment="1">
      <alignment horizontal="center"/>
    </xf>
    <xf numFmtId="0" fontId="15" fillId="0" borderId="4" xfId="543" applyBorder="1" applyAlignment="1">
      <alignment horizontal="center"/>
    </xf>
    <xf numFmtId="0" fontId="15" fillId="0" borderId="5" xfId="543" applyBorder="1" applyAlignment="1">
      <alignment horizontal="center"/>
    </xf>
    <xf numFmtId="168" fontId="0" fillId="43" borderId="6" xfId="0" applyNumberForma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15" fillId="5" borderId="6" xfId="244" applyFont="1" applyFill="1" applyBorder="1" applyAlignment="1" applyProtection="1">
      <alignment horizontal="left"/>
      <protection locked="0"/>
    </xf>
    <xf numFmtId="0" fontId="15" fillId="5" borderId="0" xfId="244"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66" fontId="24" fillId="5" borderId="6" xfId="0" applyNumberFormat="1" applyFont="1" applyFill="1" applyBorder="1" applyAlignment="1" applyProtection="1">
      <alignment horizontal="left"/>
      <protection locked="0"/>
    </xf>
    <xf numFmtId="0" fontId="15" fillId="0" borderId="3" xfId="271" applyFont="1" applyBorder="1" applyAlignment="1">
      <alignment horizontal="left"/>
    </xf>
    <xf numFmtId="0" fontId="15" fillId="0" borderId="4" xfId="271" applyFont="1" applyBorder="1" applyAlignment="1">
      <alignment horizontal="left"/>
    </xf>
    <xf numFmtId="0" fontId="15" fillId="0" borderId="5" xfId="271"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178" fontId="24"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24" fillId="5" borderId="6" xfId="0" applyFont="1" applyFill="1" applyBorder="1" applyAlignment="1" applyProtection="1">
      <alignment horizontal="left" wrapText="1"/>
      <protection locked="0"/>
    </xf>
    <xf numFmtId="166" fontId="24" fillId="5" borderId="6" xfId="271" applyNumberFormat="1" applyFill="1" applyBorder="1" applyAlignment="1" applyProtection="1">
      <alignment horizontal="left"/>
      <protection locked="0"/>
    </xf>
    <xf numFmtId="166" fontId="24" fillId="5" borderId="4" xfId="271" applyNumberFormat="1" applyFill="1" applyBorder="1" applyAlignment="1" applyProtection="1">
      <alignment horizontal="left"/>
      <protection locked="0"/>
    </xf>
    <xf numFmtId="0" fontId="0" fillId="0" borderId="0" xfId="0" applyAlignment="1">
      <alignment wrapText="1"/>
    </xf>
    <xf numFmtId="0" fontId="24" fillId="0" borderId="0" xfId="0" applyFont="1" applyAlignment="1">
      <alignment horizontal="left" vertical="top" wrapText="1"/>
    </xf>
    <xf numFmtId="0" fontId="15" fillId="5" borderId="6" xfId="0" applyFont="1" applyFill="1" applyBorder="1" applyAlignment="1" applyProtection="1">
      <alignment horizontal="left" wrapText="1"/>
      <protection locked="0"/>
    </xf>
    <xf numFmtId="0" fontId="15" fillId="0" borderId="6" xfId="0" applyFont="1" applyBorder="1" applyAlignment="1" applyProtection="1">
      <alignment horizontal="center"/>
      <protection locked="0"/>
    </xf>
    <xf numFmtId="166" fontId="15" fillId="5" borderId="6" xfId="271" applyNumberFormat="1"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16" fillId="0" borderId="0" xfId="244" applyFill="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5" fillId="0" borderId="0" xfId="0" applyFont="1" applyAlignment="1" applyProtection="1">
      <alignment horizontal="left"/>
      <protection locked="0"/>
    </xf>
    <xf numFmtId="0" fontId="15" fillId="0" borderId="6" xfId="0" applyFont="1" applyBorder="1" applyAlignment="1" applyProtection="1">
      <alignment horizontal="left"/>
      <protection locked="0"/>
    </xf>
    <xf numFmtId="0" fontId="0" fillId="5" borderId="6" xfId="0" applyFill="1" applyBorder="1" applyAlignment="1" applyProtection="1">
      <alignment horizontal="right"/>
      <protection locked="0"/>
    </xf>
    <xf numFmtId="0" fontId="24" fillId="0" borderId="6" xfId="0" applyFont="1" applyBorder="1" applyAlignment="1">
      <alignment horizontal="left"/>
    </xf>
    <xf numFmtId="174" fontId="0" fillId="5" borderId="4" xfId="0" applyNumberFormat="1" applyFill="1" applyBorder="1" applyAlignment="1" applyProtection="1">
      <alignment horizontal="left"/>
      <protection locked="0"/>
    </xf>
    <xf numFmtId="0" fontId="24" fillId="0" borderId="6" xfId="0" applyFont="1" applyBorder="1" applyAlignment="1">
      <alignment horizontal="left" wrapText="1"/>
    </xf>
    <xf numFmtId="0" fontId="0" fillId="5" borderId="6" xfId="0" applyFill="1" applyBorder="1" applyProtection="1">
      <protection locked="0"/>
    </xf>
    <xf numFmtId="0" fontId="15" fillId="0" borderId="4" xfId="0" applyFont="1" applyBorder="1" applyAlignment="1" applyProtection="1">
      <alignment horizontal="left"/>
      <protection locked="0"/>
    </xf>
    <xf numFmtId="0" fontId="24"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0" borderId="0" xfId="0" applyAlignment="1">
      <alignment vertical="top" wrapText="1"/>
    </xf>
    <xf numFmtId="0" fontId="15" fillId="43" borderId="0" xfId="0" applyFont="1" applyFill="1" applyAlignment="1" applyProtection="1">
      <alignment horizontal="left" vertical="center" wrapText="1"/>
      <protection locked="0"/>
    </xf>
    <xf numFmtId="0" fontId="15"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5" fillId="0" borderId="6" xfId="0" applyNumberFormat="1" applyFont="1" applyBorder="1" applyAlignment="1">
      <alignment horizontal="center"/>
    </xf>
    <xf numFmtId="9" fontId="23" fillId="0" borderId="3" xfId="4494" applyFont="1" applyBorder="1" applyAlignment="1" applyProtection="1">
      <alignment horizontal="center"/>
    </xf>
    <xf numFmtId="9" fontId="23" fillId="0" borderId="5" xfId="4494" applyFont="1" applyBorder="1" applyAlignment="1" applyProtection="1">
      <alignment horizontal="center"/>
    </xf>
    <xf numFmtId="0" fontId="15" fillId="0" borderId="6" xfId="0" applyFont="1" applyBorder="1" applyAlignment="1">
      <alignment horizontal="left"/>
    </xf>
    <xf numFmtId="0" fontId="0" fillId="43" borderId="6" xfId="0" applyFill="1" applyBorder="1" applyAlignment="1" applyProtection="1">
      <alignment horizontal="left" vertical="top" wrapText="1"/>
      <protection locked="0"/>
    </xf>
    <xf numFmtId="10" fontId="24"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72" fontId="22" fillId="0" borderId="11" xfId="0" applyNumberFormat="1" applyFont="1" applyBorder="1" applyAlignment="1">
      <alignment horizontal="center" vertical="center" wrapText="1"/>
    </xf>
    <xf numFmtId="0" fontId="22" fillId="0" borderId="11" xfId="0" applyFont="1" applyBorder="1" applyAlignment="1">
      <alignment horizontal="center" vertical="center" wrapText="1"/>
    </xf>
    <xf numFmtId="0" fontId="15" fillId="5" borderId="4" xfId="0" applyFont="1" applyFill="1" applyBorder="1" applyAlignment="1" applyProtection="1">
      <alignment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5" fillId="43" borderId="3" xfId="0" applyNumberFormat="1" applyFont="1" applyFill="1" applyBorder="1" applyAlignment="1" applyProtection="1">
      <alignment horizontal="center"/>
      <protection locked="0"/>
    </xf>
    <xf numFmtId="175" fontId="15" fillId="43" borderId="4" xfId="0" applyNumberFormat="1" applyFont="1" applyFill="1" applyBorder="1" applyAlignment="1" applyProtection="1">
      <alignment horizontal="center"/>
      <protection locked="0"/>
    </xf>
    <xf numFmtId="175" fontId="15" fillId="43"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4" fillId="0" borderId="1" xfId="0" applyFont="1" applyBorder="1" applyAlignment="1">
      <alignment horizontal="center" vertical="top" wrapText="1"/>
    </xf>
    <xf numFmtId="0" fontId="22" fillId="5" borderId="11" xfId="0" applyFont="1" applyFill="1" applyBorder="1" applyAlignment="1" applyProtection="1">
      <alignment horizontal="center"/>
      <protection locked="0"/>
    </xf>
    <xf numFmtId="168" fontId="0" fillId="0" borderId="11" xfId="0" applyNumberFormat="1" applyBorder="1" applyAlignment="1">
      <alignment horizontal="right"/>
    </xf>
    <xf numFmtId="0" fontId="22"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11"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4" fontId="15" fillId="5" borderId="3" xfId="0" quotePrefix="1" applyNumberFormat="1" applyFont="1" applyFill="1" applyBorder="1" applyAlignment="1" applyProtection="1">
      <alignment horizontal="right" wrapText="1"/>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22" fillId="0" borderId="3" xfId="0" applyFont="1" applyBorder="1" applyAlignment="1">
      <alignment horizontal="right"/>
    </xf>
    <xf numFmtId="0" fontId="22" fillId="0" borderId="4" xfId="0" applyFont="1" applyBorder="1" applyAlignment="1">
      <alignment horizontal="right"/>
    </xf>
    <xf numFmtId="0" fontId="22" fillId="0" borderId="5" xfId="0" applyFont="1" applyBorder="1" applyAlignment="1">
      <alignment horizontal="right"/>
    </xf>
    <xf numFmtId="0" fontId="22" fillId="0" borderId="2" xfId="0" applyFont="1" applyBorder="1" applyAlignment="1">
      <alignment horizontal="center" wrapText="1"/>
    </xf>
    <xf numFmtId="0" fontId="22" fillId="0" borderId="7" xfId="0" applyFont="1" applyBorder="1" applyAlignment="1">
      <alignment horizontal="center" wrapText="1"/>
    </xf>
    <xf numFmtId="0" fontId="22" fillId="0" borderId="6" xfId="0" applyFont="1" applyBorder="1" applyAlignment="1">
      <alignment horizontal="center" wrapText="1"/>
    </xf>
    <xf numFmtId="0" fontId="22" fillId="0" borderId="10" xfId="0" applyFont="1" applyBorder="1" applyAlignment="1">
      <alignment horizontal="center" wrapText="1"/>
    </xf>
    <xf numFmtId="164" fontId="23" fillId="5" borderId="3" xfId="0" applyNumberFormat="1" applyFont="1" applyFill="1" applyBorder="1" applyAlignment="1" applyProtection="1">
      <alignment horizontal="left"/>
      <protection locked="0"/>
    </xf>
    <xf numFmtId="164" fontId="23" fillId="5" borderId="4"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left"/>
    </xf>
    <xf numFmtId="9" fontId="15" fillId="0" borderId="0" xfId="543" applyNumberFormat="1" applyAlignment="1">
      <alignment horizontal="center" vertical="center"/>
    </xf>
    <xf numFmtId="164" fontId="23" fillId="5" borderId="5" xfId="0" applyNumberFormat="1" applyFont="1" applyFill="1" applyBorder="1" applyAlignment="1" applyProtection="1">
      <alignment horizontal="left"/>
      <protection locked="0"/>
    </xf>
    <xf numFmtId="2" fontId="15" fillId="0" borderId="0" xfId="543" applyNumberFormat="1" applyAlignment="1">
      <alignment horizontal="center"/>
    </xf>
    <xf numFmtId="0" fontId="15" fillId="0" borderId="0" xfId="543" applyAlignment="1">
      <alignment horizontal="center"/>
    </xf>
    <xf numFmtId="168" fontId="15" fillId="5" borderId="10" xfId="0" applyNumberFormat="1" applyFont="1" applyFill="1" applyBorder="1" applyAlignment="1" applyProtection="1">
      <alignment horizontal="right"/>
      <protection locked="0"/>
    </xf>
    <xf numFmtId="168" fontId="15" fillId="5" borderId="13" xfId="0" applyNumberFormat="1" applyFont="1" applyFill="1" applyBorder="1" applyAlignment="1" applyProtection="1">
      <alignment horizontal="right"/>
      <protection locked="0"/>
    </xf>
    <xf numFmtId="0" fontId="22" fillId="5" borderId="3" xfId="0"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0" fontId="22"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5" fillId="0" borderId="0" xfId="543" applyNumberFormat="1" applyAlignment="1">
      <alignment horizontal="center"/>
    </xf>
    <xf numFmtId="171" fontId="15" fillId="0" borderId="0" xfId="543" applyNumberFormat="1" applyAlignment="1">
      <alignment horizontal="righ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5" fillId="0" borderId="3" xfId="0" applyFont="1" applyBorder="1"/>
    <xf numFmtId="0" fontId="15" fillId="0" borderId="4" xfId="0" applyFont="1" applyBorder="1"/>
    <xf numFmtId="0" fontId="15" fillId="0" borderId="5" xfId="0" applyFont="1" applyBorder="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5" fillId="5" borderId="3"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15" fillId="5" borderId="5" xfId="0" applyNumberFormat="1" applyFon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2" fillId="0" borderId="8" xfId="0" applyFont="1" applyBorder="1" applyAlignment="1">
      <alignment horizontal="center" wrapText="1"/>
    </xf>
    <xf numFmtId="0" fontId="22" fillId="0" borderId="0" xfId="0" applyFont="1" applyAlignment="1">
      <alignment horizontal="center" wrapText="1"/>
    </xf>
    <xf numFmtId="0" fontId="22" fillId="0" borderId="12" xfId="0" applyFont="1" applyBorder="1" applyAlignment="1">
      <alignment horizontal="center" wrapText="1"/>
    </xf>
    <xf numFmtId="0" fontId="22" fillId="0" borderId="9" xfId="0" applyFont="1" applyBorder="1" applyAlignment="1">
      <alignment horizontal="center" wrapText="1"/>
    </xf>
    <xf numFmtId="0" fontId="15" fillId="5" borderId="3"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1" fillId="3" borderId="0" xfId="0" applyFont="1" applyFill="1" applyAlignment="1">
      <alignment horizontal="center" vertical="center"/>
    </xf>
    <xf numFmtId="164" fontId="34" fillId="5" borderId="4" xfId="0" applyNumberFormat="1" applyFont="1" applyFill="1" applyBorder="1" applyAlignment="1" applyProtection="1">
      <alignment horizontal="left"/>
      <protection locked="0"/>
    </xf>
    <xf numFmtId="164" fontId="34"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5" fillId="5" borderId="3" xfId="0" applyNumberFormat="1" applyFont="1" applyFill="1" applyBorder="1" applyAlignment="1" applyProtection="1">
      <alignment horizontal="left"/>
      <protection locked="0"/>
    </xf>
    <xf numFmtId="168" fontId="15" fillId="5" borderId="4" xfId="0" applyNumberFormat="1" applyFont="1" applyFill="1" applyBorder="1" applyAlignment="1" applyProtection="1">
      <alignment horizontal="left"/>
      <protection locked="0"/>
    </xf>
    <xf numFmtId="168" fontId="15" fillId="5" borderId="5" xfId="0" applyNumberFormat="1" applyFont="1" applyFill="1" applyBorder="1" applyAlignment="1" applyProtection="1">
      <alignment horizontal="left"/>
      <protection locked="0"/>
    </xf>
    <xf numFmtId="168" fontId="0" fillId="0" borderId="11" xfId="0" applyNumberForma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2" fontId="0" fillId="0" borderId="6" xfId="0" applyNumberFormat="1" applyBorder="1" applyAlignment="1">
      <alignment horizontal="center"/>
    </xf>
    <xf numFmtId="168" fontId="24" fillId="5" borderId="4" xfId="0" applyNumberFormat="1" applyFont="1" applyFill="1" applyBorder="1" applyAlignment="1" applyProtection="1">
      <alignment horizontal="right"/>
      <protection locked="0"/>
    </xf>
    <xf numFmtId="14" fontId="15" fillId="5" borderId="4" xfId="0" quotePrefix="1"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4" fillId="5" borderId="4" xfId="0" applyFont="1" applyFill="1" applyBorder="1" applyAlignment="1" applyProtection="1">
      <alignment horizontal="right"/>
      <protection locked="0"/>
    </xf>
    <xf numFmtId="14" fontId="24"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80" fontId="0" fillId="0" borderId="6" xfId="0" applyNumberFormat="1" applyBorder="1" applyAlignment="1">
      <alignment horizontal="center"/>
    </xf>
    <xf numFmtId="0" fontId="34" fillId="5" borderId="3" xfId="543" applyFont="1" applyFill="1" applyBorder="1" applyAlignment="1">
      <alignment horizontal="center"/>
    </xf>
    <xf numFmtId="0" fontId="34" fillId="5" borderId="4" xfId="543" applyFont="1" applyFill="1" applyBorder="1" applyAlignment="1">
      <alignment horizontal="center"/>
    </xf>
    <xf numFmtId="0" fontId="34" fillId="5" borderId="5" xfId="543" applyFont="1" applyFill="1" applyBorder="1" applyAlignment="1">
      <alignment horizontal="center"/>
    </xf>
    <xf numFmtId="49" fontId="15" fillId="5" borderId="3" xfId="543" applyNumberFormat="1" applyFill="1" applyBorder="1" applyAlignment="1">
      <alignment horizontal="center"/>
    </xf>
    <xf numFmtId="49" fontId="15" fillId="5" borderId="5" xfId="543" applyNumberFormat="1" applyFill="1" applyBorder="1" applyAlignment="1">
      <alignment horizontal="center"/>
    </xf>
    <xf numFmtId="0" fontId="38" fillId="0" borderId="3" xfId="0" applyFont="1" applyBorder="1" applyAlignment="1">
      <alignment horizontal="center"/>
    </xf>
    <xf numFmtId="0" fontId="38" fillId="0" borderId="4" xfId="0" applyFont="1" applyBorder="1" applyAlignment="1">
      <alignment horizontal="center"/>
    </xf>
    <xf numFmtId="0" fontId="38" fillId="0" borderId="5" xfId="0" applyFont="1" applyBorder="1" applyAlignment="1">
      <alignment horizontal="center"/>
    </xf>
    <xf numFmtId="0" fontId="15" fillId="5" borderId="3" xfId="0" applyFont="1" applyFill="1" applyBorder="1" applyProtection="1">
      <protection locked="0"/>
    </xf>
    <xf numFmtId="0" fontId="24" fillId="0" borderId="4" xfId="0" applyFont="1" applyBorder="1" applyProtection="1">
      <protection locked="0"/>
    </xf>
    <xf numFmtId="0" fontId="24" fillId="0" borderId="5" xfId="0" applyFont="1" applyBorder="1" applyProtection="1">
      <protection locked="0"/>
    </xf>
    <xf numFmtId="0" fontId="24" fillId="0" borderId="4" xfId="0" applyFont="1" applyBorder="1" applyAlignment="1">
      <alignment horizontal="center"/>
    </xf>
    <xf numFmtId="0" fontId="22" fillId="0" borderId="0" xfId="0" applyFont="1" applyAlignment="1">
      <alignment horizontal="center" vertical="center"/>
    </xf>
    <xf numFmtId="168" fontId="15" fillId="10" borderId="3" xfId="543" applyNumberFormat="1" applyFill="1" applyBorder="1" applyAlignment="1">
      <alignment horizontal="center"/>
    </xf>
    <xf numFmtId="168" fontId="15" fillId="10" borderId="4" xfId="543" applyNumberFormat="1" applyFill="1" applyBorder="1" applyAlignment="1">
      <alignment horizontal="center"/>
    </xf>
    <xf numFmtId="168" fontId="15" fillId="10" borderId="5" xfId="543" applyNumberFormat="1" applyFill="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5" fillId="0" borderId="11" xfId="543" applyNumberFormat="1" applyBorder="1" applyAlignment="1">
      <alignment horizontal="center"/>
    </xf>
    <xf numFmtId="0" fontId="23" fillId="5" borderId="3" xfId="0" applyFont="1" applyFill="1" applyBorder="1" applyAlignment="1" applyProtection="1">
      <alignment horizontal="left"/>
      <protection locked="0"/>
    </xf>
    <xf numFmtId="0" fontId="23" fillId="5" borderId="4" xfId="0" applyFont="1" applyFill="1" applyBorder="1" applyAlignment="1" applyProtection="1">
      <alignment horizontal="left"/>
      <protection locked="0"/>
    </xf>
    <xf numFmtId="0" fontId="23" fillId="5" borderId="5" xfId="0" applyFont="1" applyFill="1" applyBorder="1" applyAlignment="1" applyProtection="1">
      <alignment horizontal="left"/>
      <protection locked="0"/>
    </xf>
    <xf numFmtId="0" fontId="52" fillId="5" borderId="3" xfId="0" applyFont="1" applyFill="1" applyBorder="1" applyAlignment="1" applyProtection="1">
      <alignment horizontal="center"/>
      <protection locked="0"/>
    </xf>
    <xf numFmtId="0" fontId="52" fillId="5" borderId="4" xfId="0" applyFont="1" applyFill="1" applyBorder="1" applyAlignment="1" applyProtection="1">
      <alignment horizontal="center"/>
      <protection locked="0"/>
    </xf>
    <xf numFmtId="0" fontId="52" fillId="5" borderId="5" xfId="0" applyFont="1" applyFill="1" applyBorder="1" applyAlignment="1" applyProtection="1">
      <alignment horizontal="center"/>
      <protection locked="0"/>
    </xf>
    <xf numFmtId="0" fontId="22" fillId="0" borderId="2" xfId="0" applyFont="1" applyBorder="1" applyAlignment="1">
      <alignment horizontal="right"/>
    </xf>
    <xf numFmtId="0" fontId="22" fillId="0" borderId="7" xfId="0" applyFont="1" applyBorder="1" applyAlignment="1">
      <alignment horizontal="right"/>
    </xf>
    <xf numFmtId="0" fontId="24" fillId="0" borderId="11" xfId="0" applyFont="1" applyBorder="1" applyAlignment="1">
      <alignment horizontal="center"/>
    </xf>
    <xf numFmtId="0" fontId="24" fillId="0" borderId="11" xfId="0" applyFont="1" applyBorder="1" applyAlignment="1">
      <alignment horizontal="center" vertical="top" wrapText="1"/>
    </xf>
    <xf numFmtId="0" fontId="15" fillId="43" borderId="11" xfId="0" applyFont="1" applyFill="1" applyBorder="1" applyAlignment="1" applyProtection="1">
      <alignment horizontal="center"/>
      <protection locked="0"/>
    </xf>
    <xf numFmtId="0" fontId="24" fillId="5" borderId="6" xfId="271" applyFill="1" applyBorder="1" applyProtection="1">
      <protection locked="0"/>
    </xf>
    <xf numFmtId="0" fontId="24" fillId="0" borderId="3" xfId="0" applyFont="1" applyBorder="1" applyAlignment="1">
      <alignment horizontal="left"/>
    </xf>
    <xf numFmtId="0" fontId="22" fillId="0" borderId="6" xfId="0" applyFont="1" applyBorder="1" applyAlignment="1">
      <alignment horizontal="right"/>
    </xf>
    <xf numFmtId="0" fontId="15" fillId="5" borderId="6" xfId="0" applyFont="1" applyFill="1" applyBorder="1" applyAlignment="1" applyProtection="1">
      <alignment horizontal="center"/>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0" xfId="0" applyFont="1" applyAlignment="1">
      <alignment horizontal="center" vertical="center" wrapText="1"/>
    </xf>
    <xf numFmtId="0" fontId="31" fillId="0" borderId="12" xfId="0" applyFont="1" applyBorder="1" applyAlignment="1">
      <alignment horizontal="center" vertical="center" wrapText="1"/>
    </xf>
    <xf numFmtId="0" fontId="31" fillId="0" borderId="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10" xfId="0" applyFont="1" applyBorder="1" applyAlignment="1">
      <alignment horizontal="center" vertical="center" wrapText="1"/>
    </xf>
    <xf numFmtId="0" fontId="0" fillId="5" borderId="3" xfId="0" quotePrefix="1" applyFill="1" applyBorder="1" applyAlignment="1" applyProtection="1">
      <alignment horizontal="right"/>
      <protection locked="0"/>
    </xf>
    <xf numFmtId="1" fontId="15" fillId="0" borderId="3" xfId="0" applyNumberFormat="1" applyFont="1" applyBorder="1" applyAlignment="1">
      <alignment horizontal="center"/>
    </xf>
    <xf numFmtId="1" fontId="24" fillId="0" borderId="4" xfId="0" applyNumberFormat="1" applyFont="1" applyBorder="1" applyAlignment="1">
      <alignment horizontal="center"/>
    </xf>
    <xf numFmtId="1" fontId="24" fillId="0" borderId="5" xfId="0" applyNumberFormat="1" applyFont="1" applyBorder="1" applyAlignment="1">
      <alignment horizontal="center"/>
    </xf>
    <xf numFmtId="0" fontId="35" fillId="0" borderId="4" xfId="543" applyFont="1" applyBorder="1" applyAlignment="1">
      <alignment horizontal="right" vertical="top" wrapText="1"/>
    </xf>
    <xf numFmtId="0" fontId="35" fillId="0" borderId="5" xfId="543" applyFont="1" applyBorder="1" applyAlignment="1">
      <alignment horizontal="right" vertical="top" wrapText="1"/>
    </xf>
    <xf numFmtId="0" fontId="22" fillId="0" borderId="8" xfId="543" applyFont="1" applyBorder="1" applyAlignment="1">
      <alignment horizontal="left" vertical="center" wrapText="1"/>
    </xf>
    <xf numFmtId="0" fontId="22" fillId="0" borderId="0" xfId="543" applyFont="1" applyAlignment="1">
      <alignment horizontal="left" vertical="center" wrapText="1"/>
    </xf>
    <xf numFmtId="0" fontId="22" fillId="0" borderId="12" xfId="543" applyFont="1" applyBorder="1" applyAlignment="1">
      <alignment horizontal="left" vertical="center" wrapText="1"/>
    </xf>
    <xf numFmtId="0" fontId="15" fillId="0" borderId="8" xfId="543" applyBorder="1" applyAlignment="1">
      <alignment horizontal="left" vertical="top" wrapText="1"/>
    </xf>
    <xf numFmtId="0" fontId="15" fillId="0" borderId="0" xfId="543" applyAlignment="1">
      <alignment horizontal="left" vertical="top" wrapText="1"/>
    </xf>
    <xf numFmtId="0" fontId="15" fillId="0" borderId="12" xfId="543" applyBorder="1" applyAlignment="1">
      <alignment horizontal="left" vertical="top" wrapText="1"/>
    </xf>
    <xf numFmtId="0" fontId="23" fillId="0" borderId="3" xfId="543" applyFont="1" applyBorder="1" applyAlignment="1">
      <alignment horizontal="center"/>
    </xf>
    <xf numFmtId="0" fontId="23" fillId="0" borderId="5" xfId="543" applyFont="1" applyBorder="1" applyAlignment="1">
      <alignment horizontal="center"/>
    </xf>
    <xf numFmtId="1" fontId="23" fillId="0" borderId="3" xfId="543" applyNumberFormat="1" applyFont="1" applyBorder="1" applyAlignment="1">
      <alignment horizontal="center"/>
    </xf>
    <xf numFmtId="1" fontId="23" fillId="0" borderId="5" xfId="543" applyNumberFormat="1" applyFont="1" applyBorder="1" applyAlignment="1">
      <alignment horizontal="center"/>
    </xf>
    <xf numFmtId="0" fontId="34" fillId="0" borderId="3" xfId="543" applyFont="1" applyBorder="1" applyAlignment="1">
      <alignment horizontal="center"/>
    </xf>
    <xf numFmtId="0" fontId="34" fillId="0" borderId="5" xfId="543" applyFont="1" applyBorder="1" applyAlignment="1">
      <alignment horizontal="center"/>
    </xf>
    <xf numFmtId="0" fontId="34" fillId="5" borderId="3" xfId="543" applyFont="1" applyFill="1" applyBorder="1" applyAlignment="1" applyProtection="1">
      <alignment horizontal="center"/>
      <protection locked="0"/>
    </xf>
    <xf numFmtId="0" fontId="34" fillId="5" borderId="5" xfId="543" applyFont="1" applyFill="1" applyBorder="1" applyAlignment="1" applyProtection="1">
      <alignment horizontal="center"/>
      <protection locked="0"/>
    </xf>
    <xf numFmtId="0" fontId="34" fillId="5" borderId="9" xfId="543" applyFont="1" applyFill="1" applyBorder="1" applyAlignment="1" applyProtection="1">
      <alignment horizontal="center"/>
      <protection locked="0"/>
    </xf>
    <xf numFmtId="0" fontId="34" fillId="5" borderId="10" xfId="543" applyFont="1" applyFill="1" applyBorder="1" applyAlignment="1" applyProtection="1">
      <alignment horizontal="center"/>
      <protection locked="0"/>
    </xf>
    <xf numFmtId="0" fontId="15" fillId="0" borderId="9" xfId="543" applyBorder="1" applyAlignment="1">
      <alignment horizontal="left" vertical="top" wrapText="1"/>
    </xf>
    <xf numFmtId="0" fontId="15" fillId="0" borderId="6" xfId="543" applyBorder="1" applyAlignment="1">
      <alignment horizontal="left" vertical="top" wrapText="1"/>
    </xf>
    <xf numFmtId="0" fontId="15" fillId="0" borderId="10" xfId="543" applyBorder="1" applyAlignment="1">
      <alignment horizontal="left" vertical="top" wrapText="1"/>
    </xf>
    <xf numFmtId="0" fontId="22" fillId="0" borderId="1" xfId="0" applyFont="1" applyBorder="1" applyAlignment="1">
      <alignment horizontal="center" wrapText="1"/>
    </xf>
    <xf numFmtId="168" fontId="15"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5" fillId="5" borderId="3" xfId="543"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15" fillId="0" borderId="8" xfId="543" applyBorder="1" applyAlignment="1">
      <alignment horizontal="left" vertical="center" wrapText="1"/>
    </xf>
    <xf numFmtId="0" fontId="15" fillId="0" borderId="0" xfId="543" applyAlignment="1">
      <alignment horizontal="left" vertical="center" wrapText="1"/>
    </xf>
    <xf numFmtId="0" fontId="15" fillId="0" borderId="12" xfId="543" applyBorder="1" applyAlignment="1">
      <alignment horizontal="left" vertical="center" wrapText="1"/>
    </xf>
    <xf numFmtId="0" fontId="15" fillId="0" borderId="9" xfId="543" applyBorder="1" applyAlignment="1">
      <alignment horizontal="left" vertical="center" wrapText="1"/>
    </xf>
    <xf numFmtId="0" fontId="15" fillId="0" borderId="6" xfId="543" applyBorder="1" applyAlignment="1">
      <alignment horizontal="left" vertical="center" wrapText="1"/>
    </xf>
    <xf numFmtId="0" fontId="15" fillId="0" borderId="10" xfId="543" applyBorder="1" applyAlignment="1">
      <alignment horizontal="left" vertical="center" wrapText="1"/>
    </xf>
    <xf numFmtId="164" fontId="34" fillId="5" borderId="3" xfId="0" applyNumberFormat="1" applyFont="1" applyFill="1" applyBorder="1" applyAlignment="1" applyProtection="1">
      <alignment horizontal="left"/>
      <protection locked="0"/>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0" fontId="15" fillId="0" borderId="8" xfId="0" applyFont="1" applyBorder="1" applyAlignment="1">
      <alignment horizontal="left" wrapText="1"/>
    </xf>
    <xf numFmtId="0" fontId="15" fillId="0" borderId="12" xfId="0" applyFont="1" applyBorder="1" applyAlignment="1">
      <alignment horizontal="left" wrapText="1"/>
    </xf>
    <xf numFmtId="0" fontId="15" fillId="0" borderId="9" xfId="0" applyFont="1" applyBorder="1" applyAlignment="1">
      <alignment horizontal="left" wrapText="1"/>
    </xf>
    <xf numFmtId="0" fontId="15" fillId="0" borderId="6" xfId="0" applyFont="1" applyBorder="1" applyAlignment="1">
      <alignment horizontal="left" wrapText="1"/>
    </xf>
    <xf numFmtId="0" fontId="15" fillId="0" borderId="10" xfId="0" applyFont="1" applyBorder="1" applyAlignment="1">
      <alignment horizontal="left" wrapText="1"/>
    </xf>
    <xf numFmtId="168" fontId="15" fillId="0" borderId="1" xfId="543" applyNumberFormat="1" applyBorder="1" applyAlignment="1">
      <alignment horizontal="center" vertical="center"/>
    </xf>
    <xf numFmtId="168" fontId="15" fillId="0" borderId="2" xfId="543" applyNumberFormat="1" applyBorder="1" applyAlignment="1">
      <alignment horizontal="center" vertical="center"/>
    </xf>
    <xf numFmtId="168" fontId="15" fillId="0" borderId="7" xfId="543" applyNumberFormat="1" applyBorder="1" applyAlignment="1">
      <alignment horizontal="center" vertical="center"/>
    </xf>
    <xf numFmtId="168" fontId="15" fillId="0" borderId="8" xfId="543" applyNumberFormat="1" applyBorder="1" applyAlignment="1">
      <alignment horizontal="center" vertical="center"/>
    </xf>
    <xf numFmtId="168" fontId="15" fillId="0" borderId="0" xfId="543" applyNumberFormat="1" applyAlignment="1">
      <alignment horizontal="center" vertical="center"/>
    </xf>
    <xf numFmtId="168" fontId="15" fillId="0" borderId="12" xfId="543" applyNumberFormat="1" applyBorder="1" applyAlignment="1">
      <alignment horizontal="center" vertical="center"/>
    </xf>
    <xf numFmtId="168" fontId="15" fillId="0" borderId="9" xfId="543" applyNumberFormat="1" applyBorder="1" applyAlignment="1">
      <alignment horizontal="center" vertical="center"/>
    </xf>
    <xf numFmtId="168" fontId="15" fillId="0" borderId="6" xfId="543" applyNumberFormat="1" applyBorder="1" applyAlignment="1">
      <alignment horizontal="center" vertical="center"/>
    </xf>
    <xf numFmtId="168" fontId="15" fillId="0" borderId="10" xfId="543" applyNumberFormat="1" applyBorder="1" applyAlignment="1">
      <alignment horizontal="center" vertical="center"/>
    </xf>
    <xf numFmtId="0" fontId="42" fillId="0" borderId="8" xfId="543" applyFont="1" applyBorder="1" applyAlignment="1">
      <alignment horizontal="center" vertical="center" wrapText="1"/>
    </xf>
    <xf numFmtId="0" fontId="42" fillId="0" borderId="0" xfId="543" applyFont="1" applyAlignment="1">
      <alignment horizontal="center" vertical="center" wrapText="1"/>
    </xf>
    <xf numFmtId="0" fontId="42" fillId="0" borderId="12" xfId="543" applyFont="1" applyBorder="1" applyAlignment="1">
      <alignment horizontal="center" vertical="center" wrapText="1"/>
    </xf>
    <xf numFmtId="182" fontId="23" fillId="43" borderId="11" xfId="8722" applyNumberFormat="1" applyFont="1" applyFill="1" applyBorder="1" applyAlignment="1" applyProtection="1">
      <alignment horizontal="center" vertical="center" wrapText="1"/>
      <protection locked="0"/>
    </xf>
    <xf numFmtId="0" fontId="22" fillId="0" borderId="1" xfId="0" applyFont="1" applyBorder="1" applyAlignment="1">
      <alignment horizontal="center"/>
    </xf>
    <xf numFmtId="0" fontId="22" fillId="0" borderId="2" xfId="0" applyFont="1" applyBorder="1" applyAlignment="1">
      <alignment horizontal="center"/>
    </xf>
    <xf numFmtId="0" fontId="22" fillId="0" borderId="7" xfId="0" applyFont="1" applyBorder="1" applyAlignment="1">
      <alignment horizontal="center"/>
    </xf>
    <xf numFmtId="168" fontId="22" fillId="0" borderId="3" xfId="543" applyNumberFormat="1" applyFont="1" applyBorder="1" applyAlignment="1">
      <alignment horizontal="center" vertical="center"/>
    </xf>
    <xf numFmtId="168" fontId="22" fillId="0" borderId="4" xfId="543" applyNumberFormat="1" applyFont="1" applyBorder="1" applyAlignment="1">
      <alignment horizontal="center" vertical="center"/>
    </xf>
    <xf numFmtId="168" fontId="22" fillId="0" borderId="5" xfId="543" applyNumberFormat="1" applyFont="1" applyBorder="1" applyAlignment="1">
      <alignment horizontal="center" vertical="center"/>
    </xf>
    <xf numFmtId="0" fontId="15" fillId="2" borderId="3" xfId="543" applyFill="1" applyBorder="1" applyAlignment="1">
      <alignment horizontal="center"/>
    </xf>
    <xf numFmtId="0" fontId="15" fillId="2" borderId="4" xfId="543" applyFill="1" applyBorder="1" applyAlignment="1">
      <alignment horizontal="center"/>
    </xf>
    <xf numFmtId="0" fontId="15" fillId="2" borderId="5" xfId="543" applyFill="1" applyBorder="1" applyAlignment="1">
      <alignment horizontal="center"/>
    </xf>
    <xf numFmtId="0" fontId="22" fillId="0" borderId="1" xfId="543" applyFont="1" applyBorder="1" applyAlignment="1">
      <alignment horizontal="left" vertical="center" wrapText="1"/>
    </xf>
    <xf numFmtId="0" fontId="22" fillId="0" borderId="2" xfId="543" applyFont="1" applyBorder="1" applyAlignment="1">
      <alignment horizontal="left" vertical="center" wrapText="1"/>
    </xf>
    <xf numFmtId="0" fontId="22" fillId="0" borderId="7" xfId="543" applyFont="1" applyBorder="1" applyAlignment="1">
      <alignment horizontal="left" vertical="center" wrapText="1"/>
    </xf>
    <xf numFmtId="0" fontId="22" fillId="0" borderId="3" xfId="543" applyFont="1" applyBorder="1" applyAlignment="1">
      <alignment horizontal="right"/>
    </xf>
    <xf numFmtId="0" fontId="22" fillId="0" borderId="4" xfId="543" applyFont="1" applyBorder="1" applyAlignment="1">
      <alignment horizontal="right"/>
    </xf>
    <xf numFmtId="0" fontId="22" fillId="0" borderId="5" xfId="543" applyFont="1" applyBorder="1" applyAlignment="1">
      <alignment horizontal="right"/>
    </xf>
    <xf numFmtId="0" fontId="22" fillId="0" borderId="11" xfId="0" applyFont="1" applyBorder="1" applyAlignment="1">
      <alignment horizontal="center" vertical="center"/>
    </xf>
    <xf numFmtId="0" fontId="22" fillId="0" borderId="9" xfId="0" applyFont="1" applyBorder="1" applyAlignment="1">
      <alignment horizontal="right"/>
    </xf>
    <xf numFmtId="0" fontId="22" fillId="0" borderId="10" xfId="0" applyFont="1" applyBorder="1" applyAlignment="1">
      <alignment horizontal="right"/>
    </xf>
    <xf numFmtId="14" fontId="0" fillId="5" borderId="4" xfId="0" applyNumberFormat="1" applyFill="1" applyBorder="1" applyAlignment="1" applyProtection="1">
      <alignment horizontal="center"/>
      <protection locked="0"/>
    </xf>
    <xf numFmtId="0" fontId="15" fillId="0" borderId="0" xfId="0" applyFont="1" applyAlignment="1">
      <alignment wrapText="1"/>
    </xf>
    <xf numFmtId="0" fontId="23"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48" fillId="0" borderId="0" xfId="0" applyFont="1" applyAlignment="1">
      <alignment horizontal="center"/>
    </xf>
    <xf numFmtId="0" fontId="15" fillId="0" borderId="0" xfId="0" applyFont="1" applyAlignment="1">
      <alignment horizontal="center"/>
    </xf>
    <xf numFmtId="0" fontId="30" fillId="0" borderId="0" xfId="0" applyFont="1" applyAlignment="1">
      <alignment horizontal="center"/>
    </xf>
    <xf numFmtId="0" fontId="15" fillId="0" borderId="0" xfId="0" applyFont="1" applyAlignment="1">
      <alignment horizontal="center" vertical="top"/>
    </xf>
    <xf numFmtId="168" fontId="24" fillId="0" borderId="6" xfId="0" applyNumberFormat="1" applyFont="1" applyBorder="1" applyAlignment="1">
      <alignment horizontal="center"/>
    </xf>
    <xf numFmtId="0" fontId="23" fillId="0" borderId="0" xfId="0" applyFont="1" applyAlignment="1">
      <alignment horizontal="center"/>
    </xf>
    <xf numFmtId="0" fontId="176" fillId="0" borderId="8" xfId="543" applyFont="1" applyBorder="1" applyAlignment="1">
      <alignment horizontal="center" wrapText="1"/>
    </xf>
    <xf numFmtId="0" fontId="176" fillId="0" borderId="0" xfId="543" applyFont="1" applyAlignment="1">
      <alignment horizontal="center" wrapText="1"/>
    </xf>
    <xf numFmtId="0" fontId="176" fillId="0" borderId="12" xfId="543" applyFont="1" applyBorder="1" applyAlignment="1">
      <alignment horizontal="center" wrapText="1"/>
    </xf>
    <xf numFmtId="0" fontId="176" fillId="0" borderId="9" xfId="543" applyFont="1" applyBorder="1" applyAlignment="1">
      <alignment horizontal="center" wrapText="1"/>
    </xf>
    <xf numFmtId="0" fontId="176" fillId="0" borderId="6" xfId="543" applyFont="1" applyBorder="1" applyAlignment="1">
      <alignment horizontal="center" wrapText="1"/>
    </xf>
    <xf numFmtId="0" fontId="176" fillId="0" borderId="10" xfId="543" applyFont="1" applyBorder="1" applyAlignment="1">
      <alignment horizontal="center" wrapText="1"/>
    </xf>
    <xf numFmtId="0" fontId="176" fillId="0" borderId="8" xfId="543" applyFont="1" applyBorder="1" applyAlignment="1">
      <alignment horizontal="center" vertical="top" wrapText="1"/>
    </xf>
    <xf numFmtId="0" fontId="176" fillId="0" borderId="0" xfId="543" applyFont="1" applyAlignment="1">
      <alignment horizontal="center" vertical="top" wrapText="1"/>
    </xf>
    <xf numFmtId="0" fontId="176" fillId="0" borderId="12" xfId="543" applyFont="1" applyBorder="1" applyAlignment="1">
      <alignment horizontal="center" vertical="top" wrapText="1"/>
    </xf>
    <xf numFmtId="0" fontId="176" fillId="0" borderId="9" xfId="543" applyFont="1" applyBorder="1" applyAlignment="1">
      <alignment horizontal="center" vertical="top" wrapText="1"/>
    </xf>
    <xf numFmtId="0" fontId="176" fillId="0" borderId="6" xfId="543" applyFont="1" applyBorder="1" applyAlignment="1">
      <alignment horizontal="center" vertical="top" wrapText="1"/>
    </xf>
    <xf numFmtId="0" fontId="176" fillId="0" borderId="10" xfId="543" applyFont="1" applyBorder="1" applyAlignment="1">
      <alignment horizontal="center" vertical="top" wrapText="1"/>
    </xf>
    <xf numFmtId="0" fontId="171" fillId="0" borderId="0" xfId="0" applyFont="1" applyAlignment="1">
      <alignment horizontal="center" vertical="center" wrapText="1"/>
    </xf>
    <xf numFmtId="3" fontId="43" fillId="10" borderId="0" xfId="543" applyNumberFormat="1" applyFont="1" applyFill="1" applyAlignment="1">
      <alignment horizontal="left" vertical="center" wrapText="1"/>
    </xf>
    <xf numFmtId="0" fontId="167" fillId="0" borderId="8" xfId="543" applyFont="1" applyBorder="1" applyAlignment="1">
      <alignment horizontal="center" vertical="center" wrapText="1"/>
    </xf>
    <xf numFmtId="0" fontId="167" fillId="0" borderId="0" xfId="543" applyFont="1" applyAlignment="1">
      <alignment horizontal="center" vertical="center" wrapText="1"/>
    </xf>
    <xf numFmtId="0" fontId="167" fillId="0" borderId="12" xfId="543" applyFont="1" applyBorder="1" applyAlignment="1">
      <alignment horizontal="center" vertical="center" wrapText="1"/>
    </xf>
    <xf numFmtId="0" fontId="22" fillId="0" borderId="1" xfId="543" applyFont="1" applyBorder="1" applyAlignment="1">
      <alignment horizontal="left" vertical="top" wrapText="1"/>
    </xf>
    <xf numFmtId="0" fontId="22" fillId="0" borderId="2" xfId="543" applyFont="1" applyBorder="1" applyAlignment="1">
      <alignment horizontal="left" vertical="top" wrapText="1"/>
    </xf>
    <xf numFmtId="0" fontId="22" fillId="0" borderId="7" xfId="543" applyFont="1" applyBorder="1" applyAlignment="1">
      <alignment horizontal="left" vertical="top" wrapText="1"/>
    </xf>
    <xf numFmtId="0" fontId="22" fillId="0" borderId="8" xfId="543" applyFont="1" applyBorder="1" applyAlignment="1">
      <alignment horizontal="left" vertical="top" wrapText="1"/>
    </xf>
    <xf numFmtId="0" fontId="22" fillId="0" borderId="0" xfId="543" applyFont="1" applyAlignment="1">
      <alignment horizontal="left" vertical="top" wrapText="1"/>
    </xf>
    <xf numFmtId="0" fontId="22" fillId="0" borderId="12" xfId="543" applyFont="1" applyBorder="1" applyAlignment="1">
      <alignment horizontal="left" vertical="top" wrapText="1"/>
    </xf>
    <xf numFmtId="1" fontId="15" fillId="0" borderId="3" xfId="543" applyNumberFormat="1" applyBorder="1" applyAlignment="1">
      <alignment horizontal="center"/>
    </xf>
    <xf numFmtId="1" fontId="15" fillId="0" borderId="4" xfId="543" applyNumberFormat="1" applyBorder="1" applyAlignment="1">
      <alignment horizontal="center"/>
    </xf>
    <xf numFmtId="1" fontId="15" fillId="0" borderId="5" xfId="543" applyNumberFormat="1" applyBorder="1" applyAlignment="1">
      <alignment horizontal="center"/>
    </xf>
    <xf numFmtId="9" fontId="15" fillId="5" borderId="3" xfId="0" applyNumberFormat="1" applyFont="1" applyFill="1" applyBorder="1" applyAlignment="1" applyProtection="1">
      <alignment horizontal="right"/>
      <protection locked="0"/>
    </xf>
    <xf numFmtId="0" fontId="35" fillId="0" borderId="1" xfId="543" applyFont="1" applyBorder="1" applyAlignment="1">
      <alignment horizontal="right"/>
    </xf>
    <xf numFmtId="0" fontId="35" fillId="0" borderId="2" xfId="543" applyFont="1" applyBorder="1" applyAlignment="1">
      <alignment horizontal="right"/>
    </xf>
    <xf numFmtId="0" fontId="35" fillId="0" borderId="7" xfId="543" applyFont="1" applyBorder="1" applyAlignment="1">
      <alignment horizontal="right"/>
    </xf>
    <xf numFmtId="0" fontId="23" fillId="5" borderId="3" xfId="543" applyFont="1"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22" fillId="10" borderId="3" xfId="543" applyFont="1" applyFill="1" applyBorder="1" applyAlignment="1">
      <alignment horizontal="center"/>
    </xf>
    <xf numFmtId="0" fontId="22" fillId="10" borderId="4" xfId="543" applyFont="1" applyFill="1" applyBorder="1" applyAlignment="1">
      <alignment horizontal="center"/>
    </xf>
    <xf numFmtId="0" fontId="22" fillId="10" borderId="5" xfId="543" applyFont="1" applyFill="1" applyBorder="1" applyAlignment="1">
      <alignment horizontal="center"/>
    </xf>
    <xf numFmtId="0" fontId="34" fillId="5" borderId="3" xfId="543" applyFont="1" applyFill="1" applyBorder="1" applyAlignment="1" applyProtection="1">
      <alignment horizontal="center" vertical="top"/>
      <protection locked="0"/>
    </xf>
    <xf numFmtId="0" fontId="34" fillId="5" borderId="5" xfId="543" applyFont="1" applyFill="1" applyBorder="1" applyAlignment="1" applyProtection="1">
      <alignment horizontal="center" vertical="top"/>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3" fontId="15" fillId="43" borderId="3"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4" fillId="0" borderId="2" xfId="0" applyFont="1" applyBorder="1" applyAlignment="1">
      <alignment horizontal="left" vertical="top" wrapText="1"/>
    </xf>
    <xf numFmtId="177" fontId="24"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4" fillId="0" borderId="0" xfId="0" applyFont="1" applyAlignment="1">
      <alignment vertical="top" wrapText="1"/>
    </xf>
    <xf numFmtId="0" fontId="15" fillId="5" borderId="6" xfId="0" applyFont="1" applyFill="1" applyBorder="1" applyAlignment="1" applyProtection="1">
      <alignment horizontal="left" vertical="top" wrapText="1"/>
      <protection locked="0"/>
    </xf>
    <xf numFmtId="0" fontId="24" fillId="0" borderId="6" xfId="0" applyFont="1" applyBorder="1" applyAlignment="1">
      <alignment horizontal="right" vertical="top" wrapText="1"/>
    </xf>
    <xf numFmtId="0" fontId="24"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4"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5" fillId="0" borderId="0" xfId="569" applyAlignment="1">
      <alignment horizontal="right" vertical="top" wrapText="1"/>
    </xf>
    <xf numFmtId="0" fontId="21" fillId="3" borderId="3" xfId="0" applyFont="1" applyFill="1" applyBorder="1" applyAlignment="1">
      <alignment horizontal="left" vertical="top"/>
    </xf>
    <xf numFmtId="0" fontId="21" fillId="3" borderId="4" xfId="0" applyFont="1" applyFill="1" applyBorder="1" applyAlignment="1">
      <alignment horizontal="left" vertical="top"/>
    </xf>
    <xf numFmtId="0" fontId="21" fillId="3" borderId="5" xfId="0" applyFont="1" applyFill="1" applyBorder="1" applyAlignment="1">
      <alignment horizontal="left" vertical="top"/>
    </xf>
    <xf numFmtId="164" fontId="15" fillId="0" borderId="50" xfId="4495" applyNumberFormat="1" applyFont="1" applyBorder="1" applyAlignment="1">
      <alignment horizontal="left" vertical="top" wrapText="1"/>
    </xf>
    <xf numFmtId="164" fontId="15" fillId="0" borderId="51" xfId="4495" applyNumberFormat="1" applyFont="1" applyBorder="1" applyAlignment="1">
      <alignment horizontal="left" vertical="top" wrapText="1"/>
    </xf>
    <xf numFmtId="164" fontId="15" fillId="0" borderId="52" xfId="4495" applyNumberFormat="1" applyFont="1" applyBorder="1" applyAlignment="1">
      <alignment horizontal="left" vertical="top" wrapText="1"/>
    </xf>
    <xf numFmtId="164" fontId="15" fillId="0" borderId="53" xfId="4495" applyNumberFormat="1" applyFont="1" applyBorder="1" applyAlignment="1">
      <alignment horizontal="left" vertical="top" wrapText="1"/>
    </xf>
    <xf numFmtId="164" fontId="15" fillId="0" borderId="0" xfId="4495" applyNumberFormat="1" applyFont="1" applyAlignment="1">
      <alignment horizontal="left" vertical="top" wrapText="1"/>
    </xf>
    <xf numFmtId="164" fontId="15" fillId="0" borderId="54" xfId="4495" applyNumberFormat="1" applyFont="1" applyBorder="1" applyAlignment="1">
      <alignment horizontal="left" vertical="top" wrapText="1"/>
    </xf>
    <xf numFmtId="164" fontId="15" fillId="0" borderId="57" xfId="4495" applyNumberFormat="1" applyFont="1" applyBorder="1" applyAlignment="1">
      <alignment horizontal="left" vertical="top" wrapText="1"/>
    </xf>
    <xf numFmtId="164" fontId="15" fillId="0" borderId="58" xfId="4495" applyNumberFormat="1" applyFont="1" applyBorder="1" applyAlignment="1">
      <alignment horizontal="left" vertical="top" wrapText="1"/>
    </xf>
    <xf numFmtId="164" fontId="15" fillId="0" borderId="59" xfId="4495" applyNumberFormat="1" applyFont="1" applyBorder="1" applyAlignment="1">
      <alignment horizontal="left" vertical="top" wrapText="1"/>
    </xf>
    <xf numFmtId="0" fontId="15" fillId="45" borderId="11" xfId="4495" applyFont="1" applyFill="1" applyBorder="1" applyAlignment="1">
      <alignment horizontal="center"/>
    </xf>
    <xf numFmtId="4" fontId="23" fillId="0" borderId="3" xfId="4495" applyNumberFormat="1" applyFont="1" applyBorder="1" applyAlignment="1">
      <alignment horizontal="center"/>
    </xf>
    <xf numFmtId="4" fontId="23" fillId="0" borderId="4" xfId="4495" applyNumberFormat="1" applyFont="1" applyBorder="1" applyAlignment="1">
      <alignment horizontal="center"/>
    </xf>
    <xf numFmtId="4" fontId="23"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5" fillId="43" borderId="6" xfId="1192" applyNumberFormat="1" applyFill="1" applyBorder="1" applyAlignment="1" applyProtection="1">
      <alignment horizontal="right"/>
      <protection locked="0"/>
    </xf>
    <xf numFmtId="168" fontId="15" fillId="0" borderId="0" xfId="1192" applyNumberFormat="1" applyAlignment="1">
      <alignment horizontal="right"/>
    </xf>
    <xf numFmtId="0" fontId="141" fillId="0" borderId="0" xfId="1192" applyFont="1" applyAlignment="1">
      <alignment horizontal="center"/>
    </xf>
    <xf numFmtId="168" fontId="15" fillId="43" borderId="6" xfId="543" applyNumberFormat="1" applyFill="1" applyBorder="1" applyAlignment="1" applyProtection="1">
      <alignment horizontal="center"/>
      <protection locked="0"/>
    </xf>
    <xf numFmtId="168" fontId="15" fillId="5" borderId="4" xfId="1192" applyNumberFormat="1" applyFill="1" applyBorder="1" applyAlignment="1" applyProtection="1">
      <alignment horizontal="center"/>
      <protection locked="0"/>
    </xf>
    <xf numFmtId="4" fontId="23" fillId="0" borderId="0" xfId="4495" applyNumberFormat="1" applyFont="1" applyAlignment="1">
      <alignment horizontal="center"/>
    </xf>
    <xf numFmtId="4" fontId="23" fillId="0" borderId="6" xfId="4495" applyNumberFormat="1" applyFont="1" applyBorder="1" applyAlignment="1">
      <alignment horizontal="center"/>
    </xf>
    <xf numFmtId="1" fontId="15" fillId="5" borderId="2" xfId="1192" applyNumberFormat="1" applyFill="1" applyBorder="1" applyAlignment="1" applyProtection="1">
      <alignment horizontal="center"/>
      <protection locked="0"/>
    </xf>
    <xf numFmtId="168" fontId="15" fillId="0" borderId="6" xfId="1192" applyNumberFormat="1" applyBorder="1" applyAlignment="1">
      <alignment horizontal="right"/>
    </xf>
    <xf numFmtId="168" fontId="15" fillId="0" borderId="4" xfId="1192" applyNumberFormat="1" applyBorder="1" applyAlignment="1">
      <alignment horizontal="right"/>
    </xf>
    <xf numFmtId="0" fontId="15" fillId="0" borderId="53" xfId="4495" applyFont="1" applyBorder="1" applyAlignment="1">
      <alignment horizontal="left" vertical="top" wrapText="1"/>
    </xf>
    <xf numFmtId="0" fontId="15" fillId="0" borderId="0" xfId="4495" applyFont="1" applyAlignment="1">
      <alignment horizontal="left" vertical="top" wrapText="1"/>
    </xf>
    <xf numFmtId="0" fontId="15" fillId="0" borderId="54" xfId="4495" applyFont="1" applyBorder="1" applyAlignment="1">
      <alignment horizontal="left" vertical="top" wrapText="1"/>
    </xf>
    <xf numFmtId="0" fontId="15" fillId="0" borderId="57" xfId="4495" applyFont="1" applyBorder="1" applyAlignment="1">
      <alignment horizontal="left" vertical="top" wrapText="1"/>
    </xf>
    <xf numFmtId="0" fontId="15" fillId="0" borderId="58" xfId="4495" applyFont="1" applyBorder="1" applyAlignment="1">
      <alignment horizontal="left" vertical="top" wrapText="1"/>
    </xf>
    <xf numFmtId="168" fontId="15" fillId="0" borderId="6" xfId="4496" applyNumberFormat="1" applyFont="1" applyBorder="1" applyAlignment="1">
      <alignment horizontal="center"/>
    </xf>
    <xf numFmtId="168" fontId="15" fillId="0" borderId="4" xfId="4496" applyNumberFormat="1" applyFont="1" applyBorder="1" applyAlignment="1">
      <alignment horizontal="center"/>
    </xf>
    <xf numFmtId="9" fontId="15" fillId="0" borderId="4" xfId="4496" applyNumberFormat="1" applyFont="1" applyBorder="1" applyAlignment="1">
      <alignment horizontal="center"/>
    </xf>
    <xf numFmtId="0" fontId="15" fillId="0" borderId="3" xfId="4495" applyFont="1" applyBorder="1" applyAlignment="1">
      <alignment horizontal="center"/>
    </xf>
    <xf numFmtId="0" fontId="15" fillId="0" borderId="4" xfId="4495" applyFont="1" applyBorder="1" applyAlignment="1">
      <alignment horizontal="center"/>
    </xf>
    <xf numFmtId="0" fontId="15" fillId="0" borderId="5" xfId="4495" applyFont="1" applyBorder="1" applyAlignment="1">
      <alignment horizontal="center"/>
    </xf>
    <xf numFmtId="0" fontId="22" fillId="0" borderId="0" xfId="4495" applyFont="1" applyAlignment="1">
      <alignment horizontal="center"/>
    </xf>
    <xf numFmtId="0" fontId="23" fillId="0" borderId="51" xfId="4495" applyFont="1" applyBorder="1" applyAlignment="1">
      <alignment horizontal="left" vertical="top" wrapText="1"/>
    </xf>
    <xf numFmtId="0" fontId="23" fillId="0" borderId="0" xfId="4495" applyFont="1" applyAlignment="1">
      <alignment horizontal="left" vertical="top" wrapText="1"/>
    </xf>
    <xf numFmtId="0" fontId="22" fillId="0" borderId="0" xfId="4495" applyFont="1" applyAlignment="1">
      <alignment horizontal="right"/>
    </xf>
    <xf numFmtId="10" fontId="23" fillId="0" borderId="2" xfId="4495" applyNumberFormat="1" applyFont="1" applyBorder="1" applyAlignment="1">
      <alignment horizontal="center"/>
    </xf>
    <xf numFmtId="0" fontId="23" fillId="0" borderId="0" xfId="4495" applyFont="1" applyAlignment="1">
      <alignment horizontal="center"/>
    </xf>
    <xf numFmtId="9" fontId="23" fillId="5" borderId="6" xfId="4495" applyNumberFormat="1" applyFont="1" applyFill="1" applyBorder="1" applyAlignment="1">
      <alignment horizontal="left"/>
    </xf>
    <xf numFmtId="0" fontId="129" fillId="0" borderId="0" xfId="4495" applyFont="1" applyAlignment="1">
      <alignment horizontal="left" vertical="top" wrapText="1"/>
    </xf>
    <xf numFmtId="0" fontId="31" fillId="42" borderId="2" xfId="4495" applyFont="1" applyFill="1" applyBorder="1" applyAlignment="1">
      <alignment horizontal="center"/>
    </xf>
    <xf numFmtId="0" fontId="31" fillId="42" borderId="6" xfId="4495" applyFont="1" applyFill="1" applyBorder="1" applyAlignment="1">
      <alignment horizontal="center"/>
    </xf>
    <xf numFmtId="0" fontId="22"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2" fillId="0" borderId="54" xfId="4495" applyFont="1" applyBorder="1" applyAlignment="1">
      <alignment horizontal="center"/>
    </xf>
    <xf numFmtId="0" fontId="15"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0" fontId="15" fillId="0" borderId="6" xfId="1192" applyBorder="1" applyAlignment="1">
      <alignment horizontal="left"/>
    </xf>
    <xf numFmtId="9" fontId="15" fillId="5" borderId="4" xfId="1192" applyNumberFormat="1" applyFill="1" applyBorder="1" applyAlignment="1" applyProtection="1">
      <alignment horizontal="left"/>
      <protection locked="0"/>
    </xf>
    <xf numFmtId="0" fontId="15" fillId="0" borderId="6" xfId="1192" applyBorder="1" applyAlignment="1">
      <alignment horizontal="right"/>
    </xf>
    <xf numFmtId="168" fontId="15" fillId="43" borderId="6" xfId="1192" applyNumberFormat="1" applyFill="1" applyBorder="1" applyAlignment="1" applyProtection="1">
      <alignment horizontal="right"/>
      <protection locked="0"/>
    </xf>
    <xf numFmtId="0" fontId="22" fillId="0" borderId="4" xfId="4495" applyFont="1" applyBorder="1" applyAlignment="1">
      <alignment horizontal="left"/>
    </xf>
    <xf numFmtId="0" fontId="22" fillId="0" borderId="5" xfId="4495" applyFont="1" applyBorder="1" applyAlignment="1">
      <alignment horizontal="left"/>
    </xf>
    <xf numFmtId="1" fontId="22" fillId="0" borderId="11" xfId="4495" applyNumberFormat="1" applyFont="1" applyBorder="1" applyAlignment="1">
      <alignment horizontal="center"/>
    </xf>
    <xf numFmtId="0" fontId="22" fillId="0" borderId="3" xfId="4495" applyFont="1" applyBorder="1" applyAlignment="1">
      <alignment horizontal="center" wrapText="1"/>
    </xf>
    <xf numFmtId="0" fontId="22" fillId="0" borderId="4" xfId="4495" applyFont="1" applyBorder="1" applyAlignment="1">
      <alignment horizontal="center" wrapText="1"/>
    </xf>
    <xf numFmtId="0" fontId="22" fillId="0" borderId="5" xfId="4495" applyFont="1" applyBorder="1" applyAlignment="1">
      <alignment horizontal="center" wrapText="1"/>
    </xf>
    <xf numFmtId="0" fontId="15" fillId="0" borderId="4" xfId="4495" applyFont="1" applyBorder="1" applyAlignment="1">
      <alignment horizontal="left"/>
    </xf>
    <xf numFmtId="0" fontId="15" fillId="0" borderId="5" xfId="4495" applyFont="1" applyBorder="1" applyAlignment="1">
      <alignment horizontal="left"/>
    </xf>
    <xf numFmtId="1" fontId="15" fillId="0" borderId="11" xfId="4495" applyNumberFormat="1" applyFont="1" applyBorder="1" applyAlignment="1">
      <alignment horizontal="center"/>
    </xf>
    <xf numFmtId="0" fontId="15" fillId="0" borderId="11" xfId="4495" applyFont="1" applyBorder="1" applyAlignment="1">
      <alignment horizontal="center"/>
    </xf>
    <xf numFmtId="1" fontId="15" fillId="46" borderId="11" xfId="4495" applyNumberFormat="1" applyFont="1" applyFill="1" applyBorder="1" applyAlignment="1">
      <alignment horizontal="center"/>
    </xf>
    <xf numFmtId="0" fontId="22" fillId="0" borderId="3" xfId="4495" applyFont="1" applyBorder="1" applyAlignment="1">
      <alignment horizontal="center"/>
    </xf>
    <xf numFmtId="0" fontId="22" fillId="0" borderId="4" xfId="4495" applyFont="1" applyBorder="1" applyAlignment="1">
      <alignment horizontal="center"/>
    </xf>
    <xf numFmtId="0" fontId="22" fillId="0" borderId="5" xfId="4495" applyFont="1" applyBorder="1" applyAlignment="1">
      <alignment horizontal="center"/>
    </xf>
    <xf numFmtId="0" fontId="22" fillId="0" borderId="3" xfId="4495" applyFont="1" applyBorder="1" applyAlignment="1">
      <alignment horizontal="left"/>
    </xf>
    <xf numFmtId="0" fontId="15"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2" fillId="0" borderId="4" xfId="4495" applyNumberFormat="1" applyFont="1" applyBorder="1" applyAlignment="1">
      <alignment horizontal="center" wrapText="1"/>
    </xf>
    <xf numFmtId="0" fontId="15" fillId="0" borderId="50" xfId="4496" applyFont="1" applyBorder="1" applyAlignment="1">
      <alignment horizontal="left" wrapText="1"/>
    </xf>
    <xf numFmtId="0" fontId="15" fillId="0" borderId="51" xfId="4496" applyFont="1" applyBorder="1" applyAlignment="1">
      <alignment horizontal="left" wrapText="1"/>
    </xf>
    <xf numFmtId="0" fontId="15" fillId="0" borderId="52" xfId="4496" applyFont="1" applyBorder="1" applyAlignment="1">
      <alignment horizontal="left" wrapText="1"/>
    </xf>
    <xf numFmtId="0" fontId="15" fillId="0" borderId="53" xfId="4496" applyFont="1" applyBorder="1" applyAlignment="1">
      <alignment horizontal="left" wrapText="1"/>
    </xf>
    <xf numFmtId="0" fontId="15" fillId="0" borderId="0" xfId="4496" applyFont="1" applyAlignment="1">
      <alignment horizontal="left" wrapText="1"/>
    </xf>
    <xf numFmtId="0" fontId="15" fillId="0" borderId="54" xfId="4496" applyFont="1" applyBorder="1" applyAlignment="1">
      <alignment horizontal="left" wrapText="1"/>
    </xf>
    <xf numFmtId="0" fontId="15" fillId="0" borderId="57" xfId="4496" applyFont="1" applyBorder="1" applyAlignment="1">
      <alignment horizontal="left" wrapText="1"/>
    </xf>
    <xf numFmtId="0" fontId="15" fillId="0" borderId="58" xfId="4496" applyFont="1" applyBorder="1" applyAlignment="1">
      <alignment horizontal="left" wrapText="1"/>
    </xf>
    <xf numFmtId="0" fontId="15" fillId="0" borderId="59" xfId="4496" applyFont="1" applyBorder="1" applyAlignment="1">
      <alignment horizontal="left" wrapText="1"/>
    </xf>
    <xf numFmtId="1" fontId="15" fillId="0" borderId="4" xfId="4496" applyNumberFormat="1" applyFont="1" applyBorder="1" applyAlignment="1">
      <alignment horizontal="center"/>
    </xf>
    <xf numFmtId="1" fontId="15" fillId="0" borderId="5" xfId="4496" applyNumberFormat="1" applyFont="1" applyBorder="1" applyAlignment="1">
      <alignment horizontal="center"/>
    </xf>
    <xf numFmtId="49" fontId="21" fillId="3" borderId="2" xfId="4495" applyNumberFormat="1" applyFont="1" applyFill="1" applyBorder="1" applyAlignment="1">
      <alignment horizontal="center" vertical="center" wrapText="1"/>
    </xf>
    <xf numFmtId="49" fontId="21" fillId="3" borderId="2" xfId="4495" applyNumberFormat="1" applyFont="1" applyFill="1" applyBorder="1" applyAlignment="1">
      <alignment horizontal="center" vertical="center"/>
    </xf>
    <xf numFmtId="49" fontId="21" fillId="3" borderId="0" xfId="4495" applyNumberFormat="1" applyFont="1" applyFill="1" applyAlignment="1">
      <alignment horizontal="center" vertical="center"/>
    </xf>
    <xf numFmtId="0" fontId="22" fillId="0" borderId="1" xfId="4495" applyFont="1" applyBorder="1" applyAlignment="1">
      <alignment horizontal="center" wrapText="1"/>
    </xf>
    <xf numFmtId="0" fontId="22" fillId="0" borderId="2" xfId="4495" applyFont="1" applyBorder="1" applyAlignment="1">
      <alignment horizontal="center" wrapText="1"/>
    </xf>
    <xf numFmtId="0" fontId="22" fillId="0" borderId="7" xfId="4495" applyFont="1" applyBorder="1" applyAlignment="1">
      <alignment horizontal="center" wrapText="1"/>
    </xf>
    <xf numFmtId="0" fontId="22" fillId="0" borderId="9" xfId="4495" applyFont="1" applyBorder="1" applyAlignment="1">
      <alignment horizontal="center" wrapText="1"/>
    </xf>
    <xf numFmtId="0" fontId="22" fillId="0" borderId="6" xfId="4495" applyFont="1" applyBorder="1" applyAlignment="1">
      <alignment horizontal="center" wrapText="1"/>
    </xf>
    <xf numFmtId="0" fontId="22" fillId="0" borderId="10" xfId="4495" applyFont="1" applyBorder="1" applyAlignment="1">
      <alignment horizontal="center" wrapText="1"/>
    </xf>
    <xf numFmtId="0" fontId="22" fillId="0" borderId="0" xfId="4495" applyFont="1" applyAlignment="1">
      <alignment horizontal="center" vertical="top"/>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5" borderId="50" xfId="4495" applyFill="1" applyBorder="1" applyAlignment="1">
      <alignment horizontal="center"/>
    </xf>
    <xf numFmtId="0" fontId="119" fillId="5" borderId="51" xfId="4495" applyFill="1" applyBorder="1" applyAlignment="1">
      <alignment horizontal="center"/>
    </xf>
    <xf numFmtId="0" fontId="119" fillId="0" borderId="53" xfId="4495" applyBorder="1" applyAlignment="1">
      <alignment horizontal="center"/>
    </xf>
    <xf numFmtId="0" fontId="119" fillId="0" borderId="0" xfId="4495" applyAlignment="1">
      <alignment horizontal="center"/>
    </xf>
    <xf numFmtId="0" fontId="23" fillId="5" borderId="0" xfId="4495" applyFont="1" applyFill="1" applyAlignment="1">
      <alignment horizontal="left" vertical="top"/>
    </xf>
    <xf numFmtId="0" fontId="119" fillId="5" borderId="53" xfId="4495" applyFill="1" applyBorder="1" applyAlignment="1">
      <alignment horizontal="center"/>
    </xf>
    <xf numFmtId="0" fontId="119" fillId="5" borderId="0" xfId="4495" applyFill="1" applyAlignment="1">
      <alignment horizontal="center"/>
    </xf>
    <xf numFmtId="0" fontId="23" fillId="0" borderId="58" xfId="4495" applyFont="1" applyBorder="1" applyAlignment="1">
      <alignment horizontal="left" vertical="top" wrapText="1"/>
    </xf>
    <xf numFmtId="0" fontId="23"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3" fillId="5" borderId="58" xfId="4495" applyNumberFormat="1" applyFont="1" applyFill="1" applyBorder="1" applyAlignment="1">
      <alignment horizontal="left"/>
    </xf>
    <xf numFmtId="0" fontId="119" fillId="5" borderId="55" xfId="4495" applyFill="1" applyBorder="1" applyAlignment="1">
      <alignment horizontal="center"/>
    </xf>
    <xf numFmtId="0" fontId="119" fillId="5" borderId="6" xfId="4495" applyFill="1" applyBorder="1" applyAlignment="1">
      <alignment horizontal="center"/>
    </xf>
    <xf numFmtId="0" fontId="23" fillId="5" borderId="0" xfId="4495" applyFont="1" applyFill="1" applyAlignment="1">
      <alignment horizontal="left" vertical="top" wrapText="1"/>
    </xf>
    <xf numFmtId="0" fontId="23" fillId="5" borderId="58" xfId="4495" applyFont="1" applyFill="1" applyBorder="1" applyAlignment="1">
      <alignment horizontal="left" vertical="top" wrapText="1"/>
    </xf>
    <xf numFmtId="0" fontId="23"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2" fillId="0" borderId="51" xfId="4495" applyFont="1" applyBorder="1" applyAlignment="1">
      <alignment horizontal="center" vertical="top"/>
    </xf>
    <xf numFmtId="0" fontId="22" fillId="0" borderId="52" xfId="4495" applyFont="1" applyBorder="1" applyAlignment="1">
      <alignment horizontal="center" vertical="top"/>
    </xf>
    <xf numFmtId="0" fontId="52" fillId="0" borderId="51" xfId="4495" applyFont="1" applyBorder="1" applyAlignment="1">
      <alignment horizontal="left" wrapText="1"/>
    </xf>
    <xf numFmtId="0" fontId="52" fillId="0" borderId="0" xfId="4495" applyFont="1" applyAlignment="1">
      <alignment horizontal="left" wrapText="1"/>
    </xf>
    <xf numFmtId="0" fontId="22" fillId="0" borderId="54" xfId="4495" applyFont="1" applyBorder="1" applyAlignment="1">
      <alignment horizontal="center" vertical="top"/>
    </xf>
    <xf numFmtId="0" fontId="129" fillId="0" borderId="0" xfId="4495" applyFont="1" applyAlignment="1">
      <alignment horizontal="left" vertical="center" wrapText="1"/>
    </xf>
    <xf numFmtId="0" fontId="22" fillId="0" borderId="0" xfId="4495" applyFont="1" applyAlignment="1">
      <alignment horizontal="left" vertical="top" wrapText="1"/>
    </xf>
    <xf numFmtId="0" fontId="15" fillId="0" borderId="0" xfId="4495" applyFont="1" applyAlignment="1">
      <alignment horizontal="left" vertical="top" wrapText="1" shrinkToFit="1"/>
    </xf>
    <xf numFmtId="44" fontId="15" fillId="0" borderId="0" xfId="707" applyFont="1" applyFill="1" applyBorder="1" applyAlignment="1" applyProtection="1">
      <alignment horizontal="left" vertical="top" wrapText="1"/>
    </xf>
    <xf numFmtId="0" fontId="15" fillId="0" borderId="0" xfId="4495" applyFont="1" applyAlignment="1">
      <alignment wrapText="1"/>
    </xf>
    <xf numFmtId="0" fontId="15" fillId="5" borderId="6" xfId="4495" applyFont="1" applyFill="1" applyBorder="1" applyAlignment="1" applyProtection="1">
      <alignment horizontal="center"/>
      <protection locked="0"/>
    </xf>
    <xf numFmtId="0" fontId="15" fillId="0" borderId="0" xfId="4495" applyFont="1" applyAlignment="1">
      <alignment horizontal="left" vertical="center" wrapText="1" shrinkToFit="1"/>
    </xf>
    <xf numFmtId="0" fontId="15" fillId="5" borderId="6" xfId="4495" applyFont="1" applyFill="1" applyBorder="1" applyAlignment="1" applyProtection="1">
      <alignment horizontal="left" wrapText="1" shrinkToFit="1"/>
      <protection locked="0"/>
    </xf>
    <xf numFmtId="0" fontId="15" fillId="43" borderId="6" xfId="1192" applyFill="1" applyBorder="1" applyAlignment="1" applyProtection="1">
      <alignment horizontal="left" vertical="top"/>
      <protection locked="0"/>
    </xf>
    <xf numFmtId="0" fontId="174" fillId="0" borderId="0" xfId="0" applyFont="1" applyAlignment="1" applyProtection="1">
      <alignment horizontal="left"/>
      <protection locked="0"/>
    </xf>
    <xf numFmtId="168" fontId="171" fillId="0" borderId="0" xfId="0" applyNumberFormat="1" applyFont="1" applyAlignment="1">
      <alignment horizontal="center" vertical="top" wrapText="1"/>
    </xf>
    <xf numFmtId="168" fontId="171" fillId="0" borderId="12" xfId="0" applyNumberFormat="1" applyFont="1" applyBorder="1" applyAlignment="1">
      <alignment horizontal="center" vertical="top" wrapText="1"/>
    </xf>
    <xf numFmtId="0" fontId="15" fillId="0" borderId="50" xfId="4495" applyFont="1" applyBorder="1" applyAlignment="1">
      <alignment horizontal="left" vertical="center" wrapText="1"/>
    </xf>
    <xf numFmtId="0" fontId="15" fillId="0" borderId="51" xfId="4495" applyFont="1" applyBorder="1" applyAlignment="1">
      <alignment horizontal="left" vertical="center" wrapText="1"/>
    </xf>
    <xf numFmtId="0" fontId="15" fillId="0" borderId="52" xfId="4495" applyFont="1" applyBorder="1" applyAlignment="1">
      <alignment horizontal="left" vertical="center" wrapText="1"/>
    </xf>
    <xf numFmtId="0" fontId="15" fillId="0" borderId="53" xfId="4495" applyFont="1" applyBorder="1" applyAlignment="1">
      <alignment horizontal="left" vertical="center" wrapText="1"/>
    </xf>
    <xf numFmtId="0" fontId="15" fillId="0" borderId="0" xfId="4495" applyFont="1" applyAlignment="1">
      <alignment horizontal="left" vertical="center" wrapText="1"/>
    </xf>
    <xf numFmtId="0" fontId="15" fillId="0" borderId="54" xfId="4495" applyFont="1" applyBorder="1" applyAlignment="1">
      <alignment horizontal="left" vertical="center" wrapText="1"/>
    </xf>
    <xf numFmtId="0" fontId="15" fillId="43" borderId="53" xfId="4495" applyFont="1" applyFill="1" applyBorder="1" applyAlignment="1" applyProtection="1">
      <alignment vertical="top" wrapText="1"/>
      <protection locked="0"/>
    </xf>
    <xf numFmtId="0" fontId="15" fillId="43" borderId="0" xfId="4495" applyFont="1" applyFill="1" applyAlignment="1" applyProtection="1">
      <alignment vertical="top" wrapText="1"/>
      <protection locked="0"/>
    </xf>
    <xf numFmtId="0" fontId="15" fillId="43" borderId="54" xfId="4495" applyFont="1" applyFill="1" applyBorder="1" applyAlignment="1" applyProtection="1">
      <alignment vertical="top" wrapText="1"/>
      <protection locked="0"/>
    </xf>
    <xf numFmtId="0" fontId="15" fillId="43" borderId="55" xfId="4495" applyFont="1" applyFill="1" applyBorder="1" applyAlignment="1" applyProtection="1">
      <alignment vertical="top" wrapText="1"/>
      <protection locked="0"/>
    </xf>
    <xf numFmtId="0" fontId="15" fillId="43" borderId="6" xfId="4495" applyFont="1" applyFill="1" applyBorder="1" applyAlignment="1" applyProtection="1">
      <alignment vertical="top" wrapText="1"/>
      <protection locked="0"/>
    </xf>
    <xf numFmtId="0" fontId="15" fillId="43" borderId="56" xfId="4495" applyFont="1" applyFill="1" applyBorder="1" applyAlignment="1" applyProtection="1">
      <alignment vertical="top" wrapText="1"/>
      <protection locked="0"/>
    </xf>
    <xf numFmtId="0" fontId="15" fillId="43" borderId="0" xfId="4495" applyFont="1" applyFill="1" applyAlignment="1" applyProtection="1">
      <alignment horizontal="left" vertical="center" wrapText="1"/>
      <protection locked="0"/>
    </xf>
    <xf numFmtId="0" fontId="15" fillId="43" borderId="54" xfId="4495" applyFont="1" applyFill="1" applyBorder="1" applyAlignment="1" applyProtection="1">
      <alignment horizontal="left" vertical="center" wrapText="1"/>
      <protection locked="0"/>
    </xf>
    <xf numFmtId="0" fontId="15" fillId="43" borderId="6" xfId="4495" applyFont="1" applyFill="1" applyBorder="1" applyAlignment="1" applyProtection="1">
      <alignment horizontal="left" vertical="center" wrapText="1"/>
      <protection locked="0"/>
    </xf>
    <xf numFmtId="0" fontId="15"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5" fillId="0" borderId="59" xfId="4495" applyFont="1" applyBorder="1" applyAlignment="1">
      <alignment horizontal="left" vertical="top" wrapText="1"/>
    </xf>
    <xf numFmtId="0" fontId="15" fillId="0" borderId="4" xfId="4496" applyFont="1" applyBorder="1" applyAlignment="1">
      <alignment horizontal="center"/>
    </xf>
    <xf numFmtId="0" fontId="15" fillId="0" borderId="5" xfId="4496" applyFont="1" applyBorder="1" applyAlignment="1">
      <alignment horizontal="center"/>
    </xf>
    <xf numFmtId="0" fontId="15" fillId="0" borderId="50" xfId="4495" applyFont="1" applyBorder="1" applyAlignment="1">
      <alignment horizontal="left" vertical="top" wrapText="1"/>
    </xf>
    <xf numFmtId="0" fontId="15" fillId="0" borderId="51" xfId="4495" applyFont="1" applyBorder="1" applyAlignment="1">
      <alignment horizontal="left" vertical="top" wrapText="1"/>
    </xf>
    <xf numFmtId="0" fontId="15" fillId="0" borderId="52" xfId="4495" applyFont="1" applyBorder="1" applyAlignment="1">
      <alignment horizontal="left" vertical="top" wrapText="1"/>
    </xf>
    <xf numFmtId="0" fontId="22" fillId="0" borderId="0" xfId="4495" applyFont="1"/>
    <xf numFmtId="0" fontId="15" fillId="0" borderId="57" xfId="4495" applyFont="1" applyBorder="1" applyAlignment="1">
      <alignment horizontal="left" vertical="center" wrapText="1"/>
    </xf>
    <xf numFmtId="0" fontId="15" fillId="0" borderId="58" xfId="4495" applyFont="1" applyBorder="1" applyAlignment="1">
      <alignment horizontal="left" vertical="center" wrapText="1"/>
    </xf>
    <xf numFmtId="0" fontId="15" fillId="0" borderId="59" xfId="4495" applyFont="1" applyBorder="1" applyAlignment="1">
      <alignment horizontal="left" vertical="center" wrapText="1"/>
    </xf>
    <xf numFmtId="0" fontId="22" fillId="0" borderId="0" xfId="4495" applyFont="1" applyAlignment="1">
      <alignment horizontal="left" vertical="top"/>
    </xf>
    <xf numFmtId="0" fontId="119" fillId="0" borderId="0" xfId="4495" applyAlignment="1" applyProtection="1">
      <alignment horizontal="center"/>
      <protection locked="0"/>
    </xf>
    <xf numFmtId="9" fontId="15" fillId="0" borderId="4" xfId="543" applyNumberFormat="1" applyBorder="1" applyAlignment="1">
      <alignment horizontal="center"/>
    </xf>
    <xf numFmtId="168" fontId="15" fillId="0" borderId="6" xfId="4495" applyNumberFormat="1" applyFont="1" applyBorder="1" applyAlignment="1">
      <alignment horizontal="right"/>
    </xf>
    <xf numFmtId="168" fontId="117" fillId="0" borderId="6" xfId="4495" applyNumberFormat="1" applyFont="1" applyBorder="1" applyAlignment="1">
      <alignment horizontal="right"/>
    </xf>
    <xf numFmtId="168" fontId="15" fillId="43" borderId="6" xfId="4495" applyNumberFormat="1" applyFont="1" applyFill="1" applyBorder="1" applyAlignment="1" applyProtection="1">
      <alignment horizontal="right"/>
      <protection locked="0"/>
    </xf>
    <xf numFmtId="6" fontId="15" fillId="0" borderId="3" xfId="1192" applyNumberFormat="1" applyBorder="1" applyAlignment="1">
      <alignment horizontal="right"/>
    </xf>
    <xf numFmtId="6" fontId="15" fillId="0" borderId="4" xfId="1192" applyNumberFormat="1" applyBorder="1" applyAlignment="1">
      <alignment horizontal="right"/>
    </xf>
    <xf numFmtId="6" fontId="15" fillId="0" borderId="5" xfId="1192" applyNumberFormat="1" applyBorder="1" applyAlignment="1">
      <alignment horizontal="right"/>
    </xf>
    <xf numFmtId="168" fontId="15" fillId="0" borderId="4" xfId="4495" applyNumberFormat="1" applyFont="1" applyBorder="1" applyAlignment="1">
      <alignment horizontal="right"/>
    </xf>
    <xf numFmtId="165" fontId="15" fillId="43" borderId="3" xfId="4495" applyNumberFormat="1" applyFont="1" applyFill="1" applyBorder="1" applyAlignment="1" applyProtection="1">
      <alignment horizontal="center"/>
      <protection locked="0"/>
    </xf>
    <xf numFmtId="165" fontId="15" fillId="43" borderId="4" xfId="4495" applyNumberFormat="1" applyFont="1" applyFill="1" applyBorder="1" applyAlignment="1" applyProtection="1">
      <alignment horizontal="center"/>
      <protection locked="0"/>
    </xf>
    <xf numFmtId="165" fontId="15" fillId="43" borderId="5" xfId="4495" applyNumberFormat="1" applyFont="1" applyFill="1" applyBorder="1" applyAlignment="1" applyProtection="1">
      <alignment horizontal="center"/>
      <protection locked="0"/>
    </xf>
    <xf numFmtId="165" fontId="15" fillId="0" borderId="6" xfId="1192" applyNumberFormat="1" applyBorder="1" applyAlignment="1">
      <alignment horizontal="right"/>
    </xf>
    <xf numFmtId="168" fontId="15" fillId="0" borderId="2" xfId="1192" applyNumberFormat="1" applyBorder="1" applyAlignment="1">
      <alignment horizontal="right"/>
    </xf>
    <xf numFmtId="0" fontId="15" fillId="5" borderId="6" xfId="1192" applyFill="1" applyBorder="1" applyAlignment="1" applyProtection="1">
      <alignment horizontal="left"/>
      <protection locked="0"/>
    </xf>
    <xf numFmtId="165" fontId="15" fillId="0" borderId="0" xfId="1192" applyNumberFormat="1" applyAlignment="1">
      <alignment horizontal="right"/>
    </xf>
    <xf numFmtId="2" fontId="15" fillId="0" borderId="0" xfId="1192" applyNumberFormat="1" applyAlignment="1">
      <alignment horizontal="right"/>
    </xf>
    <xf numFmtId="1" fontId="15" fillId="0" borderId="3" xfId="4495" applyNumberFormat="1" applyFont="1" applyBorder="1" applyAlignment="1">
      <alignment horizontal="center"/>
    </xf>
    <xf numFmtId="1" fontId="15" fillId="0" borderId="4" xfId="4495" applyNumberFormat="1" applyFont="1" applyBorder="1" applyAlignment="1">
      <alignment horizontal="center"/>
    </xf>
    <xf numFmtId="1" fontId="15" fillId="0" borderId="5" xfId="4495" applyNumberFormat="1" applyFont="1" applyBorder="1" applyAlignment="1">
      <alignment horizontal="center"/>
    </xf>
    <xf numFmtId="0" fontId="23" fillId="5" borderId="6" xfId="4495" applyFont="1" applyFill="1" applyBorder="1" applyAlignment="1" applyProtection="1">
      <alignment horizontal="left"/>
      <protection locked="0"/>
    </xf>
    <xf numFmtId="0" fontId="15" fillId="0" borderId="0" xfId="4495" applyFont="1" applyAlignment="1">
      <alignment horizontal="left"/>
    </xf>
    <xf numFmtId="0" fontId="15"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5" fillId="0" borderId="0" xfId="1192" applyAlignment="1">
      <alignment horizontal="right"/>
    </xf>
    <xf numFmtId="9" fontId="15" fillId="0" borderId="6" xfId="1192" applyNumberFormat="1" applyBorder="1" applyAlignment="1">
      <alignment horizontal="center"/>
    </xf>
    <xf numFmtId="9" fontId="15" fillId="0" borderId="6" xfId="1192" quotePrefix="1" applyNumberFormat="1" applyBorder="1" applyAlignment="1">
      <alignment horizontal="center"/>
    </xf>
    <xf numFmtId="9" fontId="15" fillId="0" borderId="0" xfId="1192" quotePrefix="1" applyNumberFormat="1" applyAlignment="1">
      <alignment horizontal="center"/>
    </xf>
    <xf numFmtId="1" fontId="15" fillId="5" borderId="4" xfId="1192" applyNumberFormat="1" applyFill="1" applyBorder="1" applyAlignment="1" applyProtection="1">
      <alignment horizontal="center"/>
      <protection locked="0"/>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1" fillId="3" borderId="2" xfId="4495" applyFont="1" applyFill="1" applyBorder="1" applyAlignment="1">
      <alignment horizontal="center" vertical="center"/>
    </xf>
    <xf numFmtId="0" fontId="21" fillId="3" borderId="16" xfId="4495" applyFont="1" applyFill="1" applyBorder="1" applyAlignment="1">
      <alignment horizontal="center" vertical="center"/>
    </xf>
    <xf numFmtId="0" fontId="22" fillId="0" borderId="48" xfId="4495" applyFont="1" applyBorder="1" applyAlignment="1">
      <alignment horizontal="left" vertical="top"/>
    </xf>
    <xf numFmtId="0" fontId="22" fillId="0" borderId="49" xfId="4495" applyFont="1" applyBorder="1" applyAlignment="1">
      <alignment horizontal="left" vertical="top"/>
    </xf>
    <xf numFmtId="0" fontId="15" fillId="0" borderId="50" xfId="4495" applyFont="1" applyBorder="1" applyAlignment="1">
      <alignment vertical="center" wrapText="1"/>
    </xf>
    <xf numFmtId="0" fontId="15" fillId="0" borderId="51" xfId="4495" applyFont="1" applyBorder="1" applyAlignment="1">
      <alignment vertical="center" wrapText="1"/>
    </xf>
    <xf numFmtId="0" fontId="15" fillId="0" borderId="52" xfId="4495" applyFont="1" applyBorder="1" applyAlignment="1">
      <alignment vertical="center" wrapText="1"/>
    </xf>
    <xf numFmtId="0" fontId="15" fillId="0" borderId="57" xfId="4495" applyFont="1" applyBorder="1" applyAlignment="1">
      <alignment vertical="center" wrapText="1"/>
    </xf>
    <xf numFmtId="0" fontId="15" fillId="0" borderId="58" xfId="4495" applyFont="1" applyBorder="1" applyAlignment="1">
      <alignment vertical="center" wrapText="1"/>
    </xf>
    <xf numFmtId="0" fontId="15"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168" fontId="97" fillId="0" borderId="84" xfId="4499" applyNumberFormat="1" applyFont="1" applyFill="1" applyBorder="1" applyAlignment="1" applyProtection="1">
      <alignment horizontal="left" vertical="center" indent="1"/>
    </xf>
    <xf numFmtId="168" fontId="97" fillId="0" borderId="83" xfId="4499" applyNumberFormat="1" applyFont="1" applyFill="1" applyBorder="1" applyAlignment="1" applyProtection="1">
      <alignment horizontal="left" vertical="center" indent="1"/>
    </xf>
    <xf numFmtId="0" fontId="97" fillId="0" borderId="11" xfId="4496" applyFont="1" applyBorder="1" applyAlignment="1">
      <alignment horizontal="left" indent="1"/>
    </xf>
    <xf numFmtId="0" fontId="97" fillId="0" borderId="15" xfId="4496" applyFont="1" applyBorder="1" applyAlignment="1">
      <alignment horizontal="left" indent="1"/>
    </xf>
    <xf numFmtId="0" fontId="136" fillId="0" borderId="71" xfId="4496" applyFont="1" applyBorder="1" applyAlignment="1">
      <alignment horizontal="left" indent="1"/>
    </xf>
    <xf numFmtId="168" fontId="97" fillId="0" borderId="11" xfId="4499" applyNumberFormat="1" applyFont="1" applyFill="1" applyBorder="1" applyAlignment="1" applyProtection="1">
      <alignment horizontal="left" vertical="center" indent="1"/>
    </xf>
    <xf numFmtId="168" fontId="97" fillId="0" borderId="13" xfId="4499" applyNumberFormat="1" applyFont="1" applyFill="1" applyBorder="1" applyAlignment="1" applyProtection="1">
      <alignment horizontal="left" vertical="center" indent="1"/>
    </xf>
    <xf numFmtId="49" fontId="135" fillId="3" borderId="0" xfId="1192" applyNumberFormat="1" applyFont="1" applyFill="1" applyAlignment="1">
      <alignment horizontal="center" vertical="center"/>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136" fillId="0" borderId="90" xfId="4496" applyFont="1" applyBorder="1" applyAlignment="1">
      <alignment horizontal="center" vertical="top" wrapText="1"/>
    </xf>
    <xf numFmtId="0" fontId="136" fillId="0" borderId="89" xfId="4496" applyFont="1" applyBorder="1" applyAlignment="1">
      <alignment horizontal="center" vertical="top" wrapText="1"/>
    </xf>
    <xf numFmtId="0" fontId="97" fillId="0" borderId="71" xfId="4496" applyFont="1" applyBorder="1"/>
    <xf numFmtId="0" fontId="97" fillId="0" borderId="74" xfId="4496" applyFont="1" applyBorder="1"/>
    <xf numFmtId="0" fontId="97" fillId="0" borderId="11" xfId="4496" applyFont="1" applyBorder="1"/>
    <xf numFmtId="0" fontId="97" fillId="0" borderId="91" xfId="4496" applyFont="1" applyBorder="1"/>
    <xf numFmtId="0" fontId="97" fillId="0" borderId="80" xfId="4496" applyFont="1" applyBorder="1" applyAlignment="1">
      <alignment horizontal="right"/>
    </xf>
    <xf numFmtId="0" fontId="97" fillId="0" borderId="11" xfId="4496" applyFont="1" applyBorder="1" applyAlignment="1">
      <alignment horizontal="right"/>
    </xf>
    <xf numFmtId="0" fontId="97" fillId="0" borderId="72" xfId="4496" applyFont="1" applyBorder="1" applyAlignment="1">
      <alignment horizontal="right"/>
    </xf>
    <xf numFmtId="0" fontId="97" fillId="0" borderId="73" xfId="4496" applyFont="1" applyBorder="1" applyAlignment="1">
      <alignment horizontal="right"/>
    </xf>
    <xf numFmtId="0" fontId="97" fillId="0" borderId="73" xfId="4496" applyFont="1" applyBorder="1"/>
    <xf numFmtId="0" fontId="97" fillId="0" borderId="93" xfId="4496" applyFont="1" applyBorder="1"/>
    <xf numFmtId="0" fontId="97" fillId="0" borderId="70" xfId="4496" applyFont="1" applyBorder="1" applyAlignment="1">
      <alignment horizontal="right"/>
    </xf>
    <xf numFmtId="0" fontId="97" fillId="0" borderId="71" xfId="4496" applyFont="1" applyBorder="1" applyAlignment="1">
      <alignment horizontal="right"/>
    </xf>
    <xf numFmtId="0" fontId="148" fillId="45" borderId="72" xfId="8726" applyFont="1" applyFill="1" applyBorder="1" applyAlignment="1">
      <alignment horizontal="center"/>
    </xf>
    <xf numFmtId="0" fontId="148" fillId="45" borderId="73" xfId="8726" applyFont="1" applyFill="1" applyBorder="1" applyAlignment="1">
      <alignment horizontal="center"/>
    </xf>
    <xf numFmtId="0" fontId="3" fillId="49" borderId="73" xfId="8726" applyFill="1" applyBorder="1" applyAlignment="1" applyProtection="1">
      <alignment horizontal="center"/>
      <protection locked="0"/>
    </xf>
    <xf numFmtId="0" fontId="3" fillId="49" borderId="93" xfId="8726" applyFill="1" applyBorder="1" applyAlignment="1" applyProtection="1">
      <alignment horizontal="center"/>
      <protection locked="0"/>
    </xf>
    <xf numFmtId="0" fontId="3" fillId="49" borderId="11" xfId="8726" applyFill="1" applyBorder="1" applyAlignment="1" applyProtection="1">
      <alignment horizontal="center"/>
      <protection locked="0"/>
    </xf>
    <xf numFmtId="0" fontId="3" fillId="49" borderId="91" xfId="8726" applyFill="1" applyBorder="1" applyAlignment="1" applyProtection="1">
      <alignment horizontal="center"/>
      <protection locked="0"/>
    </xf>
    <xf numFmtId="0" fontId="148" fillId="45" borderId="80" xfId="8726" applyFont="1" applyFill="1" applyBorder="1" applyAlignment="1">
      <alignment horizontal="center"/>
    </xf>
    <xf numFmtId="0" fontId="148" fillId="45" borderId="11" xfId="8726" applyFont="1" applyFill="1" applyBorder="1" applyAlignment="1">
      <alignment horizontal="center"/>
    </xf>
    <xf numFmtId="0" fontId="148" fillId="45" borderId="11" xfId="8726" applyFont="1" applyFill="1" applyBorder="1" applyAlignment="1">
      <alignment horizontal="center" wrapText="1"/>
    </xf>
    <xf numFmtId="0" fontId="149" fillId="45" borderId="11" xfId="8726" applyFont="1" applyFill="1" applyBorder="1" applyAlignment="1">
      <alignment horizontal="center"/>
    </xf>
    <xf numFmtId="0" fontId="149" fillId="45" borderId="91" xfId="8726" applyFont="1" applyFill="1" applyBorder="1" applyAlignment="1">
      <alignment horizontal="center"/>
    </xf>
    <xf numFmtId="0" fontId="101" fillId="45" borderId="70" xfId="8726" applyFont="1" applyFill="1" applyBorder="1" applyAlignment="1">
      <alignment horizontal="center"/>
    </xf>
    <xf numFmtId="0" fontId="101" fillId="45" borderId="71" xfId="8726" applyFont="1" applyFill="1" applyBorder="1" applyAlignment="1">
      <alignment horizontal="center"/>
    </xf>
    <xf numFmtId="0" fontId="101" fillId="45" borderId="74" xfId="8726" applyFont="1" applyFill="1" applyBorder="1" applyAlignment="1">
      <alignment horizontal="center"/>
    </xf>
    <xf numFmtId="0" fontId="101" fillId="45" borderId="70" xfId="8726" applyFont="1" applyFill="1" applyBorder="1" applyAlignment="1">
      <alignment horizontal="left" wrapText="1"/>
    </xf>
    <xf numFmtId="0" fontId="101" fillId="45" borderId="71" xfId="8726" applyFont="1" applyFill="1" applyBorder="1" applyAlignment="1">
      <alignment horizontal="left" wrapText="1"/>
    </xf>
    <xf numFmtId="0" fontId="101" fillId="45" borderId="80" xfId="8726" applyFont="1" applyFill="1" applyBorder="1" applyAlignment="1">
      <alignment horizontal="left" wrapText="1"/>
    </xf>
    <xf numFmtId="0" fontId="101" fillId="45" borderId="11" xfId="8726" applyFont="1" applyFill="1" applyBorder="1" applyAlignment="1">
      <alignment horizontal="left" wrapText="1"/>
    </xf>
    <xf numFmtId="0" fontId="162" fillId="49" borderId="80" xfId="8726" applyFont="1" applyFill="1" applyBorder="1" applyAlignment="1">
      <alignment horizontal="left" vertical="top"/>
    </xf>
    <xf numFmtId="0" fontId="162" fillId="49" borderId="11" xfId="8726" applyFont="1" applyFill="1" applyBorder="1" applyAlignment="1">
      <alignment horizontal="left" vertical="top"/>
    </xf>
    <xf numFmtId="0" fontId="162" fillId="49" borderId="91" xfId="8726" applyFont="1" applyFill="1" applyBorder="1" applyAlignment="1">
      <alignment horizontal="left" vertical="top"/>
    </xf>
    <xf numFmtId="0" fontId="162" fillId="49" borderId="72" xfId="8726" applyFont="1" applyFill="1" applyBorder="1" applyAlignment="1">
      <alignment horizontal="left" vertical="top"/>
    </xf>
    <xf numFmtId="0" fontId="162" fillId="49" borderId="73" xfId="8726" applyFont="1" applyFill="1" applyBorder="1" applyAlignment="1">
      <alignment horizontal="left" vertical="top"/>
    </xf>
    <xf numFmtId="0" fontId="162" fillId="49" borderId="93" xfId="8726" applyFont="1" applyFill="1" applyBorder="1" applyAlignment="1">
      <alignment horizontal="left" vertical="top"/>
    </xf>
    <xf numFmtId="10" fontId="3" fillId="49" borderId="84" xfId="8726" applyNumberFormat="1" applyFill="1" applyBorder="1" applyAlignment="1" applyProtection="1">
      <alignment horizontal="center"/>
      <protection locked="0"/>
    </xf>
    <xf numFmtId="10" fontId="3" fillId="49" borderId="82" xfId="8726" applyNumberFormat="1" applyFill="1" applyBorder="1" applyAlignment="1" applyProtection="1">
      <alignment horizontal="center"/>
      <protection locked="0"/>
    </xf>
    <xf numFmtId="10" fontId="3" fillId="49" borderId="85" xfId="8726" applyNumberFormat="1" applyFill="1" applyBorder="1" applyAlignment="1" applyProtection="1">
      <alignment horizontal="center"/>
      <protection locked="0"/>
    </xf>
    <xf numFmtId="0" fontId="3" fillId="49" borderId="3" xfId="8726" applyFill="1" applyBorder="1" applyAlignment="1" applyProtection="1">
      <alignment horizontal="center"/>
      <protection locked="0"/>
    </xf>
    <xf numFmtId="0" fontId="3" fillId="49" borderId="4" xfId="8726" applyFill="1" applyBorder="1" applyAlignment="1" applyProtection="1">
      <alignment horizontal="center"/>
      <protection locked="0"/>
    </xf>
    <xf numFmtId="0" fontId="3" fillId="49" borderId="79" xfId="8726" applyFill="1" applyBorder="1" applyAlignment="1" applyProtection="1">
      <alignment horizontal="center"/>
      <protection locked="0"/>
    </xf>
    <xf numFmtId="0" fontId="147" fillId="49" borderId="3" xfId="8726" applyFont="1" applyFill="1" applyBorder="1" applyAlignment="1" applyProtection="1">
      <alignment horizontal="center"/>
      <protection locked="0"/>
    </xf>
    <xf numFmtId="0" fontId="147" fillId="49" borderId="4" xfId="8726" applyFont="1" applyFill="1" applyBorder="1" applyAlignment="1" applyProtection="1">
      <alignment horizontal="center"/>
      <protection locked="0"/>
    </xf>
    <xf numFmtId="0" fontId="147" fillId="49" borderId="79" xfId="8726" applyFont="1" applyFill="1" applyBorder="1" applyAlignment="1" applyProtection="1">
      <alignment horizontal="center"/>
      <protection locked="0"/>
    </xf>
    <xf numFmtId="10" fontId="3" fillId="0" borderId="84" xfId="8726" applyNumberFormat="1" applyBorder="1" applyAlignment="1">
      <alignment horizontal="center"/>
    </xf>
    <xf numFmtId="10" fontId="3" fillId="0" borderId="82" xfId="8726" applyNumberFormat="1" applyBorder="1" applyAlignment="1">
      <alignment horizontal="center"/>
    </xf>
    <xf numFmtId="10" fontId="3" fillId="0" borderId="85" xfId="8726" applyNumberFormat="1" applyBorder="1" applyAlignment="1">
      <alignment horizontal="center"/>
    </xf>
    <xf numFmtId="0" fontId="147" fillId="49" borderId="71" xfId="8726" applyFont="1" applyFill="1" applyBorder="1" applyAlignment="1" applyProtection="1">
      <alignment horizontal="left" wrapText="1"/>
      <protection locked="0"/>
    </xf>
    <xf numFmtId="0" fontId="147" fillId="49" borderId="74" xfId="8726" applyFont="1" applyFill="1" applyBorder="1" applyAlignment="1" applyProtection="1">
      <alignment horizontal="left" wrapText="1"/>
      <protection locked="0"/>
    </xf>
    <xf numFmtId="0" fontId="147" fillId="49" borderId="11" xfId="8726" applyFont="1" applyFill="1" applyBorder="1" applyAlignment="1" applyProtection="1">
      <alignment horizontal="left" wrapText="1"/>
      <protection locked="0"/>
    </xf>
    <xf numFmtId="0" fontId="147" fillId="49" borderId="91" xfId="8726" applyFont="1" applyFill="1" applyBorder="1" applyAlignment="1" applyProtection="1">
      <alignment horizontal="left" wrapText="1"/>
      <protection locked="0"/>
    </xf>
    <xf numFmtId="168" fontId="164" fillId="49" borderId="11" xfId="700" applyNumberFormat="1" applyFont="1" applyFill="1" applyBorder="1" applyAlignment="1" applyProtection="1">
      <alignment horizontal="left"/>
      <protection locked="0"/>
    </xf>
    <xf numFmtId="168" fontId="164" fillId="49" borderId="91" xfId="700" applyNumberFormat="1" applyFont="1" applyFill="1" applyBorder="1" applyAlignment="1" applyProtection="1">
      <alignment horizontal="left"/>
      <protection locked="0"/>
    </xf>
    <xf numFmtId="0" fontId="145" fillId="45" borderId="95" xfId="8726" applyFont="1" applyFill="1" applyBorder="1" applyAlignment="1">
      <alignment horizontal="center"/>
    </xf>
    <xf numFmtId="0" fontId="145" fillId="45" borderId="13" xfId="8726" applyFont="1" applyFill="1" applyBorder="1" applyAlignment="1">
      <alignment horizontal="center"/>
    </xf>
    <xf numFmtId="0" fontId="145" fillId="45" borderId="71" xfId="8726" applyFont="1" applyFill="1" applyBorder="1" applyAlignment="1">
      <alignment horizontal="center"/>
    </xf>
    <xf numFmtId="0" fontId="145" fillId="45" borderId="74"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168" fontId="145" fillId="45" borderId="43" xfId="8726" applyNumberFormat="1" applyFont="1" applyFill="1" applyBorder="1" applyAlignment="1">
      <alignment horizontal="left"/>
    </xf>
    <xf numFmtId="168" fontId="145" fillId="45" borderId="96" xfId="8726" applyNumberFormat="1" applyFont="1" applyFill="1" applyBorder="1" applyAlignment="1">
      <alignment horizontal="left"/>
    </xf>
    <xf numFmtId="0" fontId="160" fillId="45" borderId="11" xfId="8726" applyFont="1" applyFill="1" applyBorder="1" applyAlignment="1">
      <alignment horizontal="right"/>
    </xf>
    <xf numFmtId="14" fontId="147" fillId="49" borderId="11" xfId="8726" applyNumberFormat="1" applyFont="1" applyFill="1" applyBorder="1" applyAlignment="1" applyProtection="1">
      <alignment horizontal="center"/>
      <protection locked="0"/>
    </xf>
    <xf numFmtId="0" fontId="147" fillId="49" borderId="11" xfId="8726" applyFont="1" applyFill="1" applyBorder="1" applyAlignment="1" applyProtection="1">
      <alignment horizontal="center"/>
      <protection locked="0"/>
    </xf>
    <xf numFmtId="1" fontId="163" fillId="49" borderId="11" xfId="8726" applyNumberFormat="1" applyFont="1" applyFill="1" applyBorder="1" applyAlignment="1" applyProtection="1">
      <alignment horizontal="center"/>
      <protection locked="0"/>
    </xf>
    <xf numFmtId="1" fontId="163" fillId="49" borderId="3" xfId="8726" applyNumberFormat="1" applyFont="1" applyFill="1" applyBorder="1" applyAlignment="1" applyProtection="1">
      <alignment horizontal="center"/>
      <protection locked="0"/>
    </xf>
    <xf numFmtId="1" fontId="163" fillId="49" borderId="4" xfId="8726" applyNumberFormat="1" applyFont="1" applyFill="1" applyBorder="1" applyAlignment="1" applyProtection="1">
      <alignment horizontal="center"/>
      <protection locked="0"/>
    </xf>
    <xf numFmtId="1" fontId="163" fillId="49" borderId="5" xfId="8726" applyNumberFormat="1" applyFont="1" applyFill="1" applyBorder="1" applyAlignment="1" applyProtection="1">
      <alignment horizontal="center"/>
      <protection locked="0"/>
    </xf>
    <xf numFmtId="1" fontId="149" fillId="44" borderId="3" xfId="8726" applyNumberFormat="1" applyFont="1" applyFill="1" applyBorder="1" applyAlignment="1">
      <alignment horizontal="center"/>
    </xf>
    <xf numFmtId="1" fontId="149" fillId="44" borderId="4" xfId="8726" applyNumberFormat="1" applyFont="1" applyFill="1" applyBorder="1" applyAlignment="1">
      <alignment horizontal="center"/>
    </xf>
    <xf numFmtId="1" fontId="149" fillId="44" borderId="5" xfId="8726" applyNumberFormat="1" applyFont="1" applyFill="1" applyBorder="1" applyAlignment="1">
      <alignment horizontal="center"/>
    </xf>
    <xf numFmtId="0" fontId="3" fillId="49" borderId="1" xfId="8726" applyFill="1" applyBorder="1" applyAlignment="1" applyProtection="1">
      <alignment horizontal="center"/>
      <protection locked="0"/>
    </xf>
    <xf numFmtId="0" fontId="3" fillId="49" borderId="2" xfId="8726" applyFill="1" applyBorder="1" applyAlignment="1" applyProtection="1">
      <alignment horizontal="center"/>
      <protection locked="0"/>
    </xf>
    <xf numFmtId="0" fontId="147" fillId="49" borderId="89" xfId="8726" applyFont="1" applyFill="1" applyBorder="1" applyAlignment="1" applyProtection="1">
      <alignment horizontal="left"/>
      <protection locked="0"/>
    </xf>
    <xf numFmtId="0" fontId="147" fillId="49" borderId="71" xfId="8726" applyFont="1" applyFill="1" applyBorder="1" applyAlignment="1" applyProtection="1">
      <alignment horizontal="left"/>
      <protection locked="0"/>
    </xf>
    <xf numFmtId="0" fontId="147" fillId="49" borderId="74" xfId="8726" applyFont="1" applyFill="1" applyBorder="1" applyAlignment="1" applyProtection="1">
      <alignment horizontal="left"/>
      <protection locked="0"/>
    </xf>
    <xf numFmtId="0" fontId="145" fillId="45" borderId="80" xfId="8726" applyFont="1" applyFill="1" applyBorder="1" applyAlignment="1">
      <alignment horizontal="center"/>
    </xf>
    <xf numFmtId="0" fontId="145" fillId="45" borderId="11" xfId="8726" applyFont="1" applyFill="1" applyBorder="1" applyAlignment="1">
      <alignment horizontal="center"/>
    </xf>
    <xf numFmtId="0" fontId="145" fillId="45" borderId="3" xfId="8726" applyFont="1" applyFill="1" applyBorder="1" applyAlignment="1">
      <alignment horizontal="center"/>
    </xf>
    <xf numFmtId="0" fontId="145" fillId="45" borderId="4" xfId="8726" applyFont="1" applyFill="1" applyBorder="1" applyAlignment="1">
      <alignment horizontal="center"/>
    </xf>
    <xf numFmtId="0" fontId="145" fillId="45" borderId="79" xfId="8726" applyFont="1" applyFill="1" applyBorder="1" applyAlignment="1">
      <alignment horizontal="center"/>
    </xf>
    <xf numFmtId="0" fontId="101" fillId="45" borderId="72" xfId="8726" applyFont="1" applyFill="1" applyBorder="1" applyAlignment="1">
      <alignment horizontal="center"/>
    </xf>
    <xf numFmtId="0" fontId="101" fillId="45" borderId="73" xfId="8726" applyFont="1" applyFill="1" applyBorder="1" applyAlignment="1">
      <alignment horizontal="center"/>
    </xf>
    <xf numFmtId="14" fontId="147" fillId="49" borderId="83" xfId="8726" applyNumberFormat="1" applyFont="1" applyFill="1" applyBorder="1" applyAlignment="1" applyProtection="1">
      <alignment horizontal="center"/>
      <protection locked="0"/>
    </xf>
    <xf numFmtId="0" fontId="147" fillId="49" borderId="73" xfId="8726" applyFont="1" applyFill="1" applyBorder="1" applyAlignment="1" applyProtection="1">
      <alignment horizontal="center"/>
      <protection locked="0"/>
    </xf>
    <xf numFmtId="0" fontId="147" fillId="49" borderId="93" xfId="8726" applyFont="1" applyFill="1" applyBorder="1" applyAlignment="1" applyProtection="1">
      <alignment horizontal="center"/>
      <protection locked="0"/>
    </xf>
    <xf numFmtId="0" fontId="164" fillId="49" borderId="80" xfId="8726" applyFont="1" applyFill="1" applyBorder="1" applyAlignment="1" applyProtection="1">
      <alignment horizontal="right"/>
      <protection locked="0"/>
    </xf>
    <xf numFmtId="0" fontId="164" fillId="49" borderId="11" xfId="8726" applyFont="1" applyFill="1" applyBorder="1" applyAlignment="1" applyProtection="1">
      <alignment horizontal="right"/>
      <protection locked="0"/>
    </xf>
    <xf numFmtId="43" fontId="145" fillId="53" borderId="3" xfId="698" applyFont="1" applyFill="1" applyBorder="1" applyAlignment="1" applyProtection="1">
      <alignment horizontal="center"/>
      <protection hidden="1"/>
    </xf>
    <xf numFmtId="43" fontId="145" fillId="53" borderId="4" xfId="698" applyFont="1" applyFill="1" applyBorder="1" applyAlignment="1" applyProtection="1">
      <alignment horizontal="center"/>
      <protection hidden="1"/>
    </xf>
    <xf numFmtId="43" fontId="145" fillId="53" borderId="79" xfId="698" applyFont="1" applyFill="1" applyBorder="1" applyAlignment="1" applyProtection="1">
      <alignment horizontal="center"/>
      <protection hidden="1"/>
    </xf>
    <xf numFmtId="0" fontId="177" fillId="54" borderId="3" xfId="698" applyNumberFormat="1" applyFont="1" applyFill="1" applyBorder="1" applyAlignment="1" applyProtection="1">
      <alignment horizontal="center"/>
      <protection locked="0"/>
    </xf>
    <xf numFmtId="0" fontId="177" fillId="54" borderId="4" xfId="698" applyNumberFormat="1" applyFont="1" applyFill="1" applyBorder="1" applyAlignment="1" applyProtection="1">
      <alignment horizontal="center"/>
      <protection locked="0"/>
    </xf>
    <xf numFmtId="0" fontId="177" fillId="54" borderId="79" xfId="698" applyNumberFormat="1" applyFont="1" applyFill="1" applyBorder="1" applyAlignment="1" applyProtection="1">
      <alignment horizontal="center"/>
      <protection locked="0"/>
    </xf>
    <xf numFmtId="44" fontId="146" fillId="0" borderId="8" xfId="700" applyFont="1" applyBorder="1" applyAlignment="1" applyProtection="1">
      <alignment horizontal="center" wrapText="1"/>
      <protection hidden="1"/>
    </xf>
    <xf numFmtId="44" fontId="146" fillId="0" borderId="0" xfId="700" applyFont="1" applyBorder="1" applyAlignment="1" applyProtection="1">
      <alignment horizontal="center" wrapText="1"/>
      <protection hidden="1"/>
    </xf>
    <xf numFmtId="44" fontId="146" fillId="0" borderId="12" xfId="700" applyFont="1" applyBorder="1" applyAlignment="1" applyProtection="1">
      <alignment horizontal="center" wrapText="1"/>
      <protection hidden="1"/>
    </xf>
    <xf numFmtId="44" fontId="146" fillId="0" borderId="9" xfId="700" applyFont="1" applyBorder="1" applyAlignment="1" applyProtection="1">
      <alignment horizontal="center" wrapText="1"/>
      <protection hidden="1"/>
    </xf>
    <xf numFmtId="44" fontId="146" fillId="0" borderId="6" xfId="700" applyFont="1" applyBorder="1" applyAlignment="1" applyProtection="1">
      <alignment horizontal="center" wrapText="1"/>
      <protection hidden="1"/>
    </xf>
    <xf numFmtId="44" fontId="146" fillId="0" borderId="10" xfId="700" applyFont="1" applyBorder="1" applyAlignment="1" applyProtection="1">
      <alignment horizontal="center" wrapText="1"/>
      <protection hidden="1"/>
    </xf>
    <xf numFmtId="43" fontId="146" fillId="53" borderId="8" xfId="698" applyFont="1" applyFill="1" applyBorder="1" applyAlignment="1" applyProtection="1">
      <alignment horizontal="center" wrapText="1"/>
      <protection hidden="1"/>
    </xf>
    <xf numFmtId="43" fontId="146" fillId="53" borderId="0" xfId="698" applyFont="1" applyFill="1" applyBorder="1" applyAlignment="1" applyProtection="1">
      <alignment horizontal="center" wrapText="1"/>
      <protection hidden="1"/>
    </xf>
    <xf numFmtId="43" fontId="146" fillId="53" borderId="41" xfId="698" applyFont="1" applyFill="1" applyBorder="1" applyAlignment="1" applyProtection="1">
      <alignment horizontal="center" wrapText="1"/>
      <protection hidden="1"/>
    </xf>
    <xf numFmtId="43" fontId="146" fillId="53" borderId="9" xfId="698" applyFont="1" applyFill="1" applyBorder="1" applyAlignment="1" applyProtection="1">
      <alignment horizontal="center" wrapText="1"/>
      <protection hidden="1"/>
    </xf>
    <xf numFmtId="43" fontId="146" fillId="53" borderId="6" xfId="698" applyFont="1" applyFill="1" applyBorder="1" applyAlignment="1" applyProtection="1">
      <alignment horizontal="center" wrapText="1"/>
      <protection hidden="1"/>
    </xf>
    <xf numFmtId="43" fontId="146" fillId="53" borderId="103" xfId="698" applyFont="1" applyFill="1" applyBorder="1" applyAlignment="1" applyProtection="1">
      <alignment horizontal="center" wrapText="1"/>
      <protection hidden="1"/>
    </xf>
    <xf numFmtId="0" fontId="147" fillId="53" borderId="80" xfId="698" applyNumberFormat="1" applyFont="1" applyFill="1" applyBorder="1" applyAlignment="1" applyProtection="1">
      <alignment horizontal="center"/>
      <protection hidden="1"/>
    </xf>
    <xf numFmtId="0" fontId="147" fillId="53" borderId="11" xfId="698" applyNumberFormat="1" applyFont="1" applyFill="1" applyBorder="1" applyAlignment="1" applyProtection="1">
      <alignment horizontal="center"/>
      <protection hidden="1"/>
    </xf>
    <xf numFmtId="0" fontId="147" fillId="49" borderId="11" xfId="0" applyFont="1" applyFill="1" applyBorder="1" applyAlignment="1" applyProtection="1">
      <alignment horizontal="center"/>
      <protection locked="0"/>
    </xf>
    <xf numFmtId="14" fontId="177" fillId="49" borderId="11" xfId="700" quotePrefix="1" applyNumberFormat="1" applyFont="1" applyFill="1" applyBorder="1" applyAlignment="1" applyProtection="1">
      <alignment horizontal="center"/>
      <protection locked="0"/>
    </xf>
    <xf numFmtId="44" fontId="177" fillId="49" borderId="11" xfId="700" applyFont="1" applyFill="1" applyBorder="1" applyAlignment="1" applyProtection="1">
      <alignment horizontal="center"/>
      <protection locked="0"/>
    </xf>
    <xf numFmtId="164" fontId="147" fillId="49" borderId="11" xfId="700" applyNumberFormat="1" applyFont="1" applyFill="1" applyBorder="1" applyAlignment="1" applyProtection="1">
      <alignment horizontal="center"/>
      <protection locked="0"/>
    </xf>
    <xf numFmtId="9" fontId="147" fillId="49" borderId="11" xfId="1022" applyFont="1" applyFill="1" applyBorder="1" applyAlignment="1" applyProtection="1">
      <alignment horizontal="center"/>
      <protection locked="0"/>
    </xf>
    <xf numFmtId="14" fontId="177" fillId="49" borderId="11" xfId="700" applyNumberFormat="1" applyFont="1" applyFill="1" applyBorder="1" applyAlignment="1" applyProtection="1">
      <alignment horizontal="center"/>
      <protection locked="0"/>
    </xf>
    <xf numFmtId="0" fontId="101" fillId="44" borderId="0" xfId="8726" applyFont="1" applyFill="1" applyAlignment="1">
      <alignment horizontal="left"/>
    </xf>
    <xf numFmtId="0" fontId="149" fillId="44" borderId="0" xfId="8726" applyFont="1" applyFill="1" applyAlignment="1">
      <alignment horizontal="left" vertical="top"/>
    </xf>
    <xf numFmtId="0" fontId="101" fillId="44" borderId="0" xfId="4503" applyFont="1" applyFill="1" applyBorder="1" applyAlignment="1">
      <alignment horizontal="left" vertical="top"/>
    </xf>
    <xf numFmtId="0" fontId="173" fillId="48" borderId="65" xfId="8726" applyFont="1" applyFill="1" applyBorder="1" applyAlignment="1">
      <alignment horizontal="center"/>
    </xf>
    <xf numFmtId="0" fontId="173" fillId="48" borderId="29" xfId="8726" applyFont="1" applyFill="1" applyBorder="1" applyAlignment="1">
      <alignment horizontal="center"/>
    </xf>
    <xf numFmtId="0" fontId="173" fillId="48" borderId="31" xfId="8726" applyFont="1" applyFill="1" applyBorder="1" applyAlignment="1">
      <alignment horizontal="center"/>
    </xf>
    <xf numFmtId="0" fontId="3" fillId="48" borderId="66" xfId="8726" applyFill="1" applyBorder="1" applyAlignment="1">
      <alignment horizontal="center"/>
    </xf>
    <xf numFmtId="0" fontId="3" fillId="48" borderId="0" xfId="8726" applyFill="1" applyAlignment="1">
      <alignment horizontal="center"/>
    </xf>
    <xf numFmtId="0" fontId="3" fillId="48" borderId="41" xfId="8726" applyFill="1" applyBorder="1" applyAlignment="1">
      <alignment horizontal="center"/>
    </xf>
    <xf numFmtId="0" fontId="145" fillId="48" borderId="66" xfId="8726" applyFont="1" applyFill="1" applyBorder="1" applyAlignment="1">
      <alignment horizontal="center"/>
    </xf>
    <xf numFmtId="0" fontId="145" fillId="48" borderId="0" xfId="8726" applyFont="1" applyFill="1" applyAlignment="1">
      <alignment horizontal="center"/>
    </xf>
    <xf numFmtId="0" fontId="145" fillId="48" borderId="41" xfId="8726" applyFont="1" applyFill="1" applyBorder="1" applyAlignment="1">
      <alignment horizontal="center"/>
    </xf>
    <xf numFmtId="0" fontId="101" fillId="48" borderId="66" xfId="8726" applyFont="1" applyFill="1" applyBorder="1" applyAlignment="1">
      <alignment horizontal="center"/>
    </xf>
    <xf numFmtId="0" fontId="101" fillId="48" borderId="0" xfId="8726" applyFont="1" applyFill="1" applyAlignment="1">
      <alignment horizontal="center"/>
    </xf>
    <xf numFmtId="0" fontId="101" fillId="48" borderId="41" xfId="8726" applyFont="1" applyFill="1" applyBorder="1" applyAlignment="1">
      <alignment horizontal="center"/>
    </xf>
    <xf numFmtId="14" fontId="3" fillId="49" borderId="67" xfId="8726" applyNumberFormat="1" applyFill="1" applyBorder="1" applyAlignment="1" applyProtection="1">
      <alignment horizontal="center"/>
      <protection locked="0"/>
    </xf>
    <xf numFmtId="14" fontId="3" fillId="49" borderId="68" xfId="8726" applyNumberFormat="1" applyFill="1" applyBorder="1" applyAlignment="1" applyProtection="1">
      <alignment horizontal="center"/>
      <protection locked="0"/>
    </xf>
    <xf numFmtId="14" fontId="3" fillId="49" borderId="69" xfId="8726" applyNumberFormat="1" applyFill="1" applyBorder="1" applyAlignment="1" applyProtection="1">
      <alignment horizontal="center"/>
      <protection locked="0"/>
    </xf>
    <xf numFmtId="0" fontId="3" fillId="49" borderId="67" xfId="8726" applyFill="1" applyBorder="1" applyAlignment="1" applyProtection="1">
      <alignment horizontal="left"/>
      <protection locked="0"/>
    </xf>
    <xf numFmtId="0" fontId="3" fillId="49" borderId="68" xfId="8726" applyFill="1" applyBorder="1" applyAlignment="1" applyProtection="1">
      <alignment horizontal="left"/>
      <protection locked="0"/>
    </xf>
    <xf numFmtId="0" fontId="3" fillId="49" borderId="69" xfId="8726" applyFill="1" applyBorder="1" applyAlignment="1" applyProtection="1">
      <alignment horizontal="left"/>
      <protection locked="0"/>
    </xf>
    <xf numFmtId="0" fontId="1" fillId="49" borderId="67" xfId="8726" applyFont="1" applyFill="1" applyBorder="1" applyAlignment="1" applyProtection="1">
      <alignment horizontal="left"/>
      <protection locked="0"/>
    </xf>
    <xf numFmtId="0" fontId="3" fillId="49" borderId="67" xfId="8726" applyFill="1" applyBorder="1" applyAlignment="1" applyProtection="1">
      <alignment horizontal="center"/>
      <protection locked="0"/>
    </xf>
    <xf numFmtId="0" fontId="3" fillId="49" borderId="68" xfId="8726" applyFill="1" applyBorder="1" applyAlignment="1" applyProtection="1">
      <alignment horizontal="center"/>
      <protection locked="0"/>
    </xf>
    <xf numFmtId="0" fontId="3" fillId="49" borderId="69" xfId="8726" applyFill="1" applyBorder="1" applyAlignment="1" applyProtection="1">
      <alignment horizontal="center"/>
      <protection locked="0"/>
    </xf>
    <xf numFmtId="0" fontId="101" fillId="48" borderId="42" xfId="8726" applyFont="1" applyFill="1" applyBorder="1" applyAlignment="1">
      <alignment horizontal="center"/>
    </xf>
    <xf numFmtId="0" fontId="145" fillId="48" borderId="0" xfId="8726" applyFont="1" applyFill="1" applyAlignment="1">
      <alignment horizontal="left" vertical="top" wrapText="1"/>
    </xf>
    <xf numFmtId="0" fontId="101" fillId="48" borderId="0" xfId="8726" applyFont="1" applyFill="1" applyAlignment="1">
      <alignment horizontal="left"/>
    </xf>
    <xf numFmtId="43" fontId="145" fillId="45" borderId="67" xfId="698" applyFont="1" applyFill="1" applyBorder="1" applyAlignment="1" applyProtection="1">
      <alignment horizontal="center"/>
      <protection hidden="1"/>
    </xf>
    <xf numFmtId="43" fontId="145" fillId="45" borderId="68" xfId="698" applyFont="1" applyFill="1" applyBorder="1" applyAlignment="1" applyProtection="1">
      <alignment horizontal="center"/>
      <protection hidden="1"/>
    </xf>
    <xf numFmtId="43" fontId="145" fillId="45" borderId="69" xfId="698" applyFont="1" applyFill="1" applyBorder="1" applyAlignment="1" applyProtection="1">
      <alignment horizontal="center"/>
      <protection hidden="1"/>
    </xf>
    <xf numFmtId="43" fontId="146" fillId="53" borderId="66" xfId="698" applyFont="1" applyFill="1" applyBorder="1" applyAlignment="1" applyProtection="1">
      <alignment horizontal="center" wrapText="1"/>
      <protection hidden="1"/>
    </xf>
    <xf numFmtId="43" fontId="146" fillId="53" borderId="12" xfId="698" applyFont="1" applyFill="1" applyBorder="1" applyAlignment="1" applyProtection="1">
      <alignment horizontal="center" wrapText="1"/>
      <protection hidden="1"/>
    </xf>
    <xf numFmtId="43" fontId="146" fillId="53" borderId="102" xfId="698" applyFont="1" applyFill="1" applyBorder="1" applyAlignment="1" applyProtection="1">
      <alignment horizontal="center" wrapText="1"/>
      <protection hidden="1"/>
    </xf>
    <xf numFmtId="43" fontId="146" fillId="53" borderId="10" xfId="698" applyFont="1" applyFill="1" applyBorder="1" applyAlignment="1" applyProtection="1">
      <alignment horizontal="center" wrapText="1"/>
      <protection hidden="1"/>
    </xf>
    <xf numFmtId="14" fontId="146" fillId="0" borderId="8" xfId="700" applyNumberFormat="1" applyFont="1" applyFill="1" applyBorder="1" applyAlignment="1" applyProtection="1">
      <alignment horizontal="center" wrapText="1"/>
      <protection hidden="1"/>
    </xf>
    <xf numFmtId="14" fontId="146" fillId="0" borderId="0" xfId="700" applyNumberFormat="1" applyFont="1" applyFill="1" applyBorder="1" applyAlignment="1" applyProtection="1">
      <alignment horizontal="center" wrapText="1"/>
      <protection hidden="1"/>
    </xf>
    <xf numFmtId="14" fontId="146" fillId="0" borderId="12" xfId="700" applyNumberFormat="1" applyFont="1" applyFill="1" applyBorder="1" applyAlignment="1" applyProtection="1">
      <alignment horizontal="center" wrapText="1"/>
      <protection hidden="1"/>
    </xf>
    <xf numFmtId="14" fontId="146" fillId="0" borderId="9" xfId="700" applyNumberFormat="1" applyFont="1" applyFill="1" applyBorder="1" applyAlignment="1" applyProtection="1">
      <alignment horizontal="center" wrapText="1"/>
      <protection hidden="1"/>
    </xf>
    <xf numFmtId="14" fontId="146" fillId="0" borderId="6" xfId="700" applyNumberFormat="1" applyFont="1" applyFill="1" applyBorder="1" applyAlignment="1" applyProtection="1">
      <alignment horizontal="center" wrapText="1"/>
      <protection hidden="1"/>
    </xf>
    <xf numFmtId="14" fontId="146" fillId="0" borderId="10" xfId="700" applyNumberFormat="1" applyFont="1" applyFill="1" applyBorder="1" applyAlignment="1" applyProtection="1">
      <alignment horizontal="center" wrapText="1"/>
      <protection hidden="1"/>
    </xf>
    <xf numFmtId="0" fontId="101" fillId="0" borderId="67" xfId="8726" applyFont="1" applyBorder="1" applyAlignment="1">
      <alignment horizontal="left"/>
    </xf>
    <xf numFmtId="0" fontId="101" fillId="0" borderId="68" xfId="8726" applyFont="1" applyBorder="1" applyAlignment="1">
      <alignment horizontal="left"/>
    </xf>
    <xf numFmtId="0" fontId="148" fillId="45" borderId="72" xfId="8726" applyFont="1" applyFill="1" applyBorder="1" applyAlignment="1">
      <alignment horizontal="right"/>
    </xf>
    <xf numFmtId="0" fontId="148" fillId="45" borderId="73" xfId="8726" applyFont="1" applyFill="1" applyBorder="1" applyAlignment="1">
      <alignment horizontal="right"/>
    </xf>
    <xf numFmtId="0" fontId="149" fillId="44" borderId="73" xfId="700" applyNumberFormat="1" applyFont="1" applyFill="1" applyBorder="1" applyAlignment="1">
      <alignment horizontal="left"/>
    </xf>
    <xf numFmtId="168" fontId="149" fillId="44" borderId="73" xfId="700" applyNumberFormat="1" applyFont="1" applyFill="1" applyBorder="1" applyAlignment="1">
      <alignment horizontal="left"/>
    </xf>
    <xf numFmtId="168" fontId="149" fillId="44" borderId="93" xfId="700" applyNumberFormat="1" applyFont="1" applyFill="1" applyBorder="1" applyAlignment="1">
      <alignment horizontal="left"/>
    </xf>
    <xf numFmtId="0" fontId="145" fillId="48" borderId="0" xfId="8726" applyFont="1" applyFill="1" applyAlignment="1">
      <alignment horizontal="right"/>
    </xf>
    <xf numFmtId="182" fontId="3" fillId="49" borderId="11" xfId="700" applyNumberFormat="1" applyFont="1" applyFill="1" applyBorder="1" applyAlignment="1" applyProtection="1">
      <alignment horizontal="center"/>
      <protection locked="0"/>
    </xf>
    <xf numFmtId="10" fontId="162" fillId="49" borderId="11" xfId="1022" applyNumberFormat="1" applyFont="1" applyFill="1" applyBorder="1" applyAlignment="1" applyProtection="1">
      <alignment horizontal="center"/>
      <protection locked="0"/>
    </xf>
    <xf numFmtId="44" fontId="3" fillId="49" borderId="97" xfId="700" applyFont="1" applyFill="1" applyBorder="1" applyAlignment="1" applyProtection="1">
      <alignment horizontal="center"/>
      <protection locked="0"/>
    </xf>
    <xf numFmtId="168" fontId="146" fillId="48" borderId="0" xfId="700" applyNumberFormat="1" applyFont="1" applyFill="1" applyBorder="1" applyAlignment="1" applyProtection="1">
      <alignment horizontal="left"/>
      <protection locked="0"/>
    </xf>
    <xf numFmtId="0" fontId="149" fillId="45" borderId="67" xfId="0" applyFont="1" applyFill="1" applyBorder="1" applyAlignment="1" applyProtection="1">
      <alignment horizontal="center" wrapText="1"/>
      <protection hidden="1"/>
    </xf>
    <xf numFmtId="0" fontId="149" fillId="45" borderId="68" xfId="0" applyFont="1" applyFill="1" applyBorder="1" applyAlignment="1" applyProtection="1">
      <alignment horizontal="center" wrapText="1"/>
      <protection hidden="1"/>
    </xf>
    <xf numFmtId="0" fontId="149" fillId="45" borderId="69" xfId="0" applyFont="1" applyFill="1" applyBorder="1" applyAlignment="1" applyProtection="1">
      <alignment horizontal="center" wrapText="1"/>
      <protection hidden="1"/>
    </xf>
    <xf numFmtId="44" fontId="3" fillId="44" borderId="11" xfId="700" applyFont="1" applyFill="1" applyBorder="1" applyAlignment="1" applyProtection="1">
      <alignment horizontal="center"/>
      <protection hidden="1"/>
    </xf>
    <xf numFmtId="0" fontId="3" fillId="48" borderId="3" xfId="8726" applyFill="1" applyBorder="1" applyAlignment="1">
      <alignment horizontal="center"/>
    </xf>
    <xf numFmtId="0" fontId="3" fillId="48" borderId="4" xfId="8726" applyFill="1" applyBorder="1" applyAlignment="1">
      <alignment horizontal="center"/>
    </xf>
    <xf numFmtId="0" fontId="3" fillId="48" borderId="5" xfId="8726" applyFill="1" applyBorder="1" applyAlignment="1">
      <alignment horizontal="center"/>
    </xf>
    <xf numFmtId="0" fontId="3" fillId="48" borderId="1" xfId="8726" applyFill="1" applyBorder="1" applyAlignment="1">
      <alignment horizontal="center"/>
    </xf>
    <xf numFmtId="0" fontId="3" fillId="48" borderId="2" xfId="8726" applyFill="1" applyBorder="1" applyAlignment="1">
      <alignment horizontal="center"/>
    </xf>
    <xf numFmtId="0" fontId="3" fillId="48" borderId="7" xfId="8726" applyFill="1" applyBorder="1" applyAlignment="1">
      <alignment horizontal="center"/>
    </xf>
    <xf numFmtId="0" fontId="164" fillId="45" borderId="70" xfId="8726" applyFont="1" applyFill="1" applyBorder="1" applyAlignment="1">
      <alignment horizontal="right"/>
    </xf>
    <xf numFmtId="0" fontId="164" fillId="45" borderId="71" xfId="8726" applyFont="1" applyFill="1" applyBorder="1" applyAlignment="1">
      <alignment horizontal="right"/>
    </xf>
    <xf numFmtId="168" fontId="147" fillId="44" borderId="71" xfId="700" applyNumberFormat="1" applyFont="1" applyFill="1" applyBorder="1" applyAlignment="1">
      <alignment horizontal="left"/>
    </xf>
    <xf numFmtId="168" fontId="147" fillId="44" borderId="74" xfId="700" applyNumberFormat="1" applyFont="1" applyFill="1" applyBorder="1" applyAlignment="1">
      <alignment horizontal="left"/>
    </xf>
    <xf numFmtId="0" fontId="162" fillId="49" borderId="81" xfId="8726" applyFont="1" applyFill="1" applyBorder="1" applyAlignment="1" applyProtection="1">
      <alignment horizontal="center"/>
      <protection locked="0"/>
    </xf>
    <xf numFmtId="0" fontId="162" fillId="49" borderId="82" xfId="8726" applyFont="1" applyFill="1" applyBorder="1" applyAlignment="1" applyProtection="1">
      <alignment horizontal="center"/>
      <protection locked="0"/>
    </xf>
    <xf numFmtId="0" fontId="164" fillId="49" borderId="73" xfId="8726" applyFont="1" applyFill="1" applyBorder="1" applyAlignment="1" applyProtection="1">
      <alignment horizontal="left"/>
      <protection locked="0"/>
    </xf>
    <xf numFmtId="0" fontId="164" fillId="49" borderId="93" xfId="8726" applyFont="1" applyFill="1" applyBorder="1" applyAlignment="1" applyProtection="1">
      <alignment horizontal="left"/>
      <protection locked="0"/>
    </xf>
    <xf numFmtId="168" fontId="162" fillId="49" borderId="82" xfId="700" applyNumberFormat="1" applyFont="1" applyFill="1" applyBorder="1" applyAlignment="1" applyProtection="1">
      <alignment horizontal="left"/>
      <protection locked="0"/>
    </xf>
    <xf numFmtId="168" fontId="162" fillId="49" borderId="85" xfId="700" applyNumberFormat="1" applyFont="1" applyFill="1" applyBorder="1" applyAlignment="1" applyProtection="1">
      <alignment horizontal="left"/>
      <protection locked="0"/>
    </xf>
    <xf numFmtId="0" fontId="162" fillId="49" borderId="81" xfId="8726" applyFont="1" applyFill="1" applyBorder="1" applyAlignment="1" applyProtection="1">
      <alignment horizontal="left"/>
      <protection locked="0"/>
    </xf>
    <xf numFmtId="0" fontId="162" fillId="49" borderId="82" xfId="8726" applyFont="1" applyFill="1" applyBorder="1" applyAlignment="1" applyProtection="1">
      <alignment horizontal="left"/>
      <protection locked="0"/>
    </xf>
    <xf numFmtId="0" fontId="162" fillId="49" borderId="85" xfId="8726" applyFont="1" applyFill="1" applyBorder="1" applyAlignment="1" applyProtection="1">
      <alignment horizontal="left"/>
      <protection locked="0"/>
    </xf>
    <xf numFmtId="0" fontId="172" fillId="48" borderId="0" xfId="8726" applyFont="1" applyFill="1" applyAlignment="1">
      <alignment horizontal="left" wrapText="1"/>
    </xf>
    <xf numFmtId="0" fontId="172" fillId="48" borderId="41" xfId="8726" applyFont="1" applyFill="1" applyBorder="1" applyAlignment="1">
      <alignment horizontal="left" wrapText="1"/>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0" fontId="164" fillId="49" borderId="11" xfId="8726"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4" fillId="49" borderId="80" xfId="8726" applyFont="1" applyFill="1" applyBorder="1" applyAlignment="1" applyProtection="1">
      <alignment horizontal="center"/>
      <protection locked="0"/>
    </xf>
    <xf numFmtId="0" fontId="164" fillId="49" borderId="11" xfId="8726" applyFont="1" applyFill="1" applyBorder="1" applyAlignment="1" applyProtection="1">
      <alignment horizontal="center"/>
      <protection locked="0"/>
    </xf>
    <xf numFmtId="44" fontId="3" fillId="49" borderId="11" xfId="700" applyFont="1" applyFill="1" applyBorder="1" applyAlignment="1" applyProtection="1">
      <alignment horizontal="center"/>
      <protection locked="0"/>
    </xf>
    <xf numFmtId="0" fontId="162" fillId="45" borderId="80" xfId="8726" applyFont="1" applyFill="1" applyBorder="1" applyAlignment="1">
      <alignment horizontal="right"/>
    </xf>
    <xf numFmtId="0" fontId="162" fillId="45" borderId="11" xfId="8726" applyFont="1" applyFill="1" applyBorder="1" applyAlignment="1">
      <alignment horizontal="right"/>
    </xf>
    <xf numFmtId="168" fontId="162" fillId="44" borderId="11" xfId="700" applyNumberFormat="1" applyFont="1" applyFill="1" applyBorder="1" applyAlignment="1">
      <alignment horizontal="left"/>
    </xf>
    <xf numFmtId="43" fontId="145" fillId="55" borderId="104" xfId="698" applyFont="1" applyFill="1" applyBorder="1" applyAlignment="1" applyProtection="1">
      <alignment horizontal="center"/>
      <protection hidden="1"/>
    </xf>
    <xf numFmtId="43" fontId="145" fillId="55" borderId="97" xfId="698" applyFont="1" applyFill="1" applyBorder="1" applyAlignment="1" applyProtection="1">
      <alignment horizontal="center"/>
      <protection hidden="1"/>
    </xf>
    <xf numFmtId="43" fontId="145" fillId="55" borderId="98" xfId="698" applyFont="1" applyFill="1" applyBorder="1" applyAlignment="1" applyProtection="1">
      <alignment horizontal="center"/>
      <protection hidden="1"/>
    </xf>
    <xf numFmtId="43" fontId="147" fillId="53" borderId="13" xfId="698" applyFont="1" applyFill="1" applyBorder="1" applyAlignment="1" applyProtection="1">
      <alignment horizontal="left"/>
      <protection hidden="1"/>
    </xf>
    <xf numFmtId="44" fontId="3" fillId="49" borderId="13" xfId="700" applyFont="1" applyFill="1" applyBorder="1" applyAlignment="1" applyProtection="1">
      <alignment horizontal="center"/>
      <protection locked="0"/>
    </xf>
    <xf numFmtId="0" fontId="162" fillId="48" borderId="9" xfId="8726" applyFont="1" applyFill="1" applyBorder="1" applyAlignment="1">
      <alignment horizontal="center"/>
    </xf>
    <xf numFmtId="0" fontId="162" fillId="48" borderId="6" xfId="8726" applyFont="1" applyFill="1" applyBorder="1" applyAlignment="1">
      <alignment horizontal="center"/>
    </xf>
    <xf numFmtId="0" fontId="162" fillId="48" borderId="10" xfId="8726" applyFont="1" applyFill="1" applyBorder="1" applyAlignment="1">
      <alignment horizontal="center"/>
    </xf>
    <xf numFmtId="43" fontId="147" fillId="53" borderId="11" xfId="698" applyFont="1" applyFill="1" applyBorder="1" applyAlignment="1" applyProtection="1">
      <alignment horizontal="left"/>
      <protection hidden="1"/>
    </xf>
    <xf numFmtId="14" fontId="162" fillId="49" borderId="11" xfId="8726" applyNumberFormat="1" applyFont="1" applyFill="1" applyBorder="1" applyAlignment="1" applyProtection="1">
      <alignment horizontal="center"/>
      <protection locked="0"/>
    </xf>
    <xf numFmtId="14" fontId="162" fillId="49" borderId="91" xfId="8726" applyNumberFormat="1" applyFont="1" applyFill="1" applyBorder="1" applyAlignment="1" applyProtection="1">
      <alignment horizontal="center"/>
      <protection locked="0"/>
    </xf>
    <xf numFmtId="168" fontId="164" fillId="44" borderId="11" xfId="700" applyNumberFormat="1" applyFont="1" applyFill="1" applyBorder="1" applyAlignment="1">
      <alignment horizontal="left"/>
    </xf>
    <xf numFmtId="0" fontId="148" fillId="47" borderId="11" xfId="8726" applyFont="1" applyFill="1" applyBorder="1" applyAlignment="1">
      <alignment horizontal="center"/>
    </xf>
    <xf numFmtId="0" fontId="148" fillId="47" borderId="91" xfId="8726" applyFont="1" applyFill="1" applyBorder="1" applyAlignment="1">
      <alignment horizontal="center"/>
    </xf>
    <xf numFmtId="0" fontId="164" fillId="45" borderId="80" xfId="8726" applyFont="1" applyFill="1" applyBorder="1" applyAlignment="1">
      <alignment horizontal="right"/>
    </xf>
    <xf numFmtId="0" fontId="164" fillId="45" borderId="11" xfId="8726" applyFont="1" applyFill="1" applyBorder="1" applyAlignment="1">
      <alignment horizontal="right"/>
    </xf>
    <xf numFmtId="0" fontId="172" fillId="45" borderId="72" xfId="8726" applyFont="1" applyFill="1" applyBorder="1" applyAlignment="1">
      <alignment horizontal="center"/>
    </xf>
    <xf numFmtId="0" fontId="172" fillId="45" borderId="73" xfId="8726" applyFont="1" applyFill="1" applyBorder="1" applyAlignment="1">
      <alignment horizontal="center"/>
    </xf>
    <xf numFmtId="0" fontId="158" fillId="49" borderId="73" xfId="8726" applyFont="1" applyFill="1" applyBorder="1" applyAlignment="1" applyProtection="1">
      <alignment horizontal="left"/>
      <protection locked="0"/>
    </xf>
    <xf numFmtId="0" fontId="164" fillId="49" borderId="73" xfId="8726" applyFont="1" applyFill="1" applyBorder="1" applyAlignment="1" applyProtection="1">
      <alignment horizontal="center"/>
      <protection locked="0"/>
    </xf>
    <xf numFmtId="14" fontId="164" fillId="49" borderId="73" xfId="8726" applyNumberFormat="1" applyFont="1" applyFill="1" applyBorder="1" applyAlignment="1" applyProtection="1">
      <alignment horizontal="center"/>
      <protection locked="0"/>
    </xf>
    <xf numFmtId="168" fontId="164" fillId="49" borderId="73" xfId="8727" applyNumberFormat="1" applyFont="1" applyFill="1" applyBorder="1" applyAlignment="1" applyProtection="1">
      <alignment horizontal="center"/>
      <protection locked="0"/>
    </xf>
    <xf numFmtId="168" fontId="164" fillId="49" borderId="93" xfId="8727" applyNumberFormat="1" applyFont="1" applyFill="1" applyBorder="1" applyAlignment="1" applyProtection="1">
      <alignment horizontal="center"/>
      <protection locked="0"/>
    </xf>
    <xf numFmtId="0" fontId="162" fillId="49" borderId="72" xfId="8726" applyFont="1" applyFill="1" applyBorder="1" applyAlignment="1" applyProtection="1">
      <alignment horizontal="center"/>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4" fontId="162" fillId="49" borderId="93" xfId="8726" applyNumberFormat="1" applyFont="1" applyFill="1" applyBorder="1" applyAlignment="1" applyProtection="1">
      <alignment horizontal="center"/>
      <protection locked="0"/>
    </xf>
    <xf numFmtId="0" fontId="101" fillId="45" borderId="65" xfId="8726" applyFont="1" applyFill="1" applyBorder="1" applyAlignment="1">
      <alignment horizontal="left" wrapText="1"/>
    </xf>
    <xf numFmtId="0" fontId="101" fillId="45" borderId="29" xfId="8726" applyFont="1" applyFill="1" applyBorder="1" applyAlignment="1">
      <alignment horizontal="left" wrapText="1"/>
    </xf>
    <xf numFmtId="0" fontId="101" fillId="45" borderId="31" xfId="8726" applyFont="1" applyFill="1" applyBorder="1" applyAlignment="1">
      <alignment horizontal="left" wrapText="1"/>
    </xf>
    <xf numFmtId="0" fontId="101" fillId="45" borderId="86" xfId="8726" applyFont="1" applyFill="1" applyBorder="1" applyAlignment="1">
      <alignment horizontal="left" wrapText="1"/>
    </xf>
    <xf numFmtId="0" fontId="101" fillId="45" borderId="42" xfId="8726" applyFont="1" applyFill="1" applyBorder="1" applyAlignment="1">
      <alignment horizontal="left" wrapText="1"/>
    </xf>
    <xf numFmtId="0" fontId="101" fillId="45" borderId="44" xfId="8726" applyFont="1" applyFill="1" applyBorder="1" applyAlignment="1">
      <alignment horizontal="left" wrapText="1"/>
    </xf>
    <xf numFmtId="0" fontId="145" fillId="45" borderId="70" xfId="8726" applyFont="1" applyFill="1" applyBorder="1" applyAlignment="1">
      <alignment horizontal="left"/>
    </xf>
    <xf numFmtId="0" fontId="145" fillId="45" borderId="71" xfId="8726" applyFont="1" applyFill="1" applyBorder="1" applyAlignment="1">
      <alignment horizontal="left"/>
    </xf>
    <xf numFmtId="0" fontId="145" fillId="45" borderId="74" xfId="8726" applyFont="1" applyFill="1" applyBorder="1" applyAlignment="1">
      <alignment horizontal="left"/>
    </xf>
    <xf numFmtId="0" fontId="101" fillId="45" borderId="80" xfId="8726" applyFont="1" applyFill="1" applyBorder="1" applyAlignment="1">
      <alignment horizontal="center"/>
    </xf>
    <xf numFmtId="0" fontId="101" fillId="45" borderId="11" xfId="8726" applyFont="1" applyFill="1" applyBorder="1" applyAlignment="1">
      <alignment horizontal="center"/>
    </xf>
    <xf numFmtId="0" fontId="101" fillId="45" borderId="91" xfId="8726" applyFont="1" applyFill="1" applyBorder="1" applyAlignment="1">
      <alignment horizontal="center"/>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72" fillId="45" borderId="80" xfId="8726" applyFont="1" applyFill="1" applyBorder="1" applyAlignment="1">
      <alignment horizontal="center"/>
    </xf>
    <xf numFmtId="0" fontId="172" fillId="45" borderId="11" xfId="8726" applyFont="1" applyFill="1" applyBorder="1" applyAlignment="1">
      <alignment horizontal="center"/>
    </xf>
    <xf numFmtId="0" fontId="158" fillId="49" borderId="11" xfId="8726" applyFont="1" applyFill="1" applyBorder="1" applyAlignment="1" applyProtection="1">
      <alignment horizontal="left"/>
      <protection locked="0"/>
    </xf>
    <xf numFmtId="14" fontId="164" fillId="49" borderId="11" xfId="8726" applyNumberFormat="1" applyFont="1" applyFill="1" applyBorder="1" applyAlignment="1" applyProtection="1">
      <alignment horizontal="center"/>
      <protection locked="0"/>
    </xf>
    <xf numFmtId="168" fontId="164" fillId="49" borderId="11" xfId="8727" applyNumberFormat="1" applyFont="1" applyFill="1" applyBorder="1" applyAlignment="1" applyProtection="1">
      <alignment horizontal="center"/>
      <protection locked="0"/>
    </xf>
    <xf numFmtId="168" fontId="164" fillId="49" borderId="91" xfId="8727" applyNumberFormat="1" applyFont="1" applyFill="1" applyBorder="1" applyAlignment="1" applyProtection="1">
      <alignment horizontal="center"/>
      <protection locked="0"/>
    </xf>
    <xf numFmtId="0" fontId="149" fillId="45" borderId="11" xfId="8726" applyFont="1" applyFill="1" applyBorder="1" applyAlignment="1">
      <alignment horizontal="center" wrapText="1"/>
    </xf>
    <xf numFmtId="0" fontId="149" fillId="45" borderId="91" xfId="8726" applyFont="1" applyFill="1" applyBorder="1" applyAlignment="1">
      <alignment horizontal="center" wrapText="1"/>
    </xf>
    <xf numFmtId="0" fontId="160" fillId="45" borderId="80" xfId="8726" applyFont="1" applyFill="1" applyBorder="1" applyAlignment="1">
      <alignment horizontal="left"/>
    </xf>
    <xf numFmtId="0" fontId="160" fillId="45" borderId="11" xfId="8726" applyFont="1" applyFill="1" applyBorder="1" applyAlignment="1">
      <alignment horizontal="left"/>
    </xf>
    <xf numFmtId="0" fontId="160" fillId="45" borderId="72" xfId="8726" applyFont="1" applyFill="1" applyBorder="1" applyAlignment="1">
      <alignment horizontal="left"/>
    </xf>
    <xf numFmtId="0" fontId="160" fillId="45" borderId="73" xfId="8726" applyFont="1" applyFill="1" applyBorder="1" applyAlignment="1">
      <alignment horizontal="left"/>
    </xf>
    <xf numFmtId="0" fontId="145" fillId="45" borderId="70" xfId="8726" applyFont="1" applyFill="1" applyBorder="1" applyAlignment="1">
      <alignment horizontal="center"/>
    </xf>
    <xf numFmtId="0" fontId="153" fillId="45" borderId="80" xfId="8726" applyFont="1" applyFill="1" applyBorder="1" applyAlignment="1">
      <alignment horizontal="left"/>
    </xf>
    <xf numFmtId="0" fontId="153" fillId="45" borderId="11" xfId="8726" applyFont="1" applyFill="1" applyBorder="1" applyAlignment="1">
      <alignment horizontal="left"/>
    </xf>
    <xf numFmtId="0" fontId="163" fillId="49" borderId="11" xfId="8726" applyFont="1" applyFill="1" applyBorder="1" applyAlignment="1" applyProtection="1">
      <alignment horizontal="left"/>
      <protection locked="0"/>
    </xf>
    <xf numFmtId="0" fontId="163" fillId="49" borderId="91" xfId="8726" applyFont="1" applyFill="1" applyBorder="1" applyAlignment="1" applyProtection="1">
      <alignment horizontal="left"/>
      <protection locked="0"/>
    </xf>
    <xf numFmtId="0" fontId="164" fillId="49" borderId="80" xfId="8726" applyFont="1" applyFill="1" applyBorder="1" applyAlignment="1" applyProtection="1">
      <alignment horizontal="left" vertical="top" wrapText="1"/>
      <protection locked="0"/>
    </xf>
    <xf numFmtId="0" fontId="164" fillId="49" borderId="11" xfId="8726" applyFont="1" applyFill="1" applyBorder="1" applyAlignment="1" applyProtection="1">
      <alignment horizontal="left" vertical="top"/>
      <protection locked="0"/>
    </xf>
    <xf numFmtId="0" fontId="164" fillId="49" borderId="91" xfId="8726" applyFont="1" applyFill="1" applyBorder="1" applyAlignment="1" applyProtection="1">
      <alignment horizontal="left" vertical="top"/>
      <protection locked="0"/>
    </xf>
    <xf numFmtId="0" fontId="164" fillId="49" borderId="80" xfId="8726" applyFont="1" applyFill="1" applyBorder="1" applyAlignment="1" applyProtection="1">
      <alignment horizontal="left" vertical="top"/>
      <protection locked="0"/>
    </xf>
    <xf numFmtId="0" fontId="164" fillId="49" borderId="72" xfId="8726" applyFont="1" applyFill="1" applyBorder="1" applyAlignment="1" applyProtection="1">
      <alignment horizontal="left" vertical="top"/>
      <protection locked="0"/>
    </xf>
    <xf numFmtId="0" fontId="164" fillId="49" borderId="73" xfId="8726" applyFont="1" applyFill="1" applyBorder="1" applyAlignment="1" applyProtection="1">
      <alignment horizontal="left" vertical="top"/>
      <protection locked="0"/>
    </xf>
    <xf numFmtId="0" fontId="164" fillId="49" borderId="93" xfId="8726" applyFont="1" applyFill="1" applyBorder="1" applyAlignment="1" applyProtection="1">
      <alignment horizontal="left" vertical="top"/>
      <protection locked="0"/>
    </xf>
    <xf numFmtId="0" fontId="145" fillId="45" borderId="75" xfId="8726" applyFont="1" applyFill="1" applyBorder="1" applyAlignment="1">
      <alignment horizontal="center"/>
    </xf>
    <xf numFmtId="0" fontId="145" fillId="45" borderId="76" xfId="8726" applyFont="1" applyFill="1" applyBorder="1" applyAlignment="1">
      <alignment horizontal="center"/>
    </xf>
    <xf numFmtId="0" fontId="145" fillId="45" borderId="77" xfId="8726" applyFont="1" applyFill="1" applyBorder="1" applyAlignment="1">
      <alignment horizontal="center"/>
    </xf>
    <xf numFmtId="0" fontId="101" fillId="45" borderId="74" xfId="8726" applyFont="1" applyFill="1" applyBorder="1" applyAlignment="1">
      <alignment horizontal="left" wrapText="1"/>
    </xf>
    <xf numFmtId="0" fontId="101" fillId="45" borderId="91" xfId="8726" applyFont="1" applyFill="1" applyBorder="1" applyAlignment="1">
      <alignment horizontal="left" wrapText="1"/>
    </xf>
    <xf numFmtId="0" fontId="101" fillId="45" borderId="65" xfId="8726" applyFont="1" applyFill="1" applyBorder="1" applyAlignment="1">
      <alignment horizontal="center"/>
    </xf>
    <xf numFmtId="0" fontId="101" fillId="45" borderId="29" xfId="8726" applyFont="1" applyFill="1" applyBorder="1" applyAlignment="1">
      <alignment horizontal="center"/>
    </xf>
    <xf numFmtId="0" fontId="101" fillId="45" borderId="31" xfId="8726" applyFont="1" applyFill="1" applyBorder="1" applyAlignment="1">
      <alignment horizontal="center"/>
    </xf>
    <xf numFmtId="0" fontId="159" fillId="45" borderId="11" xfId="8726" applyFont="1" applyFill="1" applyBorder="1" applyAlignment="1">
      <alignment horizontal="left"/>
    </xf>
    <xf numFmtId="0" fontId="159" fillId="45" borderId="91" xfId="8726" applyFont="1" applyFill="1" applyBorder="1" applyAlignment="1">
      <alignment horizontal="left"/>
    </xf>
    <xf numFmtId="0" fontId="162" fillId="49" borderId="80" xfId="8726" applyFont="1" applyFill="1" applyBorder="1" applyAlignment="1" applyProtection="1">
      <alignment horizontal="left" vertical="top" wrapText="1"/>
      <protection locked="0"/>
    </xf>
    <xf numFmtId="0" fontId="3" fillId="47" borderId="73" xfId="8726" applyFill="1" applyBorder="1" applyAlignment="1" applyProtection="1">
      <alignment horizontal="center"/>
      <protection locked="0"/>
    </xf>
    <xf numFmtId="0" fontId="3" fillId="47" borderId="93" xfId="8726" applyFill="1" applyBorder="1" applyAlignment="1" applyProtection="1">
      <alignment horizontal="center"/>
      <protection locked="0"/>
    </xf>
    <xf numFmtId="0" fontId="145" fillId="45" borderId="94" xfId="8726" applyFont="1" applyFill="1" applyBorder="1" applyAlignment="1">
      <alignment horizontal="right"/>
    </xf>
    <xf numFmtId="0" fontId="145" fillId="45" borderId="43" xfId="8726" applyFont="1" applyFill="1" applyBorder="1" applyAlignment="1">
      <alignment horizontal="right"/>
    </xf>
    <xf numFmtId="0" fontId="162" fillId="49" borderId="71" xfId="8726" applyFont="1" applyFill="1" applyBorder="1" applyAlignment="1" applyProtection="1">
      <alignment horizontal="left"/>
      <protection locked="0"/>
    </xf>
    <xf numFmtId="0" fontId="162" fillId="49" borderId="74" xfId="8726" applyFont="1" applyFill="1" applyBorder="1" applyAlignment="1" applyProtection="1">
      <alignment horizontal="left"/>
      <protection locked="0"/>
    </xf>
    <xf numFmtId="0" fontId="145" fillId="45" borderId="72" xfId="8726" applyFont="1" applyFill="1" applyBorder="1" applyAlignment="1">
      <alignment horizontal="center"/>
    </xf>
    <xf numFmtId="0" fontId="145" fillId="45" borderId="73" xfId="8726" applyFont="1" applyFill="1" applyBorder="1" applyAlignment="1">
      <alignment horizontal="center"/>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0" fontId="162" fillId="44" borderId="80" xfId="8726" applyFont="1" applyFill="1" applyBorder="1" applyAlignment="1" applyProtection="1">
      <alignment horizontal="right"/>
      <protection locked="0"/>
    </xf>
    <xf numFmtId="0" fontId="162" fillId="44" borderId="11" xfId="8726" applyFont="1" applyFill="1" applyBorder="1" applyAlignment="1" applyProtection="1">
      <alignment horizontal="right"/>
      <protection locked="0"/>
    </xf>
    <xf numFmtId="0" fontId="162" fillId="44" borderId="91" xfId="8726" applyFont="1" applyFill="1" applyBorder="1" applyAlignment="1" applyProtection="1">
      <alignment horizontal="right"/>
      <protection locked="0"/>
    </xf>
    <xf numFmtId="0" fontId="162" fillId="49" borderId="5" xfId="8726" applyFont="1" applyFill="1" applyBorder="1" applyAlignment="1" applyProtection="1">
      <alignment horizontal="left"/>
      <protection locked="0"/>
    </xf>
    <xf numFmtId="0" fontId="162" fillId="44" borderId="72" xfId="8726" applyFont="1" applyFill="1" applyBorder="1" applyAlignment="1" applyProtection="1">
      <alignment horizontal="right"/>
      <protection locked="0"/>
    </xf>
    <xf numFmtId="0" fontId="162" fillId="44" borderId="73" xfId="8726" applyFont="1" applyFill="1" applyBorder="1" applyAlignment="1" applyProtection="1">
      <alignment horizontal="right"/>
      <protection locked="0"/>
    </xf>
    <xf numFmtId="0" fontId="162" fillId="44" borderId="93" xfId="8726" applyFont="1" applyFill="1" applyBorder="1" applyAlignment="1" applyProtection="1">
      <alignment horizontal="right"/>
      <protection locked="0"/>
    </xf>
    <xf numFmtId="168" fontId="162" fillId="49" borderId="11" xfId="8727" applyNumberFormat="1"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62" fillId="49" borderId="11" xfId="700" applyNumberFormat="1" applyFont="1" applyFill="1" applyBorder="1" applyAlignment="1" applyProtection="1">
      <alignment horizontal="left"/>
      <protection locked="0"/>
    </xf>
    <xf numFmtId="0" fontId="162" fillId="49" borderId="91" xfId="700" applyNumberFormat="1" applyFont="1" applyFill="1" applyBorder="1" applyAlignment="1" applyProtection="1">
      <alignment horizontal="left"/>
      <protection locked="0"/>
    </xf>
    <xf numFmtId="168" fontId="148" fillId="45" borderId="73" xfId="8727" applyNumberFormat="1" applyFont="1" applyFill="1" applyBorder="1" applyAlignment="1">
      <alignment horizontal="center"/>
    </xf>
    <xf numFmtId="1" fontId="148" fillId="45" borderId="73" xfId="8727" applyNumberFormat="1" applyFont="1" applyFill="1" applyBorder="1" applyAlignment="1">
      <alignment horizontal="center"/>
    </xf>
    <xf numFmtId="0" fontId="148" fillId="45" borderId="73" xfId="8727" applyNumberFormat="1" applyFont="1" applyFill="1" applyBorder="1" applyAlignment="1">
      <alignment horizontal="center"/>
    </xf>
    <xf numFmtId="0" fontId="148" fillId="45" borderId="93" xfId="8727" applyNumberFormat="1" applyFont="1" applyFill="1" applyBorder="1" applyAlignment="1">
      <alignment horizontal="center"/>
    </xf>
    <xf numFmtId="0" fontId="145" fillId="45" borderId="65" xfId="8726" applyFont="1" applyFill="1" applyBorder="1" applyAlignment="1">
      <alignment horizontal="center"/>
    </xf>
    <xf numFmtId="0" fontId="145" fillId="45" borderId="29" xfId="8726" applyFont="1" applyFill="1" applyBorder="1" applyAlignment="1">
      <alignment horizontal="center"/>
    </xf>
    <xf numFmtId="0" fontId="145" fillId="45" borderId="31" xfId="8726" applyFont="1" applyFill="1" applyBorder="1" applyAlignment="1">
      <alignment horizontal="center"/>
    </xf>
    <xf numFmtId="0" fontId="162" fillId="49" borderId="83" xfId="8726" applyFont="1" applyFill="1" applyBorder="1" applyAlignment="1" applyProtection="1">
      <alignment horizontal="left"/>
      <protection locked="0"/>
    </xf>
    <xf numFmtId="0" fontId="149" fillId="45" borderId="11" xfId="8726" applyFont="1" applyFill="1" applyBorder="1" applyAlignment="1">
      <alignment horizontal="center" vertical="center" wrapText="1"/>
    </xf>
    <xf numFmtId="0" fontId="149" fillId="45" borderId="91" xfId="8726" applyFont="1" applyFill="1" applyBorder="1" applyAlignment="1">
      <alignment horizontal="center" vertical="center" wrapText="1"/>
    </xf>
    <xf numFmtId="1" fontId="163" fillId="49" borderId="73" xfId="8726" applyNumberFormat="1" applyFont="1" applyFill="1" applyBorder="1" applyAlignment="1" applyProtection="1">
      <alignment horizontal="center"/>
      <protection locked="0"/>
    </xf>
    <xf numFmtId="1" fontId="163" fillId="49" borderId="84" xfId="8726" applyNumberFormat="1" applyFont="1" applyFill="1" applyBorder="1" applyAlignment="1" applyProtection="1">
      <alignment horizontal="center"/>
      <protection locked="0"/>
    </xf>
    <xf numFmtId="1" fontId="163" fillId="49" borderId="82" xfId="8726" applyNumberFormat="1" applyFont="1" applyFill="1" applyBorder="1" applyAlignment="1" applyProtection="1">
      <alignment horizontal="center"/>
      <protection locked="0"/>
    </xf>
    <xf numFmtId="1" fontId="163" fillId="49" borderId="83" xfId="8726" applyNumberFormat="1" applyFont="1" applyFill="1" applyBorder="1" applyAlignment="1" applyProtection="1">
      <alignment horizontal="center"/>
      <protection locked="0"/>
    </xf>
    <xf numFmtId="0" fontId="162" fillId="49" borderId="72" xfId="8726" applyFont="1" applyFill="1" applyBorder="1" applyAlignment="1" applyProtection="1">
      <alignment horizontal="right"/>
      <protection locked="0"/>
    </xf>
    <xf numFmtId="0" fontId="162" fillId="49" borderId="73" xfId="8726" applyFont="1" applyFill="1" applyBorder="1" applyAlignment="1" applyProtection="1">
      <alignment horizontal="right"/>
      <protection locked="0"/>
    </xf>
    <xf numFmtId="0" fontId="163" fillId="49" borderId="73" xfId="8726" applyFont="1" applyFill="1" applyBorder="1" applyAlignment="1" applyProtection="1">
      <alignment horizontal="center"/>
      <protection locked="0"/>
    </xf>
    <xf numFmtId="0" fontId="163" fillId="49" borderId="11" xfId="8726" applyFont="1" applyFill="1" applyBorder="1" applyAlignment="1" applyProtection="1">
      <alignment horizontal="center"/>
      <protection locked="0"/>
    </xf>
    <xf numFmtId="9" fontId="149" fillId="44" borderId="84" xfId="8728" applyFont="1" applyFill="1" applyBorder="1" applyAlignment="1">
      <alignment horizontal="center"/>
    </xf>
    <xf numFmtId="9" fontId="149" fillId="44" borderId="82" xfId="8728" applyFont="1" applyFill="1" applyBorder="1" applyAlignment="1">
      <alignment horizontal="center"/>
    </xf>
    <xf numFmtId="9" fontId="149" fillId="44" borderId="85" xfId="8728" applyFont="1" applyFill="1" applyBorder="1" applyAlignment="1">
      <alignment horizontal="center"/>
    </xf>
    <xf numFmtId="9" fontId="149" fillId="44" borderId="3" xfId="8728" applyFont="1" applyFill="1" applyBorder="1" applyAlignment="1">
      <alignment horizontal="center"/>
    </xf>
    <xf numFmtId="9" fontId="149" fillId="44" borderId="4" xfId="8728" applyFont="1" applyFill="1" applyBorder="1" applyAlignment="1">
      <alignment horizontal="center"/>
    </xf>
    <xf numFmtId="9" fontId="149" fillId="44" borderId="79" xfId="8728" applyFont="1" applyFill="1" applyBorder="1" applyAlignment="1">
      <alignment horizontal="center"/>
    </xf>
    <xf numFmtId="0" fontId="148" fillId="44" borderId="88" xfId="8726" applyFont="1" applyFill="1" applyBorder="1" applyAlignment="1">
      <alignment horizontal="center"/>
    </xf>
    <xf numFmtId="0" fontId="148" fillId="44" borderId="42" xfId="8726" applyFont="1" applyFill="1" applyBorder="1" applyAlignment="1">
      <alignment horizontal="center"/>
    </xf>
    <xf numFmtId="0" fontId="148" fillId="44" borderId="87" xfId="8726" applyFont="1" applyFill="1" applyBorder="1" applyAlignment="1">
      <alignment horizontal="center"/>
    </xf>
    <xf numFmtId="9" fontId="148" fillId="49" borderId="13" xfId="8726" applyNumberFormat="1" applyFont="1" applyFill="1" applyBorder="1" applyAlignment="1" applyProtection="1">
      <alignment horizontal="center"/>
      <protection locked="0"/>
    </xf>
    <xf numFmtId="0" fontId="145" fillId="45" borderId="67" xfId="8726" applyFont="1" applyFill="1" applyBorder="1" applyAlignment="1">
      <alignment horizontal="center"/>
    </xf>
    <xf numFmtId="0" fontId="145" fillId="45" borderId="68" xfId="8726" applyFont="1" applyFill="1" applyBorder="1" applyAlignment="1">
      <alignment horizontal="center"/>
    </xf>
    <xf numFmtId="0" fontId="145" fillId="45" borderId="69" xfId="8726" applyFont="1" applyFill="1" applyBorder="1" applyAlignment="1">
      <alignment horizontal="center"/>
    </xf>
    <xf numFmtId="0" fontId="149" fillId="45" borderId="65" xfId="8726" applyFont="1" applyFill="1" applyBorder="1" applyAlignment="1">
      <alignment horizontal="center" vertical="center" wrapText="1"/>
    </xf>
    <xf numFmtId="0" fontId="149" fillId="45" borderId="29" xfId="8726" applyFont="1" applyFill="1" applyBorder="1" applyAlignment="1">
      <alignment horizontal="center" vertical="center" wrapText="1"/>
    </xf>
    <xf numFmtId="0" fontId="149" fillId="45" borderId="31" xfId="8726" applyFont="1" applyFill="1" applyBorder="1" applyAlignment="1">
      <alignment horizontal="center" vertical="center" wrapText="1"/>
    </xf>
    <xf numFmtId="0" fontId="149" fillId="45" borderId="86" xfId="8726" applyFont="1" applyFill="1" applyBorder="1" applyAlignment="1">
      <alignment horizontal="center" vertical="center" wrapText="1"/>
    </xf>
    <xf numFmtId="0" fontId="149" fillId="45" borderId="42" xfId="8726" applyFont="1" applyFill="1" applyBorder="1" applyAlignment="1">
      <alignment horizontal="center" vertical="center" wrapText="1"/>
    </xf>
    <xf numFmtId="0" fontId="149" fillId="45" borderId="44" xfId="8726" applyFont="1" applyFill="1" applyBorder="1" applyAlignment="1">
      <alignment horizontal="center" vertical="center" wrapText="1"/>
    </xf>
    <xf numFmtId="0" fontId="149" fillId="45" borderId="67" xfId="8726" applyFont="1" applyFill="1" applyBorder="1" applyAlignment="1">
      <alignment horizontal="center"/>
    </xf>
    <xf numFmtId="0" fontId="149" fillId="45" borderId="68" xfId="8726" applyFont="1" applyFill="1" applyBorder="1" applyAlignment="1">
      <alignment horizontal="center"/>
    </xf>
    <xf numFmtId="0" fontId="149" fillId="45" borderId="69" xfId="8726" applyFont="1" applyFill="1" applyBorder="1" applyAlignment="1">
      <alignment horizontal="center"/>
    </xf>
    <xf numFmtId="9" fontId="148" fillId="44" borderId="88" xfId="1022" applyFont="1" applyFill="1" applyBorder="1" applyAlignment="1">
      <alignment horizontal="center"/>
    </xf>
    <xf numFmtId="9" fontId="148" fillId="44" borderId="42" xfId="1022" applyFont="1" applyFill="1" applyBorder="1" applyAlignment="1">
      <alignment horizontal="center"/>
    </xf>
    <xf numFmtId="9" fontId="148" fillId="44" borderId="44" xfId="1022" applyFont="1" applyFill="1" applyBorder="1" applyAlignment="1">
      <alignment horizontal="center"/>
    </xf>
    <xf numFmtId="0" fontId="149" fillId="45" borderId="95" xfId="8726" applyFont="1" applyFill="1" applyBorder="1" applyAlignment="1">
      <alignment horizontal="center" vertical="center" wrapText="1"/>
    </xf>
    <xf numFmtId="0" fontId="149" fillId="45" borderId="13" xfId="8726" applyFont="1" applyFill="1" applyBorder="1" applyAlignment="1">
      <alignment horizontal="center" vertical="center"/>
    </xf>
    <xf numFmtId="0" fontId="149" fillId="45" borderId="80" xfId="8726" applyFont="1" applyFill="1" applyBorder="1" applyAlignment="1">
      <alignment horizontal="center" vertical="center"/>
    </xf>
    <xf numFmtId="0" fontId="149" fillId="45" borderId="11" xfId="8726" applyFont="1" applyFill="1" applyBorder="1" applyAlignment="1">
      <alignment horizontal="center" vertical="center"/>
    </xf>
    <xf numFmtId="0" fontId="148" fillId="44" borderId="86" xfId="8726" applyFont="1" applyFill="1" applyBorder="1" applyAlignment="1">
      <alignment horizontal="center"/>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9" fontId="149" fillId="49" borderId="9" xfId="8726" applyNumberFormat="1" applyFont="1" applyFill="1" applyBorder="1" applyAlignment="1" applyProtection="1">
      <alignment horizontal="center"/>
      <protection locked="0"/>
    </xf>
    <xf numFmtId="9" fontId="149" fillId="49" borderId="6" xfId="8726" applyNumberFormat="1" applyFont="1" applyFill="1" applyBorder="1" applyAlignment="1" applyProtection="1">
      <alignment horizontal="center"/>
      <protection locked="0"/>
    </xf>
    <xf numFmtId="9" fontId="149" fillId="49" borderId="10" xfId="8726" applyNumberFormat="1" applyFont="1" applyFill="1" applyBorder="1" applyAlignment="1" applyProtection="1">
      <alignment horizontal="center"/>
      <protection locked="0"/>
    </xf>
    <xf numFmtId="0" fontId="149" fillId="44" borderId="9" xfId="8726" applyFont="1" applyFill="1" applyBorder="1" applyAlignment="1">
      <alignment horizontal="center"/>
    </xf>
    <xf numFmtId="0" fontId="149" fillId="44" borderId="6" xfId="8726" applyFont="1" applyFill="1" applyBorder="1" applyAlignment="1">
      <alignment horizontal="center"/>
    </xf>
    <xf numFmtId="0" fontId="149" fillId="44" borderId="10" xfId="8726" applyFont="1" applyFill="1" applyBorder="1" applyAlignment="1">
      <alignment horizontal="center"/>
    </xf>
    <xf numFmtId="0" fontId="149" fillId="44" borderId="103" xfId="8726" applyFont="1" applyFill="1" applyBorder="1" applyAlignment="1">
      <alignment horizontal="center"/>
    </xf>
    <xf numFmtId="9" fontId="162" fillId="49" borderId="92" xfId="8726" applyNumberFormat="1" applyFont="1" applyFill="1" applyBorder="1" applyAlignment="1">
      <alignment horizontal="center"/>
    </xf>
    <xf numFmtId="9" fontId="162" fillId="49" borderId="4" xfId="8726" applyNumberFormat="1" applyFont="1" applyFill="1" applyBorder="1" applyAlignment="1">
      <alignment horizontal="center"/>
    </xf>
    <xf numFmtId="9" fontId="162" fillId="49" borderId="5" xfId="8726" applyNumberFormat="1" applyFont="1" applyFill="1" applyBorder="1" applyAlignment="1">
      <alignment horizontal="center"/>
    </xf>
    <xf numFmtId="0" fontId="162" fillId="44" borderId="3" xfId="8726" applyFont="1" applyFill="1" applyBorder="1" applyAlignment="1">
      <alignment horizontal="center"/>
    </xf>
    <xf numFmtId="0" fontId="162" fillId="44" borderId="4" xfId="8726" applyFont="1" applyFill="1" applyBorder="1" applyAlignment="1">
      <alignment horizontal="center"/>
    </xf>
    <xf numFmtId="0" fontId="162" fillId="44" borderId="5" xfId="8726" applyFont="1" applyFill="1" applyBorder="1" applyAlignment="1">
      <alignment horizontal="center"/>
    </xf>
    <xf numFmtId="9" fontId="148" fillId="44" borderId="3" xfId="8726" applyNumberFormat="1" applyFont="1" applyFill="1" applyBorder="1" applyAlignment="1">
      <alignment horizontal="center"/>
    </xf>
    <xf numFmtId="9" fontId="148" fillId="44" borderId="4" xfId="8726" applyNumberFormat="1" applyFont="1" applyFill="1" applyBorder="1" applyAlignment="1">
      <alignment horizontal="center"/>
    </xf>
    <xf numFmtId="9" fontId="148" fillId="44" borderId="79" xfId="8726" applyNumberFormat="1" applyFont="1" applyFill="1" applyBorder="1" applyAlignment="1">
      <alignment horizontal="center"/>
    </xf>
    <xf numFmtId="0" fontId="148" fillId="44" borderId="81" xfId="8726" applyFont="1" applyFill="1" applyBorder="1" applyAlignment="1">
      <alignment horizontal="center"/>
    </xf>
    <xf numFmtId="0" fontId="148" fillId="44" borderId="82" xfId="8726" applyFont="1" applyFill="1" applyBorder="1" applyAlignment="1">
      <alignment horizontal="center"/>
    </xf>
    <xf numFmtId="0" fontId="148" fillId="44" borderId="83" xfId="8726" applyFont="1" applyFill="1" applyBorder="1" applyAlignment="1">
      <alignment horizontal="center"/>
    </xf>
    <xf numFmtId="0" fontId="162" fillId="44" borderId="84" xfId="8726" applyFont="1" applyFill="1" applyBorder="1" applyAlignment="1">
      <alignment horizontal="center"/>
    </xf>
    <xf numFmtId="0" fontId="162" fillId="44" borderId="82" xfId="8726" applyFont="1" applyFill="1" applyBorder="1" applyAlignment="1">
      <alignment horizontal="center"/>
    </xf>
    <xf numFmtId="0" fontId="162" fillId="44" borderId="83" xfId="8726" applyFont="1" applyFill="1" applyBorder="1" applyAlignment="1">
      <alignment horizontal="center"/>
    </xf>
    <xf numFmtId="9" fontId="148" fillId="44" borderId="84" xfId="8726" applyNumberFormat="1" applyFont="1" applyFill="1" applyBorder="1" applyAlignment="1">
      <alignment horizontal="center"/>
    </xf>
    <xf numFmtId="9" fontId="148" fillId="44" borderId="82" xfId="8726" applyNumberFormat="1" applyFont="1" applyFill="1" applyBorder="1" applyAlignment="1">
      <alignment horizontal="center"/>
    </xf>
    <xf numFmtId="9" fontId="148" fillId="44" borderId="85" xfId="8726" applyNumberFormat="1" applyFont="1" applyFill="1" applyBorder="1" applyAlignment="1">
      <alignment horizontal="center"/>
    </xf>
    <xf numFmtId="0" fontId="148" fillId="45" borderId="13"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11" xfId="8726" applyFont="1" applyFill="1" applyBorder="1" applyAlignment="1">
      <alignment horizontal="center" vertical="center"/>
    </xf>
    <xf numFmtId="0" fontId="148" fillId="45" borderId="9" xfId="8726" applyFont="1" applyFill="1" applyBorder="1" applyAlignment="1">
      <alignment horizontal="center" vertical="center"/>
    </xf>
    <xf numFmtId="0" fontId="148" fillId="45" borderId="3" xfId="8726" applyFont="1" applyFill="1" applyBorder="1" applyAlignment="1">
      <alignment horizontal="center" vertical="center"/>
    </xf>
    <xf numFmtId="0" fontId="148" fillId="45" borderId="78" xfId="8726" applyFont="1" applyFill="1" applyBorder="1" applyAlignment="1">
      <alignment horizontal="center"/>
    </xf>
    <xf numFmtId="0" fontId="148" fillId="45" borderId="2" xfId="8726" applyFont="1" applyFill="1" applyBorder="1" applyAlignment="1">
      <alignment horizontal="center"/>
    </xf>
    <xf numFmtId="0" fontId="148" fillId="45" borderId="7" xfId="8726" applyFont="1" applyFill="1" applyBorder="1" applyAlignment="1">
      <alignment horizontal="center"/>
    </xf>
    <xf numFmtId="0" fontId="148" fillId="45" borderId="3" xfId="8726" applyFont="1" applyFill="1" applyBorder="1" applyAlignment="1">
      <alignment horizontal="center"/>
    </xf>
    <xf numFmtId="0" fontId="148" fillId="45" borderId="4" xfId="8726" applyFont="1" applyFill="1" applyBorder="1" applyAlignment="1">
      <alignment horizontal="center"/>
    </xf>
    <xf numFmtId="0" fontId="148" fillId="45" borderId="5" xfId="8726" applyFont="1" applyFill="1" applyBorder="1" applyAlignment="1">
      <alignment horizontal="center"/>
    </xf>
    <xf numFmtId="0" fontId="148" fillId="45" borderId="79" xfId="8726" applyFont="1" applyFill="1" applyBorder="1" applyAlignment="1">
      <alignment horizontal="center"/>
    </xf>
    <xf numFmtId="168" fontId="164" fillId="44" borderId="11" xfId="8727" applyNumberFormat="1" applyFont="1" applyFill="1" applyBorder="1" applyAlignment="1" applyProtection="1">
      <alignment horizontal="left"/>
    </xf>
    <xf numFmtId="0" fontId="148" fillId="45" borderId="11" xfId="8726" applyFont="1" applyFill="1" applyBorder="1" applyAlignment="1">
      <alignment horizontal="right"/>
    </xf>
    <xf numFmtId="1" fontId="3" fillId="44" borderId="11" xfId="8726" applyNumberFormat="1" applyFill="1" applyBorder="1" applyAlignment="1">
      <alignment horizontal="center"/>
    </xf>
    <xf numFmtId="0" fontId="3" fillId="44" borderId="11" xfId="8726" applyFill="1" applyBorder="1" applyAlignment="1">
      <alignment horizontal="center"/>
    </xf>
    <xf numFmtId="0" fontId="146" fillId="45" borderId="11" xfId="8726" applyFont="1" applyFill="1" applyBorder="1" applyAlignment="1">
      <alignment horizontal="right" wrapText="1"/>
    </xf>
    <xf numFmtId="14" fontId="147" fillId="49" borderId="11" xfId="8726" applyNumberFormat="1" applyFont="1" applyFill="1" applyBorder="1" applyAlignment="1" applyProtection="1">
      <alignment horizontal="center" vertical="center"/>
      <protection locked="0"/>
    </xf>
    <xf numFmtId="0" fontId="147" fillId="49" borderId="11" xfId="8726" applyFont="1" applyFill="1" applyBorder="1" applyAlignment="1" applyProtection="1">
      <alignment horizontal="center" vertical="center"/>
      <protection locked="0"/>
    </xf>
    <xf numFmtId="0" fontId="101" fillId="45" borderId="67" xfId="8726" applyFont="1" applyFill="1" applyBorder="1" applyAlignment="1">
      <alignment horizontal="center"/>
    </xf>
    <xf numFmtId="0" fontId="101" fillId="45" borderId="68" xfId="8726" applyFont="1" applyFill="1" applyBorder="1" applyAlignment="1">
      <alignment horizontal="center"/>
    </xf>
    <xf numFmtId="0" fontId="101" fillId="45" borderId="69" xfId="8726" applyFont="1" applyFill="1" applyBorder="1" applyAlignment="1">
      <alignment horizontal="center"/>
    </xf>
    <xf numFmtId="0" fontId="147" fillId="49" borderId="67" xfId="8726" applyFont="1" applyFill="1" applyBorder="1" applyAlignment="1" applyProtection="1">
      <alignment horizontal="center"/>
      <protection locked="0"/>
    </xf>
    <xf numFmtId="0" fontId="147" fillId="49" borderId="68" xfId="8726" applyFont="1" applyFill="1" applyBorder="1" applyAlignment="1" applyProtection="1">
      <alignment horizontal="center"/>
      <protection locked="0"/>
    </xf>
    <xf numFmtId="0" fontId="147" fillId="49" borderId="69" xfId="8726" applyFont="1" applyFill="1" applyBorder="1" applyAlignment="1" applyProtection="1">
      <alignment horizontal="center"/>
      <protection locked="0"/>
    </xf>
    <xf numFmtId="0" fontId="101" fillId="45" borderId="67" xfId="8726" applyFont="1" applyFill="1" applyBorder="1" applyAlignment="1">
      <alignment horizontal="right"/>
    </xf>
    <xf numFmtId="0" fontId="101" fillId="45" borderId="68" xfId="8726" applyFont="1" applyFill="1" applyBorder="1" applyAlignment="1">
      <alignment horizontal="right"/>
    </xf>
    <xf numFmtId="0" fontId="101" fillId="45" borderId="99" xfId="8726" applyFont="1" applyFill="1" applyBorder="1" applyAlignment="1">
      <alignment horizontal="right"/>
    </xf>
    <xf numFmtId="0" fontId="3" fillId="44" borderId="97" xfId="8726" applyFill="1" applyBorder="1" applyAlignment="1">
      <alignment horizontal="center"/>
    </xf>
    <xf numFmtId="0" fontId="3" fillId="44" borderId="98" xfId="8726" applyFill="1" applyBorder="1" applyAlignment="1">
      <alignment horizontal="center"/>
    </xf>
    <xf numFmtId="1" fontId="147" fillId="49" borderId="11" xfId="8726" applyNumberFormat="1" applyFont="1" applyFill="1" applyBorder="1" applyAlignment="1" applyProtection="1">
      <alignment horizontal="center"/>
      <protection locked="0"/>
    </xf>
    <xf numFmtId="0" fontId="144" fillId="47" borderId="65" xfId="8726" applyFont="1" applyFill="1" applyBorder="1" applyAlignment="1">
      <alignment horizontal="center"/>
    </xf>
    <xf numFmtId="0" fontId="144" fillId="47" borderId="29" xfId="8726" applyFont="1" applyFill="1" applyBorder="1" applyAlignment="1">
      <alignment horizontal="center"/>
    </xf>
    <xf numFmtId="0" fontId="144" fillId="47" borderId="31" xfId="8726" applyFont="1" applyFill="1" applyBorder="1" applyAlignment="1">
      <alignment horizontal="center"/>
    </xf>
    <xf numFmtId="0" fontId="145" fillId="49" borderId="66" xfId="8726" applyFont="1" applyFill="1" applyBorder="1" applyAlignment="1">
      <alignment horizontal="center"/>
    </xf>
    <xf numFmtId="0" fontId="145" fillId="49" borderId="0" xfId="8726" applyFont="1" applyFill="1" applyAlignment="1">
      <alignment horizontal="center"/>
    </xf>
    <xf numFmtId="0" fontId="145" fillId="49" borderId="41" xfId="8726" applyFont="1" applyFill="1" applyBorder="1" applyAlignment="1">
      <alignment horizontal="center"/>
    </xf>
    <xf numFmtId="0" fontId="147" fillId="44" borderId="67" xfId="8726" applyFont="1" applyFill="1" applyBorder="1" applyAlignment="1">
      <alignment horizontal="left"/>
    </xf>
    <xf numFmtId="0" fontId="147" fillId="44" borderId="68" xfId="8726" applyFont="1" applyFill="1" applyBorder="1" applyAlignment="1">
      <alignment horizontal="left"/>
    </xf>
    <xf numFmtId="0" fontId="147" fillId="44" borderId="69" xfId="8726" applyFont="1" applyFill="1" applyBorder="1" applyAlignment="1">
      <alignment horizontal="left"/>
    </xf>
    <xf numFmtId="0" fontId="146" fillId="45" borderId="11" xfId="8726" applyFont="1" applyFill="1" applyBorder="1" applyAlignment="1">
      <alignment horizontal="right"/>
    </xf>
    <xf numFmtId="0" fontId="3" fillId="44" borderId="67" xfId="8726" applyFill="1" applyBorder="1" applyAlignment="1">
      <alignment horizontal="center"/>
    </xf>
    <xf numFmtId="0" fontId="3" fillId="44" borderId="68" xfId="8726" applyFill="1" applyBorder="1" applyAlignment="1">
      <alignment horizontal="center"/>
    </xf>
    <xf numFmtId="0" fontId="3" fillId="44" borderId="69" xfId="8726" applyFill="1" applyBorder="1" applyAlignment="1">
      <alignment horizontal="center"/>
    </xf>
    <xf numFmtId="0" fontId="101" fillId="45" borderId="70" xfId="8726" applyFont="1" applyFill="1" applyBorder="1" applyAlignment="1">
      <alignment horizontal="center" wrapText="1"/>
    </xf>
    <xf numFmtId="0" fontId="101" fillId="45" borderId="71" xfId="8726" applyFont="1" applyFill="1" applyBorder="1" applyAlignment="1">
      <alignment horizontal="center" wrapText="1"/>
    </xf>
    <xf numFmtId="0" fontId="101" fillId="45" borderId="74" xfId="8726" applyFont="1" applyFill="1" applyBorder="1" applyAlignment="1">
      <alignment horizontal="center" wrapText="1"/>
    </xf>
    <xf numFmtId="0" fontId="101" fillId="45" borderId="104" xfId="8726" applyFont="1" applyFill="1" applyBorder="1" applyAlignment="1">
      <alignment horizontal="center"/>
    </xf>
    <xf numFmtId="0" fontId="101" fillId="45" borderId="97" xfId="8726" applyFont="1" applyFill="1" applyBorder="1" applyAlignment="1">
      <alignment horizontal="center"/>
    </xf>
    <xf numFmtId="0" fontId="101" fillId="45" borderId="98" xfId="8726" applyFont="1" applyFill="1" applyBorder="1" applyAlignment="1">
      <alignment horizontal="center"/>
    </xf>
    <xf numFmtId="43" fontId="145" fillId="56" borderId="13" xfId="698" applyFont="1" applyFill="1" applyBorder="1" applyAlignment="1" applyProtection="1">
      <alignment horizontal="center"/>
      <protection hidden="1"/>
    </xf>
    <xf numFmtId="43" fontId="147" fillId="53" borderId="11" xfId="698" applyFont="1" applyFill="1" applyBorder="1" applyAlignment="1" applyProtection="1">
      <alignment horizontal="left" wrapText="1"/>
      <protection hidden="1"/>
    </xf>
    <xf numFmtId="0" fontId="162" fillId="45" borderId="11" xfId="8726" applyFont="1" applyFill="1" applyBorder="1" applyAlignment="1">
      <alignment horizontal="left"/>
    </xf>
    <xf numFmtId="0" fontId="172" fillId="45" borderId="11" xfId="8726" applyFont="1" applyFill="1" applyBorder="1" applyAlignment="1">
      <alignment horizontal="left" wrapText="1"/>
    </xf>
    <xf numFmtId="0" fontId="149" fillId="45" borderId="13" xfId="0" applyFont="1" applyFill="1" applyBorder="1" applyAlignment="1" applyProtection="1">
      <alignment horizontal="left" wrapText="1"/>
      <protection hidden="1"/>
    </xf>
    <xf numFmtId="0" fontId="149" fillId="45" borderId="13" xfId="0" applyFont="1" applyFill="1" applyBorder="1" applyAlignment="1" applyProtection="1">
      <alignment horizontal="center" wrapText="1"/>
      <protection hidden="1"/>
    </xf>
    <xf numFmtId="182" fontId="3" fillId="0" borderId="13" xfId="8726" applyNumberFormat="1" applyBorder="1" applyAlignment="1">
      <alignment horizontal="center"/>
    </xf>
    <xf numFmtId="0" fontId="3" fillId="0" borderId="13" xfId="8726" applyBorder="1" applyAlignment="1">
      <alignment horizontal="center"/>
    </xf>
    <xf numFmtId="44" fontId="3" fillId="0" borderId="11" xfId="700" applyFont="1" applyBorder="1" applyAlignment="1" applyProtection="1">
      <alignment horizontal="center"/>
      <protection hidden="1"/>
    </xf>
    <xf numFmtId="44" fontId="3" fillId="49" borderId="11" xfId="700" applyFont="1" applyFill="1" applyBorder="1" applyAlignment="1" applyProtection="1">
      <alignment horizontal="center"/>
      <protection hidden="1"/>
    </xf>
    <xf numFmtId="168" fontId="147" fillId="49" borderId="11" xfId="8727" applyNumberFormat="1" applyFont="1" applyFill="1" applyBorder="1" applyAlignment="1">
      <alignment horizontal="center"/>
    </xf>
    <xf numFmtId="0" fontId="145" fillId="44" borderId="11" xfId="8726" applyFont="1" applyFill="1" applyBorder="1" applyAlignment="1">
      <alignment horizontal="left"/>
    </xf>
    <xf numFmtId="0" fontId="162" fillId="48" borderId="3" xfId="8726" applyFont="1" applyFill="1" applyBorder="1" applyAlignment="1">
      <alignment horizontal="center"/>
    </xf>
    <xf numFmtId="0" fontId="162" fillId="48" borderId="4" xfId="8726" applyFont="1" applyFill="1" applyBorder="1" applyAlignment="1">
      <alignment horizontal="center"/>
    </xf>
    <xf numFmtId="0" fontId="162" fillId="48" borderId="5" xfId="8726" applyFont="1" applyFill="1" applyBorder="1" applyAlignment="1">
      <alignment horizontal="center"/>
    </xf>
    <xf numFmtId="0" fontId="147" fillId="49" borderId="3" xfId="0" applyFont="1" applyFill="1" applyBorder="1" applyAlignment="1" applyProtection="1">
      <alignment horizontal="center"/>
      <protection locked="0"/>
    </xf>
    <xf numFmtId="0" fontId="147" fillId="49" borderId="4" xfId="0" applyFont="1" applyFill="1" applyBorder="1" applyAlignment="1" applyProtection="1">
      <alignment horizontal="center"/>
      <protection locked="0"/>
    </xf>
    <xf numFmtId="0" fontId="147" fillId="49" borderId="5" xfId="0" applyFont="1" applyFill="1" applyBorder="1" applyAlignment="1" applyProtection="1">
      <alignment horizontal="center"/>
      <protection locked="0"/>
    </xf>
    <xf numFmtId="43" fontId="145" fillId="53" borderId="80" xfId="698" applyFont="1" applyFill="1" applyBorder="1" applyAlignment="1" applyProtection="1">
      <alignment horizontal="right"/>
      <protection hidden="1"/>
    </xf>
    <xf numFmtId="43" fontId="145" fillId="53" borderId="11" xfId="698" applyFont="1" applyFill="1" applyBorder="1" applyAlignment="1" applyProtection="1">
      <alignment horizontal="right"/>
      <protection hidden="1"/>
    </xf>
    <xf numFmtId="44" fontId="145" fillId="0" borderId="11" xfId="700" applyFont="1" applyBorder="1" applyAlignment="1" applyProtection="1">
      <alignment horizontal="center"/>
      <protection hidden="1"/>
    </xf>
    <xf numFmtId="164" fontId="145" fillId="0" borderId="11" xfId="700" applyNumberFormat="1" applyFont="1" applyBorder="1" applyAlignment="1" applyProtection="1">
      <alignment horizontal="center"/>
      <protection hidden="1"/>
    </xf>
    <xf numFmtId="9" fontId="145" fillId="0" borderId="11" xfId="1022" applyFont="1" applyBorder="1" applyAlignment="1" applyProtection="1">
      <alignment horizontal="center"/>
      <protection hidden="1"/>
    </xf>
    <xf numFmtId="168" fontId="15" fillId="2" borderId="3" xfId="569" applyNumberFormat="1" applyFill="1" applyBorder="1" applyAlignment="1">
      <alignment horizontal="center"/>
    </xf>
    <xf numFmtId="168" fontId="15" fillId="2" borderId="4" xfId="569" applyNumberFormat="1" applyFill="1" applyBorder="1" applyAlignment="1">
      <alignment horizontal="center"/>
    </xf>
    <xf numFmtId="168" fontId="15" fillId="2" borderId="5" xfId="569" applyNumberFormat="1" applyFill="1" applyBorder="1" applyAlignment="1">
      <alignment horizontal="center"/>
    </xf>
    <xf numFmtId="168" fontId="15" fillId="5" borderId="5" xfId="569" applyNumberFormat="1" applyFill="1" applyBorder="1" applyAlignment="1" applyProtection="1">
      <alignment horizontal="center"/>
      <protection locked="0"/>
    </xf>
    <xf numFmtId="168" fontId="15" fillId="5" borderId="11" xfId="569" applyNumberFormat="1" applyFill="1" applyBorder="1" applyAlignment="1" applyProtection="1">
      <alignment horizontal="center"/>
      <protection locked="0"/>
    </xf>
    <xf numFmtId="168" fontId="15" fillId="0" borderId="5" xfId="569" applyNumberFormat="1" applyBorder="1" applyAlignment="1">
      <alignment horizontal="center"/>
    </xf>
    <xf numFmtId="168" fontId="15" fillId="0" borderId="11" xfId="569" applyNumberFormat="1" applyBorder="1" applyAlignment="1">
      <alignment horizontal="center"/>
    </xf>
    <xf numFmtId="168" fontId="15" fillId="0" borderId="3" xfId="569" applyNumberFormat="1" applyBorder="1" applyAlignment="1">
      <alignment horizontal="center"/>
    </xf>
    <xf numFmtId="168" fontId="15" fillId="0" borderId="4" xfId="569" applyNumberFormat="1" applyBorder="1" applyAlignment="1">
      <alignment horizontal="center"/>
    </xf>
    <xf numFmtId="179" fontId="22" fillId="0" borderId="0" xfId="569" applyNumberFormat="1" applyFont="1" applyAlignment="1">
      <alignment horizontal="center" wrapText="1"/>
    </xf>
    <xf numFmtId="0" fontId="22" fillId="0" borderId="16" xfId="271" applyFont="1" applyBorder="1" applyAlignment="1">
      <alignment horizontal="center"/>
    </xf>
    <xf numFmtId="164" fontId="22" fillId="0" borderId="0" xfId="569" applyNumberFormat="1" applyFont="1" applyAlignment="1">
      <alignment horizontal="center" wrapText="1"/>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52" fillId="0" borderId="0" xfId="569" applyFont="1" applyAlignment="1">
      <alignment horizontal="left"/>
    </xf>
    <xf numFmtId="0" fontId="15" fillId="0" borderId="3" xfId="569" applyBorder="1" applyAlignment="1">
      <alignment horizontal="right"/>
    </xf>
    <xf numFmtId="0" fontId="15" fillId="0" borderId="4" xfId="569" applyBorder="1" applyAlignment="1">
      <alignment horizontal="right"/>
    </xf>
    <xf numFmtId="0" fontId="15" fillId="0" borderId="5" xfId="569" applyBorder="1" applyAlignment="1">
      <alignment horizontal="right"/>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168" fontId="15" fillId="0" borderId="3" xfId="569" applyNumberFormat="1" applyBorder="1" applyAlignment="1">
      <alignment horizontal="right"/>
    </xf>
    <xf numFmtId="168" fontId="15" fillId="0" borderId="4" xfId="569" applyNumberFormat="1" applyBorder="1" applyAlignment="1">
      <alignment horizontal="right"/>
    </xf>
    <xf numFmtId="168" fontId="15" fillId="0" borderId="5" xfId="569" applyNumberFormat="1" applyBorder="1" applyAlignment="1">
      <alignment horizontal="right"/>
    </xf>
    <xf numFmtId="9" fontId="15" fillId="0" borderId="5" xfId="569" applyNumberFormat="1" applyBorder="1" applyAlignment="1">
      <alignment horizontal="center"/>
    </xf>
    <xf numFmtId="9" fontId="15" fillId="0" borderId="11" xfId="569" applyNumberFormat="1" applyBorder="1" applyAlignment="1">
      <alignment horizontal="center"/>
    </xf>
    <xf numFmtId="0" fontId="22" fillId="0" borderId="3" xfId="569" applyFont="1" applyBorder="1" applyAlignment="1">
      <alignment horizontal="left"/>
    </xf>
    <xf numFmtId="0" fontId="22" fillId="0" borderId="5" xfId="569" applyFont="1" applyBorder="1" applyAlignment="1">
      <alignment horizontal="left"/>
    </xf>
    <xf numFmtId="0" fontId="23" fillId="0" borderId="4" xfId="569" applyFont="1" applyBorder="1" applyAlignment="1">
      <alignment horizontal="left"/>
    </xf>
    <xf numFmtId="0" fontId="23" fillId="0" borderId="5" xfId="569" applyFont="1" applyBorder="1" applyAlignment="1">
      <alignment horizontal="left"/>
    </xf>
    <xf numFmtId="0" fontId="21" fillId="3" borderId="2" xfId="569" applyFont="1" applyFill="1" applyBorder="1" applyAlignment="1">
      <alignment horizontal="center" vertical="center"/>
    </xf>
    <xf numFmtId="0" fontId="21" fillId="3" borderId="16" xfId="569" applyFont="1" applyFill="1" applyBorder="1" applyAlignment="1">
      <alignment horizontal="center" vertical="center"/>
    </xf>
    <xf numFmtId="0" fontId="22" fillId="0" borderId="11" xfId="569" applyFont="1" applyBorder="1" applyAlignment="1">
      <alignment horizontal="center" wrapText="1"/>
    </xf>
    <xf numFmtId="168" fontId="15" fillId="0" borderId="7" xfId="569" applyNumberFormat="1" applyBorder="1" applyAlignment="1">
      <alignment horizontal="center"/>
    </xf>
    <xf numFmtId="168" fontId="15" fillId="0" borderId="15" xfId="569" applyNumberFormat="1" applyBorder="1" applyAlignment="1">
      <alignment horizontal="center"/>
    </xf>
    <xf numFmtId="168" fontId="15" fillId="5" borderId="10" xfId="569" applyNumberFormat="1" applyFill="1" applyBorder="1" applyAlignment="1" applyProtection="1">
      <alignment horizontal="center"/>
      <protection locked="0"/>
    </xf>
    <xf numFmtId="168" fontId="15" fillId="5" borderId="13" xfId="569" applyNumberFormat="1" applyFill="1" applyBorder="1" applyAlignment="1" applyProtection="1">
      <alignment horizontal="center"/>
      <protection locked="0"/>
    </xf>
    <xf numFmtId="5" fontId="15" fillId="0" borderId="5" xfId="569" applyNumberFormat="1" applyBorder="1" applyAlignment="1">
      <alignment horizontal="center"/>
    </xf>
    <xf numFmtId="5" fontId="15" fillId="0" borderId="11" xfId="569" applyNumberFormat="1" applyBorder="1" applyAlignment="1">
      <alignment horizontal="center"/>
    </xf>
    <xf numFmtId="5" fontId="15" fillId="0" borderId="3" xfId="569" applyNumberFormat="1" applyBorder="1" applyAlignment="1">
      <alignment horizontal="center"/>
    </xf>
    <xf numFmtId="5" fontId="15" fillId="0" borderId="4" xfId="569" applyNumberFormat="1" applyBorder="1" applyAlignment="1">
      <alignment horizontal="center"/>
    </xf>
    <xf numFmtId="9" fontId="15" fillId="0" borderId="9" xfId="569" applyNumberFormat="1" applyBorder="1" applyAlignment="1">
      <alignment horizontal="center" vertical="center"/>
    </xf>
    <xf numFmtId="9" fontId="15" fillId="0" borderId="6" xfId="569" applyNumberFormat="1" applyBorder="1" applyAlignment="1">
      <alignment horizontal="center" vertical="center"/>
    </xf>
    <xf numFmtId="9" fontId="15" fillId="0" borderId="10" xfId="569" applyNumberFormat="1" applyBorder="1" applyAlignment="1">
      <alignment horizontal="center" vertical="center"/>
    </xf>
    <xf numFmtId="168" fontId="15" fillId="0" borderId="11" xfId="569" applyNumberFormat="1" applyBorder="1" applyAlignment="1">
      <alignment horizontal="right"/>
    </xf>
    <xf numFmtId="0" fontId="22" fillId="0" borderId="6" xfId="569" applyFont="1" applyBorder="1" applyAlignment="1">
      <alignment horizontal="center"/>
    </xf>
    <xf numFmtId="0" fontId="15" fillId="0" borderId="4" xfId="569" applyBorder="1" applyAlignment="1">
      <alignment horizontal="center"/>
    </xf>
    <xf numFmtId="0" fontId="15" fillId="0" borderId="5" xfId="569" applyBorder="1" applyAlignment="1">
      <alignment horizontal="center"/>
    </xf>
    <xf numFmtId="176" fontId="15" fillId="5" borderId="3" xfId="569" applyNumberFormat="1" applyFill="1" applyBorder="1" applyAlignment="1" applyProtection="1">
      <alignment horizontal="right"/>
      <protection locked="0"/>
    </xf>
    <xf numFmtId="176" fontId="15" fillId="5" borderId="4" xfId="569" applyNumberFormat="1" applyFill="1" applyBorder="1" applyAlignment="1" applyProtection="1">
      <alignment horizontal="right"/>
      <protection locked="0"/>
    </xf>
    <xf numFmtId="176" fontId="15" fillId="5" borderId="5" xfId="569" applyNumberFormat="1" applyFill="1" applyBorder="1" applyAlignment="1" applyProtection="1">
      <alignment horizontal="right"/>
      <protection locked="0"/>
    </xf>
    <xf numFmtId="0" fontId="106" fillId="0" borderId="0" xfId="569" applyFont="1" applyAlignment="1">
      <alignment horizontal="left" wrapText="1"/>
    </xf>
    <xf numFmtId="168" fontId="15" fillId="0" borderId="3" xfId="569" applyNumberFormat="1" applyBorder="1" applyAlignment="1" applyProtection="1">
      <alignment horizontal="right"/>
      <protection locked="0"/>
    </xf>
    <xf numFmtId="168" fontId="15" fillId="0" borderId="4" xfId="569" applyNumberFormat="1" applyBorder="1" applyAlignment="1" applyProtection="1">
      <alignment horizontal="right"/>
      <protection locked="0"/>
    </xf>
    <xf numFmtId="168" fontId="15" fillId="0" borderId="5" xfId="569" applyNumberFormat="1" applyBorder="1" applyAlignment="1" applyProtection="1">
      <alignment horizontal="right"/>
      <protection locked="0"/>
    </xf>
    <xf numFmtId="0" fontId="22" fillId="0" borderId="11" xfId="569" applyFont="1" applyBorder="1" applyAlignment="1">
      <alignment horizontal="center"/>
    </xf>
    <xf numFmtId="165" fontId="15" fillId="0" borderId="11" xfId="569" applyNumberFormat="1" applyBorder="1" applyAlignment="1" applyProtection="1">
      <alignment horizontal="center"/>
      <protection locked="0"/>
    </xf>
    <xf numFmtId="168" fontId="15" fillId="0" borderId="11" xfId="569" applyNumberFormat="1" applyBorder="1"/>
    <xf numFmtId="168" fontId="15" fillId="0" borderId="3" xfId="569" applyNumberFormat="1" applyBorder="1"/>
    <xf numFmtId="168" fontId="15" fillId="0" borderId="4" xfId="569" applyNumberFormat="1" applyBorder="1"/>
    <xf numFmtId="168" fontId="15" fillId="0" borderId="5" xfId="569" applyNumberFormat="1" applyBorder="1"/>
    <xf numFmtId="168" fontId="15" fillId="0" borderId="11" xfId="569" applyNumberFormat="1" applyBorder="1" applyAlignment="1">
      <alignment wrapText="1"/>
    </xf>
    <xf numFmtId="9" fontId="15" fillId="0" borderId="15" xfId="569" applyNumberFormat="1" applyBorder="1" applyAlignment="1">
      <alignment horizontal="center"/>
    </xf>
    <xf numFmtId="0" fontId="15" fillId="0" borderId="11" xfId="569" applyBorder="1" applyAlignment="1">
      <alignment horizontal="center"/>
    </xf>
    <xf numFmtId="0" fontId="106" fillId="0" borderId="0" xfId="0" applyFont="1" applyAlignment="1">
      <alignment horizontal="left" vertical="top" wrapText="1"/>
    </xf>
    <xf numFmtId="0" fontId="20" fillId="0" borderId="6" xfId="271" applyFont="1" applyBorder="1" applyAlignment="1">
      <alignment horizontal="center"/>
    </xf>
    <xf numFmtId="3" fontId="15" fillId="0" borderId="0" xfId="0" applyNumberFormat="1" applyFont="1" applyAlignment="1">
      <alignment horizontal="left" vertical="top" wrapText="1"/>
    </xf>
    <xf numFmtId="3" fontId="24" fillId="0" borderId="0" xfId="0" applyNumberFormat="1" applyFont="1" applyAlignment="1">
      <alignment horizontal="left" vertical="top" wrapText="1"/>
    </xf>
    <xf numFmtId="0" fontId="15" fillId="43" borderId="0" xfId="0" applyFont="1" applyFill="1" applyAlignment="1">
      <alignment horizontal="left"/>
    </xf>
  </cellXfs>
  <cellStyles count="25780">
    <cellStyle name="01 #" xfId="25764" xr:uid="{2F7E99D8-4336-4FC5-BA71-933054F7C51B}"/>
    <cellStyle name="01 # 2" xfId="25631" xr:uid="{98924BC9-4725-49AA-8228-F79465C5168B}"/>
    <cellStyle name="01 #_Dropdowns" xfId="25646" xr:uid="{9AE56B20-398D-44B0-9800-1C6AD6254BD1}"/>
    <cellStyle name="01 $" xfId="25763" xr:uid="{7273E0FF-4031-42AA-84F8-E60AD31910FF}"/>
    <cellStyle name="01 $ 2" xfId="25633" xr:uid="{0AEA7290-C667-4437-964D-3FD329E8BCB9}"/>
    <cellStyle name="01 %" xfId="25673" xr:uid="{3CFB57A7-44B5-43D8-A40D-6E53011C6E21}"/>
    <cellStyle name="01 DATE" xfId="25767" xr:uid="{4F46BB4A-F6AA-4545-97A6-7105FEAA5304}"/>
    <cellStyle name="01 DATE 2" xfId="25768" xr:uid="{7D7761DE-1AAF-42F1-B15D-C3A23609BB17}"/>
    <cellStyle name="01 TEXT" xfId="25687" xr:uid="{FE51802F-32E0-4532-8F92-7B37E02BD4C8}"/>
    <cellStyle name="01 TEXT 2" xfId="25704" xr:uid="{1C3AA989-85BF-44E9-982B-E48F8FC54662}"/>
    <cellStyle name="01 TEXT 2 2" xfId="25642" xr:uid="{66E8CA9E-DB21-42A5-8298-3578F24410DE}"/>
    <cellStyle name="01 TEXT 2 2 2" xfId="25683" xr:uid="{9A19538E-7931-4112-987B-AEC6A358ACC6}"/>
    <cellStyle name="01 TEXT 2 2_Dropdowns" xfId="25756" xr:uid="{3E295CFC-9332-46EE-8BB6-8D3E77E2AAB6}"/>
    <cellStyle name="01 TEXT 2_Dropdowns" xfId="25758" xr:uid="{0133D328-6CC2-4619-BA7C-420B2CB6E34F}"/>
    <cellStyle name="01 TEXT_Dropdowns" xfId="25774" xr:uid="{CF471769-DBBA-4DAD-AAAD-D31287A105D7}"/>
    <cellStyle name="02 Prompt" xfId="25727" xr:uid="{46109F30-5E89-4347-A9C5-5B65838698C9}"/>
    <cellStyle name="02 Prompt 2" xfId="25649" xr:uid="{E01C5D83-41C3-47F6-BD98-105FF7FD4C78}"/>
    <cellStyle name="02 Prompt 2 2" xfId="25652" xr:uid="{AB704B87-1D40-4155-B03D-F106D8084CF0}"/>
    <cellStyle name="02 Prompt 2 3" xfId="25660" xr:uid="{578FC683-3438-4B6B-BEC3-4E2698C0F8D2}"/>
    <cellStyle name="02 Prompt 2 3 2" xfId="25714" xr:uid="{D7088F67-9B13-40F6-A40E-734C3A39D3E6}"/>
    <cellStyle name="02 Prompt 2 3 2 2" xfId="25666" xr:uid="{7DD6C3FD-3B1C-43B2-B394-C7B420974938}"/>
    <cellStyle name="02 Prompt 2 3 2_Dropdowns" xfId="25691" xr:uid="{88303851-71C0-45EF-B886-721EF42F8B7C}"/>
    <cellStyle name="02 Prompt 2 3_Dropdowns" xfId="25684" xr:uid="{BF4040E3-956B-4B5A-A543-82CF0F85A878}"/>
    <cellStyle name="02 Prompt 2_Dropdowns" xfId="25680" xr:uid="{E5812FB0-D161-4A3A-BC5E-EA10D76BB9D2}"/>
    <cellStyle name="02 Prompt TITLE" xfId="25670" xr:uid="{AC420358-F6BF-49AD-BB69-BED4AB69A5C6}"/>
    <cellStyle name="02 Prompt TITLE 2" xfId="25741" xr:uid="{AE30F0BA-07B4-4034-94F4-06C495DDBD71}"/>
    <cellStyle name="02 Prompt TITLE 2 2" xfId="25718" xr:uid="{D1BE6BEF-1720-4799-80AF-4AD9F2C5E589}"/>
    <cellStyle name="02 Prompt TITLE 2 3" xfId="25724" xr:uid="{D734EA8E-FBB1-4F14-BEFC-3A433DC73CF4}"/>
    <cellStyle name="02 Prompt TITLE 2_Dropdowns" xfId="25641" xr:uid="{CAF00B9A-2753-4741-ADF0-8FD814C643E8}"/>
    <cellStyle name="03 Notes" xfId="25760" xr:uid="{4EE587F4-E402-40D5-92CF-4D31B02BD269}"/>
    <cellStyle name="03 Notes 2" xfId="19653" xr:uid="{5A9A5276-6155-4198-8706-5C10FF4BCC89}"/>
    <cellStyle name="03 Notes 2 2" xfId="25721" xr:uid="{EC6D24AD-E265-4578-963B-93688C20BF0A}"/>
    <cellStyle name="03 Notes 2_Dropdowns" xfId="25728" xr:uid="{BE372DB2-D0E9-44B5-B0DA-1317B61B68F9}"/>
    <cellStyle name="05 Warning Text 2" xfId="25659" xr:uid="{EEE27D94-072C-43DE-A2DF-C90C4DD55289}"/>
    <cellStyle name="20% - Accent1" xfId="1" builtinId="30" customBuiltin="1"/>
    <cellStyle name="20% - Accent1 10" xfId="4505" xr:uid="{00000000-0005-0000-0000-000001000000}"/>
    <cellStyle name="20% - Accent1 10 2" xfId="12947" xr:uid="{AFE52452-0E31-4FC9-9A7B-8A7E46F232FF}"/>
    <cellStyle name="20% - Accent1 10 3" xfId="21393" xr:uid="{F7F24E44-B64C-484E-8CCC-38392B783455}"/>
    <cellStyle name="20% - Accent1 11" xfId="8729" xr:uid="{07F021EA-ED7E-4A66-ACEB-BA587A149542}"/>
    <cellStyle name="20% - Accent1 12" xfId="17171" xr:uid="{994C7ADE-8164-4CE9-97DC-4D49FDECF957}"/>
    <cellStyle name="20% - Accent1 2" xfId="2" xr:uid="{00000000-0005-0000-0000-000002000000}"/>
    <cellStyle name="20% - Accent1 2 10" xfId="8730" xr:uid="{BA726273-207B-477E-825C-D031ECB3E2AF}"/>
    <cellStyle name="20% - Accent1 2 11" xfId="17172" xr:uid="{8F520BB4-8672-47B8-B13D-215D33BD6718}"/>
    <cellStyle name="20% - Accent1 2 2" xfId="3" xr:uid="{00000000-0005-0000-0000-000003000000}"/>
    <cellStyle name="20% - Accent1 2 2 10" xfId="17173" xr:uid="{620B8189-4300-47F6-AC93-41D8025CD18B}"/>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432A4338-BCE7-4F80-9377-C0E0FEFDB369}"/>
    <cellStyle name="20% - Accent1 2 2 2 2 2 2 3" xfId="23955" xr:uid="{787CA609-C589-4EDD-9DDD-485466A0B807}"/>
    <cellStyle name="20% - Accent1 2 2 2 2 2 3" xfId="11291" xr:uid="{196F6A36-A5B2-4C99-A358-0650BD783BAE}"/>
    <cellStyle name="20% - Accent1 2 2 2 2 2 4" xfId="19738" xr:uid="{9BCDE729-8810-466E-ABF7-E34194D484F0}"/>
    <cellStyle name="20% - Accent1 2 2 2 2 3" xfId="4922" xr:uid="{00000000-0005-0000-0000-000008000000}"/>
    <cellStyle name="20% - Accent1 2 2 2 2 3 2" xfId="13364" xr:uid="{11EF5FD3-BC79-490C-BC6C-8704ED3765D0}"/>
    <cellStyle name="20% - Accent1 2 2 2 2 3 3" xfId="21810" xr:uid="{888B2214-77D1-493A-9580-B05331BEA93A}"/>
    <cellStyle name="20% - Accent1 2 2 2 2 4" xfId="9146" xr:uid="{2771BE48-394F-475D-85E0-47EB3E6F02D3}"/>
    <cellStyle name="20% - Accent1 2 2 2 2 5" xfId="17591" xr:uid="{F68D14BB-0D55-4134-A0C9-E4B05C098C37}"/>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0FD2C317-0E41-43EF-A573-30837E3D23B9}"/>
    <cellStyle name="20% - Accent1 2 2 2 3 2 2 3" xfId="24368" xr:uid="{357D47DE-9B1C-48CB-9506-F7DCABFEE83E}"/>
    <cellStyle name="20% - Accent1 2 2 2 3 2 3" xfId="11704" xr:uid="{1162D81E-636F-432A-A189-9BCC37F6D1CF}"/>
    <cellStyle name="20% - Accent1 2 2 2 3 2 4" xfId="20151" xr:uid="{8536450D-806E-473D-BA76-E84E4CF85F13}"/>
    <cellStyle name="20% - Accent1 2 2 2 3 3" xfId="5335" xr:uid="{00000000-0005-0000-0000-00000C000000}"/>
    <cellStyle name="20% - Accent1 2 2 2 3 3 2" xfId="13777" xr:uid="{5AA845F2-4162-4E4A-8616-69066C27D50C}"/>
    <cellStyle name="20% - Accent1 2 2 2 3 3 3" xfId="22223" xr:uid="{5DA4B8CA-971C-4814-B899-224E4F6C4ECC}"/>
    <cellStyle name="20% - Accent1 2 2 2 3 4" xfId="9559" xr:uid="{2C408184-4E56-48BD-8CCA-ECF556217E80}"/>
    <cellStyle name="20% - Accent1 2 2 2 3 5" xfId="18004" xr:uid="{6ECDC54F-8329-432E-AD70-F0980DC527E6}"/>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FCE34AB7-0FB2-4B8F-9504-E1F629EB4CDB}"/>
    <cellStyle name="20% - Accent1 2 2 2 4 2 2 3" xfId="24781" xr:uid="{F7E98560-BACF-4E59-A824-685A15D84AF5}"/>
    <cellStyle name="20% - Accent1 2 2 2 4 2 3" xfId="12117" xr:uid="{3941734D-3D33-4A02-9D95-8C8BF7079304}"/>
    <cellStyle name="20% - Accent1 2 2 2 4 2 4" xfId="20564" xr:uid="{3A49A2F2-F420-4B86-AC4B-4481BCEE74B8}"/>
    <cellStyle name="20% - Accent1 2 2 2 4 3" xfId="5748" xr:uid="{00000000-0005-0000-0000-000010000000}"/>
    <cellStyle name="20% - Accent1 2 2 2 4 3 2" xfId="14190" xr:uid="{017C6DDB-0929-438C-9655-0A95CF822E9B}"/>
    <cellStyle name="20% - Accent1 2 2 2 4 3 3" xfId="22636" xr:uid="{CFA4ECDE-7672-4155-AB75-B3EE3DBAF42E}"/>
    <cellStyle name="20% - Accent1 2 2 2 4 4" xfId="9972" xr:uid="{DEDD9843-9810-4298-A521-D33861B9E827}"/>
    <cellStyle name="20% - Accent1 2 2 2 4 5" xfId="18417" xr:uid="{595B235D-7643-44FB-85B8-4EDB7AC4CBFE}"/>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B7D09B4F-C274-4D60-863D-E9B0863C830C}"/>
    <cellStyle name="20% - Accent1 2 2 2 5 2 2 3" xfId="25194" xr:uid="{718CF48B-58BC-4CE8-BA01-2EDFF06B208D}"/>
    <cellStyle name="20% - Accent1 2 2 2 5 2 3" xfId="12530" xr:uid="{ADCCAE15-97E6-4C2C-9350-8290A7D92847}"/>
    <cellStyle name="20% - Accent1 2 2 2 5 2 4" xfId="20977" xr:uid="{F02819C7-D3E2-4ECD-A2BD-2801F8FF7996}"/>
    <cellStyle name="20% - Accent1 2 2 2 5 3" xfId="6161" xr:uid="{00000000-0005-0000-0000-000014000000}"/>
    <cellStyle name="20% - Accent1 2 2 2 5 3 2" xfId="14603" xr:uid="{8DDA2AC4-205E-416D-A5AA-71EB4F4F84BC}"/>
    <cellStyle name="20% - Accent1 2 2 2 5 3 3" xfId="23049" xr:uid="{06516019-E53C-4311-ADC6-548B2B10848C}"/>
    <cellStyle name="20% - Accent1 2 2 2 5 4" xfId="10385" xr:uid="{95395F3D-B066-44DF-BFC7-65B69BE3F6DB}"/>
    <cellStyle name="20% - Accent1 2 2 2 5 5" xfId="18830" xr:uid="{20152612-28ED-4599-BE57-1B7E7D20C96B}"/>
    <cellStyle name="20% - Accent1 2 2 2 6" xfId="2267" xr:uid="{00000000-0005-0000-0000-000015000000}"/>
    <cellStyle name="20% - Accent1 2 2 2 6 2" xfId="6574" xr:uid="{00000000-0005-0000-0000-000016000000}"/>
    <cellStyle name="20% - Accent1 2 2 2 6 2 2" xfId="15016" xr:uid="{D44FBEF9-2ADF-43CF-827E-1A3F717B7EC3}"/>
    <cellStyle name="20% - Accent1 2 2 2 6 2 3" xfId="23462" xr:uid="{BEE120BE-FED3-4C17-A2AA-511AC9B900C9}"/>
    <cellStyle name="20% - Accent1 2 2 2 6 3" xfId="10798" xr:uid="{7A1343D2-F2F7-43EE-A7DF-81B50E27B05C}"/>
    <cellStyle name="20% - Accent1 2 2 2 6 4" xfId="19243" xr:uid="{A9722812-D2DB-405C-BFBD-D2A8C6E9C7F9}"/>
    <cellStyle name="20% - Accent1 2 2 2 7" xfId="4508" xr:uid="{00000000-0005-0000-0000-000017000000}"/>
    <cellStyle name="20% - Accent1 2 2 2 7 2" xfId="12950" xr:uid="{F9456F51-9092-4426-8934-7F19DCE2BAD5}"/>
    <cellStyle name="20% - Accent1 2 2 2 7 3" xfId="21396" xr:uid="{31EBF9A2-80A9-4F7A-B930-E949533A4151}"/>
    <cellStyle name="20% - Accent1 2 2 2 8" xfId="8732" xr:uid="{A34FA1A8-FD05-4DC1-95FB-6D05C9181E23}"/>
    <cellStyle name="20% - Accent1 2 2 2 9" xfId="17174" xr:uid="{6C8D6C5F-F95A-446C-91C7-FE7330772E98}"/>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A74E1AB2-FE37-4058-950C-28F9ABD5AB71}"/>
    <cellStyle name="20% - Accent1 2 2 3 2 2 3" xfId="23954" xr:uid="{8FD333A2-5624-48F8-9617-2AC780C58625}"/>
    <cellStyle name="20% - Accent1 2 2 3 2 3" xfId="11290" xr:uid="{2261C2BA-A957-4C54-9DC2-AA527BA3F8D5}"/>
    <cellStyle name="20% - Accent1 2 2 3 2 4" xfId="19737" xr:uid="{4C24F62B-CC2B-4014-876A-348AF36A8190}"/>
    <cellStyle name="20% - Accent1 2 2 3 3" xfId="4921" xr:uid="{00000000-0005-0000-0000-00001B000000}"/>
    <cellStyle name="20% - Accent1 2 2 3 3 2" xfId="13363" xr:uid="{85343581-B99C-4A9B-A6D7-3A36DCB6E79E}"/>
    <cellStyle name="20% - Accent1 2 2 3 3 3" xfId="21809" xr:uid="{9D6A667F-CFB9-4D86-9B0C-82AE58CA957A}"/>
    <cellStyle name="20% - Accent1 2 2 3 4" xfId="9145" xr:uid="{377C5FCC-DF3F-48F9-8D30-601BC3845B4A}"/>
    <cellStyle name="20% - Accent1 2 2 3 5" xfId="17590" xr:uid="{81A4F818-CEE4-4A93-A4EF-92AC18856CD3}"/>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1C769A5A-316F-45E7-A490-FA326FCB4C87}"/>
    <cellStyle name="20% - Accent1 2 2 4 2 2 3" xfId="24367" xr:uid="{B455A6E2-AB69-4213-B014-CBB4EA224048}"/>
    <cellStyle name="20% - Accent1 2 2 4 2 3" xfId="11703" xr:uid="{B209E0C0-03D3-4BE0-8FCE-BAD493919958}"/>
    <cellStyle name="20% - Accent1 2 2 4 2 4" xfId="20150" xr:uid="{855D4B41-8CC1-4E0C-9434-2A821789109F}"/>
    <cellStyle name="20% - Accent1 2 2 4 3" xfId="5334" xr:uid="{00000000-0005-0000-0000-00001F000000}"/>
    <cellStyle name="20% - Accent1 2 2 4 3 2" xfId="13776" xr:uid="{DBE1824B-BB88-4F60-BA22-D0E18BD0032C}"/>
    <cellStyle name="20% - Accent1 2 2 4 3 3" xfId="22222" xr:uid="{A1D7B8E9-200D-416D-AE86-555E72B9C8A6}"/>
    <cellStyle name="20% - Accent1 2 2 4 4" xfId="9558" xr:uid="{4649D97A-B439-421A-B998-F2418A46DAF7}"/>
    <cellStyle name="20% - Accent1 2 2 4 5" xfId="18003" xr:uid="{16CE8186-B71F-4B72-A44A-C13562283FDE}"/>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F8E20381-939B-4C6C-BACE-D625E1B440A6}"/>
    <cellStyle name="20% - Accent1 2 2 5 2 2 3" xfId="24780" xr:uid="{525FF668-FED6-4267-B287-FA38DD8AC907}"/>
    <cellStyle name="20% - Accent1 2 2 5 2 3" xfId="12116" xr:uid="{5E9C8359-EE9E-455E-B716-EB9B39728209}"/>
    <cellStyle name="20% - Accent1 2 2 5 2 4" xfId="20563" xr:uid="{BE2B5EC9-DA97-4299-83CD-822585B08B18}"/>
    <cellStyle name="20% - Accent1 2 2 5 3" xfId="5747" xr:uid="{00000000-0005-0000-0000-000023000000}"/>
    <cellStyle name="20% - Accent1 2 2 5 3 2" xfId="14189" xr:uid="{01890CA8-DC64-4590-8CEA-E5861883EE2A}"/>
    <cellStyle name="20% - Accent1 2 2 5 3 3" xfId="22635" xr:uid="{B0DD4D36-86BC-4415-9AA6-2E62A4D28F06}"/>
    <cellStyle name="20% - Accent1 2 2 5 4" xfId="9971" xr:uid="{25F450AD-A3D8-43D3-9260-E9E60AAAEDA8}"/>
    <cellStyle name="20% - Accent1 2 2 5 5" xfId="18416" xr:uid="{60CB33BA-AF24-43E5-9894-0DB2C9307E0F}"/>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6FBB5023-C118-4785-BEEE-45D7EB55616F}"/>
    <cellStyle name="20% - Accent1 2 2 6 2 2 3" xfId="25193" xr:uid="{FA1849D4-9C2C-44FB-84F8-7D6DB4E925C8}"/>
    <cellStyle name="20% - Accent1 2 2 6 2 3" xfId="12529" xr:uid="{215BE4A7-A259-40B0-A4F1-3C7983A644CD}"/>
    <cellStyle name="20% - Accent1 2 2 6 2 4" xfId="20976" xr:uid="{5F04AC6F-5488-48C0-8C68-B0D32C8FF4E1}"/>
    <cellStyle name="20% - Accent1 2 2 6 3" xfId="6160" xr:uid="{00000000-0005-0000-0000-000027000000}"/>
    <cellStyle name="20% - Accent1 2 2 6 3 2" xfId="14602" xr:uid="{A486A43B-D66F-4BBC-9C00-863804E6A4CC}"/>
    <cellStyle name="20% - Accent1 2 2 6 3 3" xfId="23048" xr:uid="{2467EBFF-E134-43BF-9E73-EA4BD9778095}"/>
    <cellStyle name="20% - Accent1 2 2 6 4" xfId="10384" xr:uid="{0BEB641F-26BC-4192-ADE8-8CB220E7D1E1}"/>
    <cellStyle name="20% - Accent1 2 2 6 5" xfId="18829" xr:uid="{9FF75E06-DE88-4E6A-9E53-B13843D19F20}"/>
    <cellStyle name="20% - Accent1 2 2 7" xfId="2266" xr:uid="{00000000-0005-0000-0000-000028000000}"/>
    <cellStyle name="20% - Accent1 2 2 7 2" xfId="6573" xr:uid="{00000000-0005-0000-0000-000029000000}"/>
    <cellStyle name="20% - Accent1 2 2 7 2 2" xfId="15015" xr:uid="{D2A60E5A-62C1-4C9A-AC2C-7BD0868782C5}"/>
    <cellStyle name="20% - Accent1 2 2 7 2 3" xfId="23461" xr:uid="{B989EB32-D8EA-4FEC-BAC2-E9697390F715}"/>
    <cellStyle name="20% - Accent1 2 2 7 3" xfId="10797" xr:uid="{0608C5DB-32A0-4347-9D90-C0C711A93160}"/>
    <cellStyle name="20% - Accent1 2 2 7 4" xfId="19242" xr:uid="{CFA18F48-7F2F-4905-BA5F-ED0D2D7A4D3C}"/>
    <cellStyle name="20% - Accent1 2 2 8" xfId="4507" xr:uid="{00000000-0005-0000-0000-00002A000000}"/>
    <cellStyle name="20% - Accent1 2 2 8 2" xfId="12949" xr:uid="{156EFCE7-472D-435D-9B94-D4CAA1BF5651}"/>
    <cellStyle name="20% - Accent1 2 2 8 3" xfId="21395" xr:uid="{767E840D-3205-4BFE-9C29-45BDA5A407B8}"/>
    <cellStyle name="20% - Accent1 2 2 9" xfId="8731" xr:uid="{FBCD455B-8088-4F9C-AD46-376FB506E312}"/>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016AB785-476F-49D9-94F6-0074D5601EFD}"/>
    <cellStyle name="20% - Accent1 2 3 2 2 2 3" xfId="23956" xr:uid="{0567302E-7C38-46D2-935E-00E664729531}"/>
    <cellStyle name="20% - Accent1 2 3 2 2 3" xfId="11292" xr:uid="{3B23A8A2-1CC3-48D7-982B-E31E21A263BF}"/>
    <cellStyle name="20% - Accent1 2 3 2 2 4" xfId="19739" xr:uid="{31062C97-5DB3-4B2E-B2C3-4D886D52BFF4}"/>
    <cellStyle name="20% - Accent1 2 3 2 3" xfId="4923" xr:uid="{00000000-0005-0000-0000-00002F000000}"/>
    <cellStyle name="20% - Accent1 2 3 2 3 2" xfId="13365" xr:uid="{90762A1D-49C3-4C40-96BA-638E3ACAC82E}"/>
    <cellStyle name="20% - Accent1 2 3 2 3 3" xfId="21811" xr:uid="{23E13692-84C8-46BA-8C93-4F6A4B9968BB}"/>
    <cellStyle name="20% - Accent1 2 3 2 4" xfId="9147" xr:uid="{40E40A39-C2CB-45C1-8B92-0FDCABD6FDEF}"/>
    <cellStyle name="20% - Accent1 2 3 2 5" xfId="17592" xr:uid="{B3384ABC-55CA-4715-AB6E-0A7842613A2F}"/>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63878DB2-4866-4609-85A5-70D11A7FCDF7}"/>
    <cellStyle name="20% - Accent1 2 3 3 2 2 3" xfId="24369" xr:uid="{1AD415BC-52C9-47DF-A465-45D986BE0660}"/>
    <cellStyle name="20% - Accent1 2 3 3 2 3" xfId="11705" xr:uid="{62763D71-2A30-4D15-9D4E-B62B6D3AF4F8}"/>
    <cellStyle name="20% - Accent1 2 3 3 2 4" xfId="20152" xr:uid="{C7A35C3B-42AD-495E-ABBE-01166350DC90}"/>
    <cellStyle name="20% - Accent1 2 3 3 3" xfId="5336" xr:uid="{00000000-0005-0000-0000-000033000000}"/>
    <cellStyle name="20% - Accent1 2 3 3 3 2" xfId="13778" xr:uid="{697F519C-2339-4984-BC13-ADE817326B51}"/>
    <cellStyle name="20% - Accent1 2 3 3 3 3" xfId="22224" xr:uid="{9779BC5A-B136-4AC0-98FD-2A7A86891B27}"/>
    <cellStyle name="20% - Accent1 2 3 3 4" xfId="9560" xr:uid="{E76DB750-2414-4DAD-A34B-68E5CBCE2AEA}"/>
    <cellStyle name="20% - Accent1 2 3 3 5" xfId="18005" xr:uid="{52DE4951-3B85-4DA7-B8D5-2AE831382E2A}"/>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D4DF093A-45DF-4266-A5DF-BE189D7E1041}"/>
    <cellStyle name="20% - Accent1 2 3 4 2 2 3" xfId="24782" xr:uid="{192F09DB-BAC6-4A7E-8341-0EA273B19186}"/>
    <cellStyle name="20% - Accent1 2 3 4 2 3" xfId="12118" xr:uid="{A8369F49-A59B-4E1C-962B-393915FD5366}"/>
    <cellStyle name="20% - Accent1 2 3 4 2 4" xfId="20565" xr:uid="{08D91819-4F96-48CE-9E9A-FD49F553207A}"/>
    <cellStyle name="20% - Accent1 2 3 4 3" xfId="5749" xr:uid="{00000000-0005-0000-0000-000037000000}"/>
    <cellStyle name="20% - Accent1 2 3 4 3 2" xfId="14191" xr:uid="{E73FB826-FA04-45B5-909C-04A5F9368A02}"/>
    <cellStyle name="20% - Accent1 2 3 4 3 3" xfId="22637" xr:uid="{B3F009DD-A1F9-443D-B833-4DA764F24A30}"/>
    <cellStyle name="20% - Accent1 2 3 4 4" xfId="9973" xr:uid="{C5F33A29-8931-4878-A6CC-52B7278F92FA}"/>
    <cellStyle name="20% - Accent1 2 3 4 5" xfId="18418" xr:uid="{77E46AE7-82FF-4D55-B511-AF97D43427DC}"/>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66B2C32A-9163-49FD-8630-1CEDE518702E}"/>
    <cellStyle name="20% - Accent1 2 3 5 2 2 3" xfId="25195" xr:uid="{751785AE-255F-480B-AB36-1A35BBB7AB9B}"/>
    <cellStyle name="20% - Accent1 2 3 5 2 3" xfId="12531" xr:uid="{764962B9-5C92-4C81-8B64-CC1B3B4BD3B5}"/>
    <cellStyle name="20% - Accent1 2 3 5 2 4" xfId="20978" xr:uid="{FAB85B60-DB45-44AF-95E2-271F3A5241CD}"/>
    <cellStyle name="20% - Accent1 2 3 5 3" xfId="6162" xr:uid="{00000000-0005-0000-0000-00003B000000}"/>
    <cellStyle name="20% - Accent1 2 3 5 3 2" xfId="14604" xr:uid="{0D2475CA-CCD7-4F81-86B7-8715A5176E8F}"/>
    <cellStyle name="20% - Accent1 2 3 5 3 3" xfId="23050" xr:uid="{4DC6BA83-9CCB-4C97-AE0B-2FFF4C033421}"/>
    <cellStyle name="20% - Accent1 2 3 5 4" xfId="10386" xr:uid="{D1042DE2-FB33-495C-B74A-E28C4E7ED8F4}"/>
    <cellStyle name="20% - Accent1 2 3 5 5" xfId="18831" xr:uid="{DA4FA0F9-B6E5-4B2A-9569-1913C70D4C13}"/>
    <cellStyle name="20% - Accent1 2 3 6" xfId="2268" xr:uid="{00000000-0005-0000-0000-00003C000000}"/>
    <cellStyle name="20% - Accent1 2 3 6 2" xfId="6575" xr:uid="{00000000-0005-0000-0000-00003D000000}"/>
    <cellStyle name="20% - Accent1 2 3 6 2 2" xfId="15017" xr:uid="{3064A8E6-544F-4950-A0BB-68DAFC62D55C}"/>
    <cellStyle name="20% - Accent1 2 3 6 2 3" xfId="23463" xr:uid="{79DE314C-3894-4AB6-82A8-37B4C974CC07}"/>
    <cellStyle name="20% - Accent1 2 3 6 3" xfId="10799" xr:uid="{39158744-FDBF-4C1F-A244-38EC96E20BC1}"/>
    <cellStyle name="20% - Accent1 2 3 6 4" xfId="19244" xr:uid="{4DDB39CE-67F1-4190-9BC6-298B5A5BE7C2}"/>
    <cellStyle name="20% - Accent1 2 3 7" xfId="4509" xr:uid="{00000000-0005-0000-0000-00003E000000}"/>
    <cellStyle name="20% - Accent1 2 3 7 2" xfId="12951" xr:uid="{43D78D5E-AE48-4E5A-8AFD-129A2D25810E}"/>
    <cellStyle name="20% - Accent1 2 3 7 3" xfId="21397" xr:uid="{122C5442-E0D4-4E55-BF71-7837AB071B6A}"/>
    <cellStyle name="20% - Accent1 2 3 8" xfId="8733" xr:uid="{31EDF1FB-6C3A-4029-BBD1-41FF3C384CBC}"/>
    <cellStyle name="20% - Accent1 2 3 9" xfId="17175" xr:uid="{668254E3-8275-4D68-A4EC-68A8EC43E2D7}"/>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186F2273-7C72-4E49-8FEC-551CBA948A51}"/>
    <cellStyle name="20% - Accent1 2 4 2 2 3" xfId="23953" xr:uid="{37937058-9071-4D6D-AFEF-01D6C1749072}"/>
    <cellStyle name="20% - Accent1 2 4 2 3" xfId="11289" xr:uid="{6ED4131E-9F23-4F78-9467-F16735318C8D}"/>
    <cellStyle name="20% - Accent1 2 4 2 4" xfId="19736" xr:uid="{D3528D9A-850A-4818-83BB-8D9D8F3A96B0}"/>
    <cellStyle name="20% - Accent1 2 4 3" xfId="4920" xr:uid="{00000000-0005-0000-0000-000042000000}"/>
    <cellStyle name="20% - Accent1 2 4 3 2" xfId="13362" xr:uid="{C840513B-6069-464C-8337-908E6CD42C2D}"/>
    <cellStyle name="20% - Accent1 2 4 3 3" xfId="21808" xr:uid="{4E62A3F3-81F2-4487-9630-3CCD3F810282}"/>
    <cellStyle name="20% - Accent1 2 4 4" xfId="9144" xr:uid="{5FDCEF63-F862-40B7-9C6E-F1CEE7ECB65C}"/>
    <cellStyle name="20% - Accent1 2 4 5" xfId="17589" xr:uid="{1E35CC31-AD16-425C-8054-51217811B61C}"/>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C812BBAE-ED44-420D-9522-DCCCE65E3736}"/>
    <cellStyle name="20% - Accent1 2 5 2 2 3" xfId="24366" xr:uid="{9D7515FD-56F3-437B-90E5-5387CEE0AEF8}"/>
    <cellStyle name="20% - Accent1 2 5 2 3" xfId="11702" xr:uid="{67A43102-1D91-40B4-95CD-78B1E9822A99}"/>
    <cellStyle name="20% - Accent1 2 5 2 4" xfId="20149" xr:uid="{A2F58296-ECDF-4CB1-9EB8-046643E15689}"/>
    <cellStyle name="20% - Accent1 2 5 3" xfId="5333" xr:uid="{00000000-0005-0000-0000-000046000000}"/>
    <cellStyle name="20% - Accent1 2 5 3 2" xfId="13775" xr:uid="{139EE9B7-E897-4602-AA33-9D327B139AA0}"/>
    <cellStyle name="20% - Accent1 2 5 3 3" xfId="22221" xr:uid="{3E522FD8-4AD6-4B4D-A821-5E600A89F932}"/>
    <cellStyle name="20% - Accent1 2 5 4" xfId="9557" xr:uid="{A544D934-C296-4D8E-93EF-9C7323EC9C33}"/>
    <cellStyle name="20% - Accent1 2 5 5" xfId="18002" xr:uid="{390518B5-5931-494F-8E16-87F2D04B36FA}"/>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58626771-61FD-412C-B248-9E706380CD1A}"/>
    <cellStyle name="20% - Accent1 2 6 2 2 3" xfId="24779" xr:uid="{230070A7-38B5-461B-92A1-93A9B5D33BD8}"/>
    <cellStyle name="20% - Accent1 2 6 2 3" xfId="12115" xr:uid="{5FE5CCB9-AEB1-4A3C-80E1-2C9C65A5481C}"/>
    <cellStyle name="20% - Accent1 2 6 2 4" xfId="20562" xr:uid="{3E65FD57-9803-42C6-B480-098E7FDDFBE7}"/>
    <cellStyle name="20% - Accent1 2 6 3" xfId="5746" xr:uid="{00000000-0005-0000-0000-00004A000000}"/>
    <cellStyle name="20% - Accent1 2 6 3 2" xfId="14188" xr:uid="{5E7EDB0F-D548-4B19-A1D7-B479437293A5}"/>
    <cellStyle name="20% - Accent1 2 6 3 3" xfId="22634" xr:uid="{5B9F1D1D-A26C-456B-9BC8-5E58B632B966}"/>
    <cellStyle name="20% - Accent1 2 6 4" xfId="9970" xr:uid="{5455D4F1-8A6D-408E-B8DB-C0B17A30CB69}"/>
    <cellStyle name="20% - Accent1 2 6 5" xfId="18415" xr:uid="{336B636E-89AE-4051-9022-9F3978849A6C}"/>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ADB91799-C827-44E0-A318-F34541C85346}"/>
    <cellStyle name="20% - Accent1 2 7 2 2 3" xfId="25192" xr:uid="{ECFE60AF-65D6-4B6C-AB75-4724AF51A0C2}"/>
    <cellStyle name="20% - Accent1 2 7 2 3" xfId="12528" xr:uid="{07C0519D-ACBC-44F1-ADBB-F6410ED7BC7E}"/>
    <cellStyle name="20% - Accent1 2 7 2 4" xfId="20975" xr:uid="{16BC3BE4-9600-4258-AF88-864C3756DB6E}"/>
    <cellStyle name="20% - Accent1 2 7 3" xfId="6159" xr:uid="{00000000-0005-0000-0000-00004E000000}"/>
    <cellStyle name="20% - Accent1 2 7 3 2" xfId="14601" xr:uid="{8150B26F-8EA3-4A20-83D4-035491DBC15F}"/>
    <cellStyle name="20% - Accent1 2 7 3 3" xfId="23047" xr:uid="{916C4C7F-A298-49C1-B2B7-372D99FFE9F9}"/>
    <cellStyle name="20% - Accent1 2 7 4" xfId="10383" xr:uid="{3BBA9111-D337-4792-A821-9F535DBAEBA0}"/>
    <cellStyle name="20% - Accent1 2 7 5" xfId="18828" xr:uid="{E3FBBFBB-8AB2-4EE9-A9CE-2272132B6754}"/>
    <cellStyle name="20% - Accent1 2 8" xfId="2265" xr:uid="{00000000-0005-0000-0000-00004F000000}"/>
    <cellStyle name="20% - Accent1 2 8 2" xfId="6572" xr:uid="{00000000-0005-0000-0000-000050000000}"/>
    <cellStyle name="20% - Accent1 2 8 2 2" xfId="15014" xr:uid="{17F6F56B-2463-4190-900E-21683FD72238}"/>
    <cellStyle name="20% - Accent1 2 8 2 3" xfId="23460" xr:uid="{2A6E66E0-7155-4A79-9FE8-CB48CFC1EBE5}"/>
    <cellStyle name="20% - Accent1 2 8 3" xfId="10796" xr:uid="{42DF835A-5BBD-467A-89C6-0CFB85279B94}"/>
    <cellStyle name="20% - Accent1 2 8 4" xfId="19241" xr:uid="{D8423C78-76AF-4950-B950-94EFB9A4C8A6}"/>
    <cellStyle name="20% - Accent1 2 9" xfId="4506" xr:uid="{00000000-0005-0000-0000-000051000000}"/>
    <cellStyle name="20% - Accent1 2 9 2" xfId="12948" xr:uid="{CEF126C7-BA4E-489E-AB8B-753D187DEA2A}"/>
    <cellStyle name="20% - Accent1 2 9 3" xfId="21394" xr:uid="{545F19C1-729A-4938-8724-3EAA92697219}"/>
    <cellStyle name="20% - Accent1 3" xfId="6" xr:uid="{00000000-0005-0000-0000-000052000000}"/>
    <cellStyle name="20% - Accent1 3 10" xfId="17176" xr:uid="{071AEA5C-55AA-4743-8961-38AC11CAE2C5}"/>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0A0EE444-7444-4998-B477-EE56F89969B0}"/>
    <cellStyle name="20% - Accent1 3 2 2 2 2 3" xfId="23958" xr:uid="{E8B48671-C007-42C7-995E-5C4301D42354}"/>
    <cellStyle name="20% - Accent1 3 2 2 2 3" xfId="11294" xr:uid="{F4FCCA98-AB99-42D2-A9A1-67B5BA566617}"/>
    <cellStyle name="20% - Accent1 3 2 2 2 4" xfId="19741" xr:uid="{66953996-724F-47F2-ACA3-6D3DD82259CA}"/>
    <cellStyle name="20% - Accent1 3 2 2 3" xfId="4925" xr:uid="{00000000-0005-0000-0000-000057000000}"/>
    <cellStyle name="20% - Accent1 3 2 2 3 2" xfId="13367" xr:uid="{46D79229-F3ED-4B64-8011-39375E827174}"/>
    <cellStyle name="20% - Accent1 3 2 2 3 3" xfId="21813" xr:uid="{1C374153-D298-4210-ADA1-4A5A1DC90E0C}"/>
    <cellStyle name="20% - Accent1 3 2 2 4" xfId="9149" xr:uid="{3EEDC1B3-0C53-4AEC-A4FC-E9882E70C7D9}"/>
    <cellStyle name="20% - Accent1 3 2 2 5" xfId="17594" xr:uid="{3AC3CB9A-1B83-42EA-A906-4742DAB34BE8}"/>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5C74BDA5-C185-4C99-AEB6-AC41FE6DA4C2}"/>
    <cellStyle name="20% - Accent1 3 2 3 2 2 3" xfId="24371" xr:uid="{D769A80B-9E60-4BB1-882F-6414EAD9FD5D}"/>
    <cellStyle name="20% - Accent1 3 2 3 2 3" xfId="11707" xr:uid="{49F8BD6D-C4EC-42B3-A243-353534D084C1}"/>
    <cellStyle name="20% - Accent1 3 2 3 2 4" xfId="20154" xr:uid="{F6A18246-FFD7-4BE7-ACEF-183030665234}"/>
    <cellStyle name="20% - Accent1 3 2 3 3" xfId="5338" xr:uid="{00000000-0005-0000-0000-00005B000000}"/>
    <cellStyle name="20% - Accent1 3 2 3 3 2" xfId="13780" xr:uid="{EC4BCFE5-B060-4827-AC6C-0884A81C3701}"/>
    <cellStyle name="20% - Accent1 3 2 3 3 3" xfId="22226" xr:uid="{74070CEE-5CF3-4E07-B312-3105DB33BCAD}"/>
    <cellStyle name="20% - Accent1 3 2 3 4" xfId="9562" xr:uid="{48BDCE8B-2CE0-4994-ADAD-B299D854AB4C}"/>
    <cellStyle name="20% - Accent1 3 2 3 5" xfId="18007" xr:uid="{D82C4BA7-2B88-4A6C-BF7A-4C8960507231}"/>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AB0FB918-E334-43D1-955D-FF1FF4CFF5EB}"/>
    <cellStyle name="20% - Accent1 3 2 4 2 2 3" xfId="24784" xr:uid="{749BF086-EAA1-4C91-B83C-1C6EA5849AAD}"/>
    <cellStyle name="20% - Accent1 3 2 4 2 3" xfId="12120" xr:uid="{AE5D7CAA-BF1C-4E8C-8A8E-47B7FA6299CF}"/>
    <cellStyle name="20% - Accent1 3 2 4 2 4" xfId="20567" xr:uid="{13752AE4-1649-464D-A826-F61FB871B6A1}"/>
    <cellStyle name="20% - Accent1 3 2 4 3" xfId="5751" xr:uid="{00000000-0005-0000-0000-00005F000000}"/>
    <cellStyle name="20% - Accent1 3 2 4 3 2" xfId="14193" xr:uid="{F838930F-7504-42F7-8212-AF61BEACAA9E}"/>
    <cellStyle name="20% - Accent1 3 2 4 3 3" xfId="22639" xr:uid="{04FFA129-810A-4854-98AB-3492E2B2EB65}"/>
    <cellStyle name="20% - Accent1 3 2 4 4" xfId="9975" xr:uid="{1B7E6AF5-8913-4E38-8D51-DF3C610ED6F5}"/>
    <cellStyle name="20% - Accent1 3 2 4 5" xfId="18420" xr:uid="{84AD4161-625B-4B19-BA46-BE30FBE57923}"/>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7EB33E86-3764-4DB8-BA9E-F67F644D49FA}"/>
    <cellStyle name="20% - Accent1 3 2 5 2 2 3" xfId="25197" xr:uid="{0077B98A-27BF-4E28-9480-0CC6F062EA34}"/>
    <cellStyle name="20% - Accent1 3 2 5 2 3" xfId="12533" xr:uid="{FFFB2B70-8527-4EF9-8FDD-23655E075C92}"/>
    <cellStyle name="20% - Accent1 3 2 5 2 4" xfId="20980" xr:uid="{9CE73C4C-DC72-45D9-84AC-BDB5EF852650}"/>
    <cellStyle name="20% - Accent1 3 2 5 3" xfId="6164" xr:uid="{00000000-0005-0000-0000-000063000000}"/>
    <cellStyle name="20% - Accent1 3 2 5 3 2" xfId="14606" xr:uid="{BCC6E1F5-D184-44F0-87B0-68CCB52C9779}"/>
    <cellStyle name="20% - Accent1 3 2 5 3 3" xfId="23052" xr:uid="{F460273E-8624-4B4A-9041-42D1DFCD1BA2}"/>
    <cellStyle name="20% - Accent1 3 2 5 4" xfId="10388" xr:uid="{5CADA0D2-9B5D-426A-9E9B-1A4A5C659F00}"/>
    <cellStyle name="20% - Accent1 3 2 5 5" xfId="18833" xr:uid="{4943079A-B4C9-4409-9111-B720995ED2B1}"/>
    <cellStyle name="20% - Accent1 3 2 6" xfId="2270" xr:uid="{00000000-0005-0000-0000-000064000000}"/>
    <cellStyle name="20% - Accent1 3 2 6 2" xfId="6577" xr:uid="{00000000-0005-0000-0000-000065000000}"/>
    <cellStyle name="20% - Accent1 3 2 6 2 2" xfId="15019" xr:uid="{A0D1E832-CAF5-4094-8392-2A1889013FF6}"/>
    <cellStyle name="20% - Accent1 3 2 6 2 3" xfId="23465" xr:uid="{76072DE9-8B0C-4875-9179-DF70FB0FAC4B}"/>
    <cellStyle name="20% - Accent1 3 2 6 3" xfId="10801" xr:uid="{4FCB98E4-D455-42D9-9F49-4D69D46C9C0E}"/>
    <cellStyle name="20% - Accent1 3 2 6 4" xfId="19246" xr:uid="{67DDE4E6-88C2-4BE9-A348-72819A8651EC}"/>
    <cellStyle name="20% - Accent1 3 2 7" xfId="4511" xr:uid="{00000000-0005-0000-0000-000066000000}"/>
    <cellStyle name="20% - Accent1 3 2 7 2" xfId="12953" xr:uid="{3EDFD7D3-1267-4ECB-B050-6DDB3239D52B}"/>
    <cellStyle name="20% - Accent1 3 2 7 3" xfId="21399" xr:uid="{824B7F58-09E6-4ADF-96DC-4D1AE52E7DFA}"/>
    <cellStyle name="20% - Accent1 3 2 8" xfId="8735" xr:uid="{82B5FA7C-0A9B-400D-917B-C240A02015C3}"/>
    <cellStyle name="20% - Accent1 3 2 9" xfId="17177" xr:uid="{1E0195B1-7791-49B8-9088-B1CC51A99454}"/>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A3BBB6BC-BCEC-4B2C-A236-74BFFD36A8B5}"/>
    <cellStyle name="20% - Accent1 3 3 2 2 3" xfId="23957" xr:uid="{74364E99-90D3-4024-BF04-4E2D773C99C8}"/>
    <cellStyle name="20% - Accent1 3 3 2 3" xfId="11293" xr:uid="{17BE3672-5CA2-424E-A8BA-791B9D10449D}"/>
    <cellStyle name="20% - Accent1 3 3 2 4" xfId="19740" xr:uid="{EF5152E3-84E2-49FA-A033-66268E33F274}"/>
    <cellStyle name="20% - Accent1 3 3 3" xfId="4924" xr:uid="{00000000-0005-0000-0000-00006A000000}"/>
    <cellStyle name="20% - Accent1 3 3 3 2" xfId="13366" xr:uid="{F83F13E1-A93D-41C9-A2C2-9F55D360C043}"/>
    <cellStyle name="20% - Accent1 3 3 3 3" xfId="21812" xr:uid="{AAFFCD9B-1BC5-43C6-9738-C428209F060E}"/>
    <cellStyle name="20% - Accent1 3 3 4" xfId="9148" xr:uid="{A7AD5480-8E1D-4641-B3C8-7C795A62EF2D}"/>
    <cellStyle name="20% - Accent1 3 3 5" xfId="17593" xr:uid="{A4EC0D53-CFEF-4F72-9B7A-55CDB94D0EE7}"/>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9DAA6B30-D16C-423A-858B-249D370BEC53}"/>
    <cellStyle name="20% - Accent1 3 4 2 2 3" xfId="24370" xr:uid="{BE1787B3-D8DB-45B2-A3D6-6082D401868D}"/>
    <cellStyle name="20% - Accent1 3 4 2 3" xfId="11706" xr:uid="{16CDC74E-5DB8-4907-A513-E9F6C3E5C7F8}"/>
    <cellStyle name="20% - Accent1 3 4 2 4" xfId="20153" xr:uid="{BCFA8D7E-611B-434E-BCA1-911151016624}"/>
    <cellStyle name="20% - Accent1 3 4 3" xfId="5337" xr:uid="{00000000-0005-0000-0000-00006E000000}"/>
    <cellStyle name="20% - Accent1 3 4 3 2" xfId="13779" xr:uid="{1DD831A0-E563-4463-AA23-54A387F5598E}"/>
    <cellStyle name="20% - Accent1 3 4 3 3" xfId="22225" xr:uid="{AAF3A6EF-1D58-4BD5-BC44-5904B17315BF}"/>
    <cellStyle name="20% - Accent1 3 4 4" xfId="9561" xr:uid="{69C26E9E-E5CC-4018-8A70-B321CC112400}"/>
    <cellStyle name="20% - Accent1 3 4 5" xfId="18006" xr:uid="{A6FD23F8-AE03-4EF3-AA3B-3F9DDF8BCF24}"/>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30256B82-57B7-4025-9151-22CD57007A7E}"/>
    <cellStyle name="20% - Accent1 3 5 2 2 3" xfId="24783" xr:uid="{9593A325-901C-416A-8845-C31A1B078711}"/>
    <cellStyle name="20% - Accent1 3 5 2 3" xfId="12119" xr:uid="{B8E483F5-C90E-4A5F-AFE2-6883C9F4A366}"/>
    <cellStyle name="20% - Accent1 3 5 2 4" xfId="20566" xr:uid="{CAAC1B3C-FEA2-417D-8C1E-74D7409C9B6B}"/>
    <cellStyle name="20% - Accent1 3 5 3" xfId="5750" xr:uid="{00000000-0005-0000-0000-000072000000}"/>
    <cellStyle name="20% - Accent1 3 5 3 2" xfId="14192" xr:uid="{99D1407A-A99D-44F6-A8EC-5C5C5007F05B}"/>
    <cellStyle name="20% - Accent1 3 5 3 3" xfId="22638" xr:uid="{1E71C9E3-3C34-4DA1-9773-DF36408FFB5D}"/>
    <cellStyle name="20% - Accent1 3 5 4" xfId="9974" xr:uid="{9EDE2E4C-D51F-4B76-AEFF-D3213D9E101C}"/>
    <cellStyle name="20% - Accent1 3 5 5" xfId="18419" xr:uid="{9FC69349-C745-47BB-86BF-C5B5D8552293}"/>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5BC14883-CADE-4A7C-9E4E-D62ECA343518}"/>
    <cellStyle name="20% - Accent1 3 6 2 2 3" xfId="25196" xr:uid="{AE6DBF4A-648B-41C3-AF4B-E710DD7CEE88}"/>
    <cellStyle name="20% - Accent1 3 6 2 3" xfId="12532" xr:uid="{BE252014-A30E-4DAE-A412-CEB5D009869F}"/>
    <cellStyle name="20% - Accent1 3 6 2 4" xfId="20979" xr:uid="{B1D007C3-A764-4530-8CED-DE0FE1E5D421}"/>
    <cellStyle name="20% - Accent1 3 6 3" xfId="6163" xr:uid="{00000000-0005-0000-0000-000076000000}"/>
    <cellStyle name="20% - Accent1 3 6 3 2" xfId="14605" xr:uid="{0546D66E-497D-4F75-8995-07596ADE9FEF}"/>
    <cellStyle name="20% - Accent1 3 6 3 3" xfId="23051" xr:uid="{B856B472-9E16-4491-B639-6C4D70B9CB32}"/>
    <cellStyle name="20% - Accent1 3 6 4" xfId="10387" xr:uid="{B4B452C8-5F2A-4F3D-8D8B-57D1341F9C80}"/>
    <cellStyle name="20% - Accent1 3 6 5" xfId="18832" xr:uid="{4C30472D-AE7A-4B50-A6BF-9DFA0AB9D0FB}"/>
    <cellStyle name="20% - Accent1 3 7" xfId="2269" xr:uid="{00000000-0005-0000-0000-000077000000}"/>
    <cellStyle name="20% - Accent1 3 7 2" xfId="6576" xr:uid="{00000000-0005-0000-0000-000078000000}"/>
    <cellStyle name="20% - Accent1 3 7 2 2" xfId="15018" xr:uid="{19B0AB9C-D120-436A-B07F-266459128502}"/>
    <cellStyle name="20% - Accent1 3 7 2 3" xfId="23464" xr:uid="{E73779BE-E68F-4E10-9B4A-714155F361EC}"/>
    <cellStyle name="20% - Accent1 3 7 3" xfId="10800" xr:uid="{7F2CDA8A-6531-4551-BBC8-8B730E576420}"/>
    <cellStyle name="20% - Accent1 3 7 4" xfId="19245" xr:uid="{C9290843-7BD4-40CB-B468-9AF4199EB858}"/>
    <cellStyle name="20% - Accent1 3 8" xfId="4510" xr:uid="{00000000-0005-0000-0000-000079000000}"/>
    <cellStyle name="20% - Accent1 3 8 2" xfId="12952" xr:uid="{9ED59C0F-84DA-4975-84D2-0CB1E282A7A4}"/>
    <cellStyle name="20% - Accent1 3 8 3" xfId="21398" xr:uid="{5ACE6DF7-4D0C-476D-9212-86B63F706C97}"/>
    <cellStyle name="20% - Accent1 3 9" xfId="8734" xr:uid="{1290F94B-28E7-40FE-B194-E1D87633D4B4}"/>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3A519831-70B4-46C7-AE40-722603702BC8}"/>
    <cellStyle name="20% - Accent1 4 2 2 2 3" xfId="23959" xr:uid="{EBE427C2-87CA-4AEF-BA5D-548F5DA24316}"/>
    <cellStyle name="20% - Accent1 4 2 2 3" xfId="11295" xr:uid="{8BDF9FE0-173F-4529-A923-A29652F7D4EE}"/>
    <cellStyle name="20% - Accent1 4 2 2 4" xfId="19742" xr:uid="{27A5665C-B954-4A6D-A630-57746B697878}"/>
    <cellStyle name="20% - Accent1 4 2 3" xfId="4926" xr:uid="{00000000-0005-0000-0000-00007E000000}"/>
    <cellStyle name="20% - Accent1 4 2 3 2" xfId="13368" xr:uid="{425A4380-76B3-4E5C-ABDF-F7C38E7564E0}"/>
    <cellStyle name="20% - Accent1 4 2 3 3" xfId="21814" xr:uid="{1C8FDFCC-46AA-4CA4-A8F8-CD42F1D8AF9E}"/>
    <cellStyle name="20% - Accent1 4 2 4" xfId="9150" xr:uid="{B649AE04-A3A1-4DD8-A1B8-28225FC68C9B}"/>
    <cellStyle name="20% - Accent1 4 2 5" xfId="17595" xr:uid="{8138C0F7-6903-4557-A74B-2E2458C21DA2}"/>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D0FF854E-C986-4782-B939-B37D9A1B7ECA}"/>
    <cellStyle name="20% - Accent1 4 3 2 2 3" xfId="24372" xr:uid="{6CD05FBF-C8C2-43CD-B08E-AAC1B5FD82E4}"/>
    <cellStyle name="20% - Accent1 4 3 2 3" xfId="11708" xr:uid="{AE55DDC6-E4F4-4158-AA8E-6D88C724A9ED}"/>
    <cellStyle name="20% - Accent1 4 3 2 4" xfId="20155" xr:uid="{676F91E6-DDA0-4630-BA36-30551E6F5979}"/>
    <cellStyle name="20% - Accent1 4 3 3" xfId="5339" xr:uid="{00000000-0005-0000-0000-000082000000}"/>
    <cellStyle name="20% - Accent1 4 3 3 2" xfId="13781" xr:uid="{0F7CF935-476C-4B88-AAE8-B10CBBEBDDBF}"/>
    <cellStyle name="20% - Accent1 4 3 3 3" xfId="22227" xr:uid="{99E27865-469D-4EEA-96C3-467353C1922D}"/>
    <cellStyle name="20% - Accent1 4 3 4" xfId="9563" xr:uid="{CDEFF21C-10A2-42C9-BC22-2120002AE030}"/>
    <cellStyle name="20% - Accent1 4 3 5" xfId="18008" xr:uid="{0A828BD5-CCB6-4577-B2D0-3E05A1BD1FCE}"/>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D3081F1E-2B9A-459C-A5C0-88ADAF767BA4}"/>
    <cellStyle name="20% - Accent1 4 4 2 2 3" xfId="24785" xr:uid="{A21539B2-8C5E-4DEE-A848-1142486A758F}"/>
    <cellStyle name="20% - Accent1 4 4 2 3" xfId="12121" xr:uid="{3D33B6B3-6BCB-4489-991B-BA260895E33B}"/>
    <cellStyle name="20% - Accent1 4 4 2 4" xfId="20568" xr:uid="{70BAF5B1-F2C0-4E39-9E77-A69051FF1CFB}"/>
    <cellStyle name="20% - Accent1 4 4 3" xfId="5752" xr:uid="{00000000-0005-0000-0000-000086000000}"/>
    <cellStyle name="20% - Accent1 4 4 3 2" xfId="14194" xr:uid="{EC870B69-F55A-443F-9BE2-81096D011973}"/>
    <cellStyle name="20% - Accent1 4 4 3 3" xfId="22640" xr:uid="{87BBA6C3-37F0-49D4-A8AD-76820F24F788}"/>
    <cellStyle name="20% - Accent1 4 4 4" xfId="9976" xr:uid="{A5866669-D99F-4AA4-AAE9-D91B1DE4CFCE}"/>
    <cellStyle name="20% - Accent1 4 4 5" xfId="18421" xr:uid="{A20C9C56-54CC-4BFF-8A3E-CED17DD6C31A}"/>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B9BD15FB-B67B-4341-AC8D-55911D7994D3}"/>
    <cellStyle name="20% - Accent1 4 5 2 2 3" xfId="25198" xr:uid="{D8186445-2127-46F5-A388-354630C79AFD}"/>
    <cellStyle name="20% - Accent1 4 5 2 3" xfId="12534" xr:uid="{DCE90B9A-F10B-4832-AAFC-BD741BA5CD69}"/>
    <cellStyle name="20% - Accent1 4 5 2 4" xfId="20981" xr:uid="{D5C35A39-D90C-4ECA-BCC1-DFAB4C849FD9}"/>
    <cellStyle name="20% - Accent1 4 5 3" xfId="6165" xr:uid="{00000000-0005-0000-0000-00008A000000}"/>
    <cellStyle name="20% - Accent1 4 5 3 2" xfId="14607" xr:uid="{9FA645D5-BB8C-4951-A4B8-70FE3D1C7E3E}"/>
    <cellStyle name="20% - Accent1 4 5 3 3" xfId="23053" xr:uid="{813B7A8F-3891-4F2F-870B-9337F3757441}"/>
    <cellStyle name="20% - Accent1 4 5 4" xfId="10389" xr:uid="{290356F2-D046-433F-AF6A-87E9FA9C526F}"/>
    <cellStyle name="20% - Accent1 4 5 5" xfId="18834" xr:uid="{018EF840-4564-4010-90C5-423DE7146770}"/>
    <cellStyle name="20% - Accent1 4 6" xfId="2271" xr:uid="{00000000-0005-0000-0000-00008B000000}"/>
    <cellStyle name="20% - Accent1 4 6 2" xfId="6578" xr:uid="{00000000-0005-0000-0000-00008C000000}"/>
    <cellStyle name="20% - Accent1 4 6 2 2" xfId="15020" xr:uid="{8526A556-B343-45E7-A8B3-E469DDC21169}"/>
    <cellStyle name="20% - Accent1 4 6 2 3" xfId="23466" xr:uid="{14352552-D0E1-4548-9409-7DD5A37B67D2}"/>
    <cellStyle name="20% - Accent1 4 6 3" xfId="10802" xr:uid="{FD4E255B-649E-4F97-AA67-422BE7B07CF8}"/>
    <cellStyle name="20% - Accent1 4 6 4" xfId="19247" xr:uid="{58C80770-4968-470A-8419-AAA1241B96A2}"/>
    <cellStyle name="20% - Accent1 4 7" xfId="4512" xr:uid="{00000000-0005-0000-0000-00008D000000}"/>
    <cellStyle name="20% - Accent1 4 7 2" xfId="12954" xr:uid="{B47720D7-F81F-43A0-AE49-6D2F2DB4D0FA}"/>
    <cellStyle name="20% - Accent1 4 7 3" xfId="21400" xr:uid="{71D74113-0850-4AF5-8811-A5B99977ECA8}"/>
    <cellStyle name="20% - Accent1 4 8" xfId="8736" xr:uid="{A40C8841-E570-4DD1-B286-A097FB6300D9}"/>
    <cellStyle name="20% - Accent1 4 9" xfId="17178" xr:uid="{14D60C91-1427-427A-9CEF-7D9D5F18D39F}"/>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E6F0002F-77EE-4257-9519-A1A6439928EC}"/>
    <cellStyle name="20% - Accent1 5 2 2 3" xfId="23952" xr:uid="{63B2BD59-B84D-4398-9CE4-5FC29A2DAF30}"/>
    <cellStyle name="20% - Accent1 5 2 3" xfId="11288" xr:uid="{2F3097A7-BE98-41F5-A028-CBEB8830BA5F}"/>
    <cellStyle name="20% - Accent1 5 2 4" xfId="19735" xr:uid="{6B045B04-9D21-40C8-B646-383D5CB0A510}"/>
    <cellStyle name="20% - Accent1 5 3" xfId="4919" xr:uid="{00000000-0005-0000-0000-000091000000}"/>
    <cellStyle name="20% - Accent1 5 3 2" xfId="13361" xr:uid="{CCC589C4-A5E5-4CB2-954D-B7C0CC3E1E9F}"/>
    <cellStyle name="20% - Accent1 5 3 3" xfId="21807" xr:uid="{40E0E052-8FAE-4172-849E-F8B7FCE315FA}"/>
    <cellStyle name="20% - Accent1 5 4" xfId="9143" xr:uid="{86A5DABC-713C-4C2A-9DB6-CC9F62BCC6D7}"/>
    <cellStyle name="20% - Accent1 5 5" xfId="17588" xr:uid="{4F87B827-C743-43F0-8173-4A05E4C32BEF}"/>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A79F1236-E1CF-487D-B057-77B9C5AB0049}"/>
    <cellStyle name="20% - Accent1 6 2 2 3" xfId="24365" xr:uid="{9B367979-704C-4253-8432-A6AC007B11D2}"/>
    <cellStyle name="20% - Accent1 6 2 3" xfId="11701" xr:uid="{1884ED44-7695-4372-ACB4-945175F3C93B}"/>
    <cellStyle name="20% - Accent1 6 2 4" xfId="20148" xr:uid="{0C8ABDC3-9973-4B3C-A3D8-2F6E00F4E149}"/>
    <cellStyle name="20% - Accent1 6 3" xfId="5332" xr:uid="{00000000-0005-0000-0000-000095000000}"/>
    <cellStyle name="20% - Accent1 6 3 2" xfId="13774" xr:uid="{342B20DA-FF18-4742-A565-9B4485704AFF}"/>
    <cellStyle name="20% - Accent1 6 3 3" xfId="22220" xr:uid="{8E876ECC-1816-420E-8BB8-79ADF1735C00}"/>
    <cellStyle name="20% - Accent1 6 4" xfId="9556" xr:uid="{B1DB47CE-43D4-4420-AD3B-DD20AF22B2E6}"/>
    <cellStyle name="20% - Accent1 6 5" xfId="18001" xr:uid="{EFB19842-DECE-43AB-A3ED-7167F271FDCD}"/>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13FCE1AC-3F34-490D-97E9-3F69BA2DA882}"/>
    <cellStyle name="20% - Accent1 7 2 2 3" xfId="24778" xr:uid="{2B6426C6-7087-45A6-9F6F-96C95526C956}"/>
    <cellStyle name="20% - Accent1 7 2 3" xfId="12114" xr:uid="{FB22C351-D465-4463-A716-9B429EF68D19}"/>
    <cellStyle name="20% - Accent1 7 2 4" xfId="20561" xr:uid="{FD010474-044F-4E55-A269-895C33348AB7}"/>
    <cellStyle name="20% - Accent1 7 3" xfId="5745" xr:uid="{00000000-0005-0000-0000-000099000000}"/>
    <cellStyle name="20% - Accent1 7 3 2" xfId="14187" xr:uid="{E7636330-FE0A-4296-9680-059F224BAB59}"/>
    <cellStyle name="20% - Accent1 7 3 3" xfId="22633" xr:uid="{1694C5BF-8961-40F9-A403-40A0CE051D1C}"/>
    <cellStyle name="20% - Accent1 7 4" xfId="9969" xr:uid="{612F161C-87B8-4D49-A8F5-A0357B0AD714}"/>
    <cellStyle name="20% - Accent1 7 5" xfId="18414" xr:uid="{52865708-2967-466A-AD72-AFB18A02BD55}"/>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77594761-122E-413B-BD34-CC439DC3AEB7}"/>
    <cellStyle name="20% - Accent1 8 2 2 3" xfId="25191" xr:uid="{90CE9BA0-7BC2-47CE-BCB8-767EB2373A5A}"/>
    <cellStyle name="20% - Accent1 8 2 3" xfId="12527" xr:uid="{C5F4EA26-A122-4397-917D-D7ADE1617373}"/>
    <cellStyle name="20% - Accent1 8 2 4" xfId="20974" xr:uid="{9A88DC67-98B3-43CA-9D04-F7C8736DA9EF}"/>
    <cellStyle name="20% - Accent1 8 3" xfId="6158" xr:uid="{00000000-0005-0000-0000-00009D000000}"/>
    <cellStyle name="20% - Accent1 8 3 2" xfId="14600" xr:uid="{D65D78D9-39EF-4262-8043-7BA0D95033F0}"/>
    <cellStyle name="20% - Accent1 8 3 3" xfId="23046" xr:uid="{15A14E5A-CB4E-487E-A5C9-6D630005E357}"/>
    <cellStyle name="20% - Accent1 8 4" xfId="10382" xr:uid="{D0172041-6DA0-4C88-979D-FA5A27EB779F}"/>
    <cellStyle name="20% - Accent1 8 5" xfId="18827" xr:uid="{F87F51F0-B168-4ACB-A514-799C1A866E27}"/>
    <cellStyle name="20% - Accent1 9" xfId="2264" xr:uid="{00000000-0005-0000-0000-00009E000000}"/>
    <cellStyle name="20% - Accent1 9 2" xfId="6571" xr:uid="{00000000-0005-0000-0000-00009F000000}"/>
    <cellStyle name="20% - Accent1 9 2 2" xfId="15013" xr:uid="{4C0F0D07-60CF-4D68-9838-BA9D21F696BA}"/>
    <cellStyle name="20% - Accent1 9 2 3" xfId="23459" xr:uid="{322E1C68-7E7E-4020-8568-4D88481B22DE}"/>
    <cellStyle name="20% - Accent1 9 3" xfId="10795" xr:uid="{FD27B962-8EBE-4D5D-87B9-DF870A18BD28}"/>
    <cellStyle name="20% - Accent1 9 4" xfId="19240" xr:uid="{C6F6E546-6426-4F51-B90E-8E359A4220C1}"/>
    <cellStyle name="20% - Accent2" xfId="9" builtinId="34" customBuiltin="1"/>
    <cellStyle name="20% - Accent2 10" xfId="4513" xr:uid="{00000000-0005-0000-0000-0000A1000000}"/>
    <cellStyle name="20% - Accent2 10 2" xfId="12955" xr:uid="{50E61D1B-C67A-44BD-BD93-D862BE647DC8}"/>
    <cellStyle name="20% - Accent2 10 3" xfId="21401" xr:uid="{96953E75-F373-4944-9C6E-0764335929AC}"/>
    <cellStyle name="20% - Accent2 11" xfId="8737" xr:uid="{84DE7BD1-449C-4702-B016-E4C221605D3F}"/>
    <cellStyle name="20% - Accent2 12" xfId="17179" xr:uid="{9F8FEE8A-EC62-4181-8ED7-5409735A4CF4}"/>
    <cellStyle name="20% - Accent2 2" xfId="10" xr:uid="{00000000-0005-0000-0000-0000A2000000}"/>
    <cellStyle name="20% - Accent2 2 10" xfId="8738" xr:uid="{2EE260B5-BED5-4A53-81E3-B4AF16F5C655}"/>
    <cellStyle name="20% - Accent2 2 11" xfId="17180" xr:uid="{3697A8AD-F4B5-4A45-B846-1B2419464E10}"/>
    <cellStyle name="20% - Accent2 2 2" xfId="11" xr:uid="{00000000-0005-0000-0000-0000A3000000}"/>
    <cellStyle name="20% - Accent2 2 2 10" xfId="17181" xr:uid="{3BE28651-6879-42CB-8B41-4DDC812F5D45}"/>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4B7B9087-C73A-404C-B837-0CA0F3644883}"/>
    <cellStyle name="20% - Accent2 2 2 2 2 2 2 3" xfId="23963" xr:uid="{DFF2393E-6C24-4CE0-A933-4CA9C56C4CDE}"/>
    <cellStyle name="20% - Accent2 2 2 2 2 2 3" xfId="11299" xr:uid="{F3FBE9A7-B8FD-4D79-AA67-3CDC2D479DAF}"/>
    <cellStyle name="20% - Accent2 2 2 2 2 2 4" xfId="19746" xr:uid="{DA4A4375-6BE8-40C2-8FD7-A61C12ED5F5D}"/>
    <cellStyle name="20% - Accent2 2 2 2 2 3" xfId="4930" xr:uid="{00000000-0005-0000-0000-0000A8000000}"/>
    <cellStyle name="20% - Accent2 2 2 2 2 3 2" xfId="13372" xr:uid="{E39DA7C1-E8CE-48B6-AE87-4C00AF4044FD}"/>
    <cellStyle name="20% - Accent2 2 2 2 2 3 3" xfId="21818" xr:uid="{E9F851FB-85B6-40C5-8C80-26E6E75757D8}"/>
    <cellStyle name="20% - Accent2 2 2 2 2 4" xfId="9154" xr:uid="{EAA210CD-EBEB-47B2-82C5-3FB6933AF010}"/>
    <cellStyle name="20% - Accent2 2 2 2 2 5" xfId="17599" xr:uid="{FFB56B18-2048-449B-860E-400AC9D37095}"/>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00B3FB4E-6091-4E4E-B91B-AA39B4782185}"/>
    <cellStyle name="20% - Accent2 2 2 2 3 2 2 3" xfId="24376" xr:uid="{C7534CCB-C775-40D2-98D1-3C9F775E3009}"/>
    <cellStyle name="20% - Accent2 2 2 2 3 2 3" xfId="11712" xr:uid="{C30EAC1C-E0FA-4FCE-86CB-9E9B08381EE5}"/>
    <cellStyle name="20% - Accent2 2 2 2 3 2 4" xfId="20159" xr:uid="{6D1D6E13-76B5-44DF-9C36-312AFC4B4368}"/>
    <cellStyle name="20% - Accent2 2 2 2 3 3" xfId="5343" xr:uid="{00000000-0005-0000-0000-0000AC000000}"/>
    <cellStyle name="20% - Accent2 2 2 2 3 3 2" xfId="13785" xr:uid="{6DCF70BD-4DCE-431E-8F95-E7541A527304}"/>
    <cellStyle name="20% - Accent2 2 2 2 3 3 3" xfId="22231" xr:uid="{9CBC7C86-E040-4CDB-A3B6-E26881F1FAA8}"/>
    <cellStyle name="20% - Accent2 2 2 2 3 4" xfId="9567" xr:uid="{E054EEA3-84BE-4F4C-822B-F9B42FC409EA}"/>
    <cellStyle name="20% - Accent2 2 2 2 3 5" xfId="18012" xr:uid="{25F3703F-094F-4F44-871E-2E1916B0E7CE}"/>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8F6E7325-D086-4992-ACE3-34CA2EB8E6EB}"/>
    <cellStyle name="20% - Accent2 2 2 2 4 2 2 3" xfId="24789" xr:uid="{50854D89-C637-4605-8FB2-6D3FE55B9AEA}"/>
    <cellStyle name="20% - Accent2 2 2 2 4 2 3" xfId="12125" xr:uid="{B0E115B8-6A5A-41B0-9815-30C1CD032FA7}"/>
    <cellStyle name="20% - Accent2 2 2 2 4 2 4" xfId="20572" xr:uid="{7F405C0D-6D07-423B-BD0B-7D9637FD5026}"/>
    <cellStyle name="20% - Accent2 2 2 2 4 3" xfId="5756" xr:uid="{00000000-0005-0000-0000-0000B0000000}"/>
    <cellStyle name="20% - Accent2 2 2 2 4 3 2" xfId="14198" xr:uid="{DC41689D-B151-4A6A-875B-CE54C6861641}"/>
    <cellStyle name="20% - Accent2 2 2 2 4 3 3" xfId="22644" xr:uid="{262B29C1-502B-4CED-A99B-751DA9881F4B}"/>
    <cellStyle name="20% - Accent2 2 2 2 4 4" xfId="9980" xr:uid="{3A413053-0A22-4D5C-AC3F-CBC1A50FE2CA}"/>
    <cellStyle name="20% - Accent2 2 2 2 4 5" xfId="18425" xr:uid="{1269D418-1461-48C7-963A-0043F09F8B05}"/>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76AE6476-2146-4087-B5B6-F7493171DD74}"/>
    <cellStyle name="20% - Accent2 2 2 2 5 2 2 3" xfId="25202" xr:uid="{9F7518B9-DA5F-4C79-8F03-0E89FA9F8E5A}"/>
    <cellStyle name="20% - Accent2 2 2 2 5 2 3" xfId="12538" xr:uid="{061F8330-ED44-4FCC-9623-5F0CAF8B25A1}"/>
    <cellStyle name="20% - Accent2 2 2 2 5 2 4" xfId="20985" xr:uid="{015E3CEE-642E-482C-9B37-F1DB407FF4CB}"/>
    <cellStyle name="20% - Accent2 2 2 2 5 3" xfId="6169" xr:uid="{00000000-0005-0000-0000-0000B4000000}"/>
    <cellStyle name="20% - Accent2 2 2 2 5 3 2" xfId="14611" xr:uid="{D4A06FF2-EF3A-45C5-A4E0-9F6E619368F2}"/>
    <cellStyle name="20% - Accent2 2 2 2 5 3 3" xfId="23057" xr:uid="{97121518-D407-45F0-8C28-0D1D4FE92417}"/>
    <cellStyle name="20% - Accent2 2 2 2 5 4" xfId="10393" xr:uid="{73F96B37-914E-413A-91AA-C4A71D5B4833}"/>
    <cellStyle name="20% - Accent2 2 2 2 5 5" xfId="18838" xr:uid="{E9E2809C-8604-4ECA-8F08-5F6F216EEBB2}"/>
    <cellStyle name="20% - Accent2 2 2 2 6" xfId="2275" xr:uid="{00000000-0005-0000-0000-0000B5000000}"/>
    <cellStyle name="20% - Accent2 2 2 2 6 2" xfId="6582" xr:uid="{00000000-0005-0000-0000-0000B6000000}"/>
    <cellStyle name="20% - Accent2 2 2 2 6 2 2" xfId="15024" xr:uid="{1F2E75AE-2999-4BAF-89E9-4724B1ED2753}"/>
    <cellStyle name="20% - Accent2 2 2 2 6 2 3" xfId="23470" xr:uid="{B5180CAF-78EE-4D70-AFDD-8EE21B0D8C46}"/>
    <cellStyle name="20% - Accent2 2 2 2 6 3" xfId="10806" xr:uid="{B4BA763C-FFF4-4470-AB60-E11B7D6A43DB}"/>
    <cellStyle name="20% - Accent2 2 2 2 6 4" xfId="19251" xr:uid="{CBD3C27D-1B28-4FB2-AB25-AB8B8C202323}"/>
    <cellStyle name="20% - Accent2 2 2 2 7" xfId="4516" xr:uid="{00000000-0005-0000-0000-0000B7000000}"/>
    <cellStyle name="20% - Accent2 2 2 2 7 2" xfId="12958" xr:uid="{3543F287-AF4E-4877-81E1-4EADE9535B69}"/>
    <cellStyle name="20% - Accent2 2 2 2 7 3" xfId="21404" xr:uid="{E4DAAA68-E53B-4A69-8D2E-BF3E9199C170}"/>
    <cellStyle name="20% - Accent2 2 2 2 8" xfId="8740" xr:uid="{6086E9EA-5196-41C7-BE88-99690740BEDB}"/>
    <cellStyle name="20% - Accent2 2 2 2 9" xfId="17182" xr:uid="{48EDF91D-0AAA-4134-BE75-8F790D7FDDFD}"/>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30862481-DD91-4AB2-A145-BBF1EE02F9BD}"/>
    <cellStyle name="20% - Accent2 2 2 3 2 2 3" xfId="23962" xr:uid="{FF5B53EC-6508-4E6E-A7A8-FEF89846563F}"/>
    <cellStyle name="20% - Accent2 2 2 3 2 3" xfId="11298" xr:uid="{155FC50C-6F68-44D4-AFAE-0E415FEE3E04}"/>
    <cellStyle name="20% - Accent2 2 2 3 2 4" xfId="19745" xr:uid="{D8ACD2F7-5826-49E8-BCC3-CE23794DE1F6}"/>
    <cellStyle name="20% - Accent2 2 2 3 3" xfId="4929" xr:uid="{00000000-0005-0000-0000-0000BB000000}"/>
    <cellStyle name="20% - Accent2 2 2 3 3 2" xfId="13371" xr:uid="{5C985E05-F16B-4618-8D16-A56ADFB2DEE9}"/>
    <cellStyle name="20% - Accent2 2 2 3 3 3" xfId="21817" xr:uid="{B7DD0C02-E1AB-41EB-87F3-918C26281FA1}"/>
    <cellStyle name="20% - Accent2 2 2 3 4" xfId="9153" xr:uid="{6561D3C7-3524-4EE1-9583-0A7E52BBB30A}"/>
    <cellStyle name="20% - Accent2 2 2 3 5" xfId="17598" xr:uid="{6FD0F189-AEAE-42D7-96D1-A2839FF57825}"/>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9A5DAC6B-51B3-4DDB-86E8-43FAEAC13377}"/>
    <cellStyle name="20% - Accent2 2 2 4 2 2 3" xfId="24375" xr:uid="{ED4C0EFD-9B2E-4F44-9000-E28195B81499}"/>
    <cellStyle name="20% - Accent2 2 2 4 2 3" xfId="11711" xr:uid="{EEED377D-3998-4464-88B0-488C8F56750C}"/>
    <cellStyle name="20% - Accent2 2 2 4 2 4" xfId="20158" xr:uid="{8EC7884E-61FE-4521-8144-FD2699F6719E}"/>
    <cellStyle name="20% - Accent2 2 2 4 3" xfId="5342" xr:uid="{00000000-0005-0000-0000-0000BF000000}"/>
    <cellStyle name="20% - Accent2 2 2 4 3 2" xfId="13784" xr:uid="{49913C3C-94C1-434B-A4A3-746BD4A7DA5F}"/>
    <cellStyle name="20% - Accent2 2 2 4 3 3" xfId="22230" xr:uid="{D660599E-B633-4B40-988D-D2DB46523946}"/>
    <cellStyle name="20% - Accent2 2 2 4 4" xfId="9566" xr:uid="{F310EA49-D3DA-4FF5-8ABF-1B4705B7C3F8}"/>
    <cellStyle name="20% - Accent2 2 2 4 5" xfId="18011" xr:uid="{B5C34CA6-5E69-4148-AEF6-DAFF641A6C7E}"/>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165A8E4C-A225-4EC4-93C8-854C0C48BA99}"/>
    <cellStyle name="20% - Accent2 2 2 5 2 2 3" xfId="24788" xr:uid="{C0EBFEAA-2548-4BA5-9A13-85CEFDB88ED6}"/>
    <cellStyle name="20% - Accent2 2 2 5 2 3" xfId="12124" xr:uid="{F81733B0-817B-48C7-97C7-BCA0DFACF85C}"/>
    <cellStyle name="20% - Accent2 2 2 5 2 4" xfId="20571" xr:uid="{160460E2-CF17-4A0F-AB63-8A777B73A49F}"/>
    <cellStyle name="20% - Accent2 2 2 5 3" xfId="5755" xr:uid="{00000000-0005-0000-0000-0000C3000000}"/>
    <cellStyle name="20% - Accent2 2 2 5 3 2" xfId="14197" xr:uid="{7AFECC3B-DBF2-477B-BD67-50828A304F3F}"/>
    <cellStyle name="20% - Accent2 2 2 5 3 3" xfId="22643" xr:uid="{E989EA0D-FD53-441A-9811-EED90E954EF9}"/>
    <cellStyle name="20% - Accent2 2 2 5 4" xfId="9979" xr:uid="{70C5ADED-925A-46B6-BA9B-929785CAFB3C}"/>
    <cellStyle name="20% - Accent2 2 2 5 5" xfId="18424" xr:uid="{33BEB0B2-9759-48CE-883C-365CDD7639DB}"/>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595081D2-232A-4745-8C3B-52CABEF91BDA}"/>
    <cellStyle name="20% - Accent2 2 2 6 2 2 3" xfId="25201" xr:uid="{EAD4960F-E62F-44F1-8D04-4140A97F6CDB}"/>
    <cellStyle name="20% - Accent2 2 2 6 2 3" xfId="12537" xr:uid="{CAF4CD66-A148-4BE8-813F-47E80D01B3AF}"/>
    <cellStyle name="20% - Accent2 2 2 6 2 4" xfId="20984" xr:uid="{729255C7-7C62-4ED2-AA5D-D6A38242931C}"/>
    <cellStyle name="20% - Accent2 2 2 6 3" xfId="6168" xr:uid="{00000000-0005-0000-0000-0000C7000000}"/>
    <cellStyle name="20% - Accent2 2 2 6 3 2" xfId="14610" xr:uid="{B2B2AA42-BFA7-4388-8FED-1F92EE166B28}"/>
    <cellStyle name="20% - Accent2 2 2 6 3 3" xfId="23056" xr:uid="{0C33B804-CFC5-4023-822F-04BD9323E028}"/>
    <cellStyle name="20% - Accent2 2 2 6 4" xfId="10392" xr:uid="{A170B9C4-1DAE-4C43-8BF5-1F900E1F7A90}"/>
    <cellStyle name="20% - Accent2 2 2 6 5" xfId="18837" xr:uid="{3C652B52-980A-4715-B939-26053BF197DA}"/>
    <cellStyle name="20% - Accent2 2 2 7" xfId="2274" xr:uid="{00000000-0005-0000-0000-0000C8000000}"/>
    <cellStyle name="20% - Accent2 2 2 7 2" xfId="6581" xr:uid="{00000000-0005-0000-0000-0000C9000000}"/>
    <cellStyle name="20% - Accent2 2 2 7 2 2" xfId="15023" xr:uid="{C5B75D7B-380A-455D-AD77-893F30596876}"/>
    <cellStyle name="20% - Accent2 2 2 7 2 3" xfId="23469" xr:uid="{B8BE0DDA-6DC0-4377-A00D-2D42E3A8DF92}"/>
    <cellStyle name="20% - Accent2 2 2 7 3" xfId="10805" xr:uid="{88414778-1AFC-4DD6-875D-544618FBB2F3}"/>
    <cellStyle name="20% - Accent2 2 2 7 4" xfId="19250" xr:uid="{69968E20-FD3A-4AB6-B787-03AEF1CB842B}"/>
    <cellStyle name="20% - Accent2 2 2 8" xfId="4515" xr:uid="{00000000-0005-0000-0000-0000CA000000}"/>
    <cellStyle name="20% - Accent2 2 2 8 2" xfId="12957" xr:uid="{88AE5DBF-3338-4A11-8558-1C2255A1B675}"/>
    <cellStyle name="20% - Accent2 2 2 8 3" xfId="21403" xr:uid="{67421200-DB0A-48B3-9B78-4ED4A4C834F2}"/>
    <cellStyle name="20% - Accent2 2 2 9" xfId="8739" xr:uid="{C5145383-25AC-42E5-834A-5A8E57EC221B}"/>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346F1D75-6A73-433C-BE4C-B796458D42FD}"/>
    <cellStyle name="20% - Accent2 2 3 2 2 2 3" xfId="23964" xr:uid="{04000D2A-159D-4F55-8046-3A438AE45D60}"/>
    <cellStyle name="20% - Accent2 2 3 2 2 3" xfId="11300" xr:uid="{50CEF99D-0306-4785-9226-63C58CBB85BA}"/>
    <cellStyle name="20% - Accent2 2 3 2 2 4" xfId="19747" xr:uid="{1B625579-523B-4AEA-935F-BDA42D15228C}"/>
    <cellStyle name="20% - Accent2 2 3 2 3" xfId="4931" xr:uid="{00000000-0005-0000-0000-0000CF000000}"/>
    <cellStyle name="20% - Accent2 2 3 2 3 2" xfId="13373" xr:uid="{51F73C01-1DED-41C5-8EBC-1A3C5639D3FA}"/>
    <cellStyle name="20% - Accent2 2 3 2 3 3" xfId="21819" xr:uid="{7628CF3D-9335-4133-9E31-39941CFF53FF}"/>
    <cellStyle name="20% - Accent2 2 3 2 4" xfId="9155" xr:uid="{0357A720-8639-42CD-9977-C25578EAE118}"/>
    <cellStyle name="20% - Accent2 2 3 2 5" xfId="17600" xr:uid="{C3D60697-286E-45EB-9034-5B8210433BE8}"/>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50E9C6C6-0FA1-415C-BC2D-25495283A0D2}"/>
    <cellStyle name="20% - Accent2 2 3 3 2 2 3" xfId="24377" xr:uid="{B287B436-52FF-482C-B340-35B82EE31129}"/>
    <cellStyle name="20% - Accent2 2 3 3 2 3" xfId="11713" xr:uid="{09247360-F3E5-40E2-9E7A-CA4489D73D56}"/>
    <cellStyle name="20% - Accent2 2 3 3 2 4" xfId="20160" xr:uid="{80FD57EB-D1CD-4DBE-BD37-D869F8051453}"/>
    <cellStyle name="20% - Accent2 2 3 3 3" xfId="5344" xr:uid="{00000000-0005-0000-0000-0000D3000000}"/>
    <cellStyle name="20% - Accent2 2 3 3 3 2" xfId="13786" xr:uid="{7F2A91C1-BE8E-41CC-94DE-BA8E835F8EDC}"/>
    <cellStyle name="20% - Accent2 2 3 3 3 3" xfId="22232" xr:uid="{55CA8409-4C30-4FC4-973F-0B465F1D3700}"/>
    <cellStyle name="20% - Accent2 2 3 3 4" xfId="9568" xr:uid="{358C8044-A9F6-4F97-8A74-20CAC2BEE839}"/>
    <cellStyle name="20% - Accent2 2 3 3 5" xfId="18013" xr:uid="{DDF940C7-B164-481E-AA37-3E410E534037}"/>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567EC138-D0D7-4690-980A-CB6B2022A907}"/>
    <cellStyle name="20% - Accent2 2 3 4 2 2 3" xfId="24790" xr:uid="{D64CD652-35BA-4052-8310-98F57AA0B689}"/>
    <cellStyle name="20% - Accent2 2 3 4 2 3" xfId="12126" xr:uid="{D11C98A5-F758-45F9-903C-0FB5F180D950}"/>
    <cellStyle name="20% - Accent2 2 3 4 2 4" xfId="20573" xr:uid="{574E45DB-98F4-40AC-B978-73A1412AA605}"/>
    <cellStyle name="20% - Accent2 2 3 4 3" xfId="5757" xr:uid="{00000000-0005-0000-0000-0000D7000000}"/>
    <cellStyle name="20% - Accent2 2 3 4 3 2" xfId="14199" xr:uid="{DD96C1B0-CBB6-4A54-B586-2E5378ED0BDC}"/>
    <cellStyle name="20% - Accent2 2 3 4 3 3" xfId="22645" xr:uid="{86A834D4-37FE-4B13-925F-87775E60AED3}"/>
    <cellStyle name="20% - Accent2 2 3 4 4" xfId="9981" xr:uid="{96F21113-448D-48FA-BBB0-8956B15150BE}"/>
    <cellStyle name="20% - Accent2 2 3 4 5" xfId="18426" xr:uid="{0FA753CA-2F02-4482-9D4C-40CBE5E2BE94}"/>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05D8166C-F077-45C3-B15C-AF9C8CAC43C6}"/>
    <cellStyle name="20% - Accent2 2 3 5 2 2 3" xfId="25203" xr:uid="{38B769CC-32D4-4FE3-B423-CF3B28F4678F}"/>
    <cellStyle name="20% - Accent2 2 3 5 2 3" xfId="12539" xr:uid="{D0E21C7D-704F-449D-A9D5-95B6AC702B18}"/>
    <cellStyle name="20% - Accent2 2 3 5 2 4" xfId="20986" xr:uid="{FB599247-F19E-4F92-A004-B87018A61354}"/>
    <cellStyle name="20% - Accent2 2 3 5 3" xfId="6170" xr:uid="{00000000-0005-0000-0000-0000DB000000}"/>
    <cellStyle name="20% - Accent2 2 3 5 3 2" xfId="14612" xr:uid="{8683CEEF-4C73-4E64-A4D3-1C3B88132B4C}"/>
    <cellStyle name="20% - Accent2 2 3 5 3 3" xfId="23058" xr:uid="{54741D52-D266-4CF1-9272-56958857FB51}"/>
    <cellStyle name="20% - Accent2 2 3 5 4" xfId="10394" xr:uid="{42464EDD-7E6A-431D-BC2F-32825121D25D}"/>
    <cellStyle name="20% - Accent2 2 3 5 5" xfId="18839" xr:uid="{2B20B739-18EA-4DBB-8EF2-E0904BC90282}"/>
    <cellStyle name="20% - Accent2 2 3 6" xfId="2276" xr:uid="{00000000-0005-0000-0000-0000DC000000}"/>
    <cellStyle name="20% - Accent2 2 3 6 2" xfId="6583" xr:uid="{00000000-0005-0000-0000-0000DD000000}"/>
    <cellStyle name="20% - Accent2 2 3 6 2 2" xfId="15025" xr:uid="{2B3188A2-A195-470C-83D5-FFE85881A1C5}"/>
    <cellStyle name="20% - Accent2 2 3 6 2 3" xfId="23471" xr:uid="{DE35AD36-E92A-4C23-9DE8-90F8343FF709}"/>
    <cellStyle name="20% - Accent2 2 3 6 3" xfId="10807" xr:uid="{71C9BA90-3B1E-4AA8-A816-A97D25FB13E6}"/>
    <cellStyle name="20% - Accent2 2 3 6 4" xfId="19252" xr:uid="{5B906073-F279-4CAE-9840-E88BF92DA5B5}"/>
    <cellStyle name="20% - Accent2 2 3 7" xfId="4517" xr:uid="{00000000-0005-0000-0000-0000DE000000}"/>
    <cellStyle name="20% - Accent2 2 3 7 2" xfId="12959" xr:uid="{C0BBF597-06F6-4D5E-8E2A-B6D8E56ED9A8}"/>
    <cellStyle name="20% - Accent2 2 3 7 3" xfId="21405" xr:uid="{8EC1C117-66C6-4BBA-9E8F-B9B7254B6822}"/>
    <cellStyle name="20% - Accent2 2 3 8" xfId="8741" xr:uid="{39FF5E47-7BDF-49AB-A1CE-AE381CFCFFC8}"/>
    <cellStyle name="20% - Accent2 2 3 9" xfId="17183" xr:uid="{D81B964A-B0C7-401E-90EA-C4126F70C4DE}"/>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B644C83D-E0BA-442B-BE72-8A238EF271DF}"/>
    <cellStyle name="20% - Accent2 2 4 2 2 3" xfId="23961" xr:uid="{63C6E3D3-234D-459E-8193-CF88E23DE15A}"/>
    <cellStyle name="20% - Accent2 2 4 2 3" xfId="11297" xr:uid="{324A0900-35B4-4D48-B05A-FA6347D5AF28}"/>
    <cellStyle name="20% - Accent2 2 4 2 4" xfId="19744" xr:uid="{1E67F439-38B8-4297-8E53-1F142985521B}"/>
    <cellStyle name="20% - Accent2 2 4 3" xfId="4928" xr:uid="{00000000-0005-0000-0000-0000E2000000}"/>
    <cellStyle name="20% - Accent2 2 4 3 2" xfId="13370" xr:uid="{78D62DAF-EA9F-4D41-B7C7-B8D28E3C6831}"/>
    <cellStyle name="20% - Accent2 2 4 3 3" xfId="21816" xr:uid="{A2073495-8845-49D4-B511-54443BD0C2A9}"/>
    <cellStyle name="20% - Accent2 2 4 4" xfId="9152" xr:uid="{77A15B1B-3AA3-402C-A3D0-7AB191009AC0}"/>
    <cellStyle name="20% - Accent2 2 4 5" xfId="17597" xr:uid="{5B15ECD3-46CE-49F9-8452-21822A7A483F}"/>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C7B23886-4B5A-4648-9D97-6791B1A30722}"/>
    <cellStyle name="20% - Accent2 2 5 2 2 3" xfId="24374" xr:uid="{B7556EAC-7493-4C07-927A-07D2DB851B1D}"/>
    <cellStyle name="20% - Accent2 2 5 2 3" xfId="11710" xr:uid="{9B23B62C-2F70-47BD-ABA9-C392E4B8128F}"/>
    <cellStyle name="20% - Accent2 2 5 2 4" xfId="20157" xr:uid="{6E9BF823-267B-42EC-A3DB-844198C1C27E}"/>
    <cellStyle name="20% - Accent2 2 5 3" xfId="5341" xr:uid="{00000000-0005-0000-0000-0000E6000000}"/>
    <cellStyle name="20% - Accent2 2 5 3 2" xfId="13783" xr:uid="{1565B415-4CE4-4DD9-88B7-1C7524A2D39F}"/>
    <cellStyle name="20% - Accent2 2 5 3 3" xfId="22229" xr:uid="{A42EA4DF-81B2-4A73-9C48-A0E857FEA289}"/>
    <cellStyle name="20% - Accent2 2 5 4" xfId="9565" xr:uid="{B24BD71C-AE0F-4656-A0E7-353C271C8918}"/>
    <cellStyle name="20% - Accent2 2 5 5" xfId="18010" xr:uid="{9BA575F1-8DB2-461B-9F6E-9D5070AC7E49}"/>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5198C710-D0A6-4568-BDA6-AB82682AB877}"/>
    <cellStyle name="20% - Accent2 2 6 2 2 3" xfId="24787" xr:uid="{4AFAE161-6AEF-481C-B280-907A8D901702}"/>
    <cellStyle name="20% - Accent2 2 6 2 3" xfId="12123" xr:uid="{55F1E0EE-BC42-4C76-B6E3-A3E79B19B7FC}"/>
    <cellStyle name="20% - Accent2 2 6 2 4" xfId="20570" xr:uid="{2921ABD4-1C5A-4D27-9484-D80F3E480FC4}"/>
    <cellStyle name="20% - Accent2 2 6 3" xfId="5754" xr:uid="{00000000-0005-0000-0000-0000EA000000}"/>
    <cellStyle name="20% - Accent2 2 6 3 2" xfId="14196" xr:uid="{C26C5EA5-86B9-4EE6-ADE7-18E416419C2F}"/>
    <cellStyle name="20% - Accent2 2 6 3 3" xfId="22642" xr:uid="{C41CD3D2-4A3F-426D-A1EA-E28948A541AE}"/>
    <cellStyle name="20% - Accent2 2 6 4" xfId="9978" xr:uid="{F4CFD01B-0983-4032-AFA7-8BF78F83C8E0}"/>
    <cellStyle name="20% - Accent2 2 6 5" xfId="18423" xr:uid="{A7F702BA-79B1-4724-B8DD-A050BF647E05}"/>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8EF7B4E2-A0CA-429F-A969-AD885664DA86}"/>
    <cellStyle name="20% - Accent2 2 7 2 2 3" xfId="25200" xr:uid="{5D01C6EB-6BC0-4B62-875A-FA1FA1F81565}"/>
    <cellStyle name="20% - Accent2 2 7 2 3" xfId="12536" xr:uid="{846D95DD-7FEF-48ED-B252-AC7FC3251948}"/>
    <cellStyle name="20% - Accent2 2 7 2 4" xfId="20983" xr:uid="{E6056B9D-AA48-4633-9E1B-7391BD18AEA6}"/>
    <cellStyle name="20% - Accent2 2 7 3" xfId="6167" xr:uid="{00000000-0005-0000-0000-0000EE000000}"/>
    <cellStyle name="20% - Accent2 2 7 3 2" xfId="14609" xr:uid="{8880920A-D5D3-4F4F-AA2B-95601ED45F2F}"/>
    <cellStyle name="20% - Accent2 2 7 3 3" xfId="23055" xr:uid="{292B450D-0597-4D91-8FD7-564258FD2AD8}"/>
    <cellStyle name="20% - Accent2 2 7 4" xfId="10391" xr:uid="{4A29C0B7-6A4D-4CC1-891A-20A8BBF4A7DE}"/>
    <cellStyle name="20% - Accent2 2 7 5" xfId="18836" xr:uid="{AE726875-5C01-4ABB-B917-AD8F6D256AED}"/>
    <cellStyle name="20% - Accent2 2 8" xfId="2273" xr:uid="{00000000-0005-0000-0000-0000EF000000}"/>
    <cellStyle name="20% - Accent2 2 8 2" xfId="6580" xr:uid="{00000000-0005-0000-0000-0000F0000000}"/>
    <cellStyle name="20% - Accent2 2 8 2 2" xfId="15022" xr:uid="{63886F9E-49AA-4CE8-A726-EFEDF6FC19F2}"/>
    <cellStyle name="20% - Accent2 2 8 2 3" xfId="23468" xr:uid="{B69CC304-7026-4148-BC3C-DA16A056B6F8}"/>
    <cellStyle name="20% - Accent2 2 8 3" xfId="10804" xr:uid="{28833908-9705-4476-BF7B-4A8ACE27E805}"/>
    <cellStyle name="20% - Accent2 2 8 4" xfId="19249" xr:uid="{F3DD051A-6D91-4265-99FC-6186DDC5BAAD}"/>
    <cellStyle name="20% - Accent2 2 9" xfId="4514" xr:uid="{00000000-0005-0000-0000-0000F1000000}"/>
    <cellStyle name="20% - Accent2 2 9 2" xfId="12956" xr:uid="{B262458F-9052-4B98-A1DB-EEBD18A319F5}"/>
    <cellStyle name="20% - Accent2 2 9 3" xfId="21402" xr:uid="{E00EF922-C62C-4AB6-B77B-5AA525E889A3}"/>
    <cellStyle name="20% - Accent2 3" xfId="14" xr:uid="{00000000-0005-0000-0000-0000F2000000}"/>
    <cellStyle name="20% - Accent2 3 10" xfId="17184" xr:uid="{33DB6691-E1AC-4AB5-A53E-A56AF41A3816}"/>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AB7EACAC-75E1-4DB5-8BC5-41C48095960E}"/>
    <cellStyle name="20% - Accent2 3 2 2 2 2 3" xfId="23966" xr:uid="{D24FB82F-6D1E-4FA2-BC72-BF648FBE0079}"/>
    <cellStyle name="20% - Accent2 3 2 2 2 3" xfId="11302" xr:uid="{DDD021E9-CC81-4891-ACBA-F885F8EE45BD}"/>
    <cellStyle name="20% - Accent2 3 2 2 2 4" xfId="19749" xr:uid="{6986F488-E011-4AC5-89EF-BB3213869AB7}"/>
    <cellStyle name="20% - Accent2 3 2 2 3" xfId="4933" xr:uid="{00000000-0005-0000-0000-0000F7000000}"/>
    <cellStyle name="20% - Accent2 3 2 2 3 2" xfId="13375" xr:uid="{76B5BD37-4706-4F26-9DE6-69F15436F78E}"/>
    <cellStyle name="20% - Accent2 3 2 2 3 3" xfId="21821" xr:uid="{E5630CAC-BCBC-4683-86CB-C3CB0A975C5B}"/>
    <cellStyle name="20% - Accent2 3 2 2 4" xfId="9157" xr:uid="{3B8C2D1A-93FF-42A3-8030-2F024FC8FD10}"/>
    <cellStyle name="20% - Accent2 3 2 2 5" xfId="17602" xr:uid="{41AA8C91-648C-4B0C-8915-17CC40BB94E2}"/>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CE1C08B9-BF70-4C26-9044-4B09B56D2047}"/>
    <cellStyle name="20% - Accent2 3 2 3 2 2 3" xfId="24379" xr:uid="{82EB62E3-248D-4A7B-8109-71280C6B0239}"/>
    <cellStyle name="20% - Accent2 3 2 3 2 3" xfId="11715" xr:uid="{5B3A51BF-08FD-4CC4-912B-1B4325874E3D}"/>
    <cellStyle name="20% - Accent2 3 2 3 2 4" xfId="20162" xr:uid="{456C4693-F22A-4F34-84BD-E5A4993FEF74}"/>
    <cellStyle name="20% - Accent2 3 2 3 3" xfId="5346" xr:uid="{00000000-0005-0000-0000-0000FB000000}"/>
    <cellStyle name="20% - Accent2 3 2 3 3 2" xfId="13788" xr:uid="{716D93AE-11E2-4E4E-B21B-54A15FAB88F4}"/>
    <cellStyle name="20% - Accent2 3 2 3 3 3" xfId="22234" xr:uid="{DCDE9B5D-9010-41B9-A80F-B6B9597BC400}"/>
    <cellStyle name="20% - Accent2 3 2 3 4" xfId="9570" xr:uid="{7299D12F-841F-4D84-B7EC-B2B7D94C98E5}"/>
    <cellStyle name="20% - Accent2 3 2 3 5" xfId="18015" xr:uid="{8F5C2482-0A14-491D-BC1C-782D60C36259}"/>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2456F5A4-23A9-44B9-8ED3-2B9797133020}"/>
    <cellStyle name="20% - Accent2 3 2 4 2 2 3" xfId="24792" xr:uid="{D37EE0B9-ED2B-4931-9B73-8C7D06405919}"/>
    <cellStyle name="20% - Accent2 3 2 4 2 3" xfId="12128" xr:uid="{5B99509E-914F-4323-8779-92FA468EC818}"/>
    <cellStyle name="20% - Accent2 3 2 4 2 4" xfId="20575" xr:uid="{35FE2A91-33DB-4B5E-91D7-ED17927D56B8}"/>
    <cellStyle name="20% - Accent2 3 2 4 3" xfId="5759" xr:uid="{00000000-0005-0000-0000-0000FF000000}"/>
    <cellStyle name="20% - Accent2 3 2 4 3 2" xfId="14201" xr:uid="{31055335-E8C0-4052-A094-E11D409E2BC3}"/>
    <cellStyle name="20% - Accent2 3 2 4 3 3" xfId="22647" xr:uid="{035B7ED8-E85C-45BD-AF70-B520057B7AF9}"/>
    <cellStyle name="20% - Accent2 3 2 4 4" xfId="9983" xr:uid="{2B32AF9B-630D-414A-A710-FC811907C76D}"/>
    <cellStyle name="20% - Accent2 3 2 4 5" xfId="18428" xr:uid="{E32EC902-6E9F-41BD-930B-A380E50D87D7}"/>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02BBA628-D477-422E-ACB7-86BA4C802C5E}"/>
    <cellStyle name="20% - Accent2 3 2 5 2 2 3" xfId="25205" xr:uid="{BCEAEA89-7DF9-468F-B153-9A14356FCE90}"/>
    <cellStyle name="20% - Accent2 3 2 5 2 3" xfId="12541" xr:uid="{41527E08-34A8-47E3-A16C-17539F9A7EDB}"/>
    <cellStyle name="20% - Accent2 3 2 5 2 4" xfId="20988" xr:uid="{D526B7A4-E641-4886-A145-B7B0D6C49F35}"/>
    <cellStyle name="20% - Accent2 3 2 5 3" xfId="6172" xr:uid="{00000000-0005-0000-0000-000003010000}"/>
    <cellStyle name="20% - Accent2 3 2 5 3 2" xfId="14614" xr:uid="{D80BB2AE-36CF-4DC2-87C6-7C5878CC2259}"/>
    <cellStyle name="20% - Accent2 3 2 5 3 3" xfId="23060" xr:uid="{D5463279-09CC-484D-BE73-8B395EE54878}"/>
    <cellStyle name="20% - Accent2 3 2 5 4" xfId="10396" xr:uid="{7E3263E2-459E-4C4E-89BC-88D9D0796618}"/>
    <cellStyle name="20% - Accent2 3 2 5 5" xfId="18841" xr:uid="{5067E877-9B34-4FC3-8B5F-79257F634EBC}"/>
    <cellStyle name="20% - Accent2 3 2 6" xfId="2278" xr:uid="{00000000-0005-0000-0000-000004010000}"/>
    <cellStyle name="20% - Accent2 3 2 6 2" xfId="6585" xr:uid="{00000000-0005-0000-0000-000005010000}"/>
    <cellStyle name="20% - Accent2 3 2 6 2 2" xfId="15027" xr:uid="{E0431120-B4B6-4E32-869D-15CB06CFCFDA}"/>
    <cellStyle name="20% - Accent2 3 2 6 2 3" xfId="23473" xr:uid="{ACB75BE1-C677-4A70-A2FE-90B155D80A08}"/>
    <cellStyle name="20% - Accent2 3 2 6 3" xfId="10809" xr:uid="{5CD2BC64-1EC7-4119-8464-D358B2FD2823}"/>
    <cellStyle name="20% - Accent2 3 2 6 4" xfId="19254" xr:uid="{FD88604B-C672-4278-858F-7B8C8B725F10}"/>
    <cellStyle name="20% - Accent2 3 2 7" xfId="4519" xr:uid="{00000000-0005-0000-0000-000006010000}"/>
    <cellStyle name="20% - Accent2 3 2 7 2" xfId="12961" xr:uid="{C5738A2D-DEAA-414A-8371-FD291352D661}"/>
    <cellStyle name="20% - Accent2 3 2 7 3" xfId="21407" xr:uid="{6B63D161-6173-4F5E-B9B1-A3F64F6E7FFC}"/>
    <cellStyle name="20% - Accent2 3 2 8" xfId="8743" xr:uid="{E9D5F429-EEFD-4E12-8BE6-CF0D34B8F002}"/>
    <cellStyle name="20% - Accent2 3 2 9" xfId="17185" xr:uid="{E29DE183-E98D-4F27-99E9-26BADA72AF97}"/>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9F020E7B-BD7E-43E7-8CA4-114AD5055300}"/>
    <cellStyle name="20% - Accent2 3 3 2 2 3" xfId="23965" xr:uid="{5BF5FF26-FB73-410C-814C-A2776A676074}"/>
    <cellStyle name="20% - Accent2 3 3 2 3" xfId="11301" xr:uid="{32DAF02D-60AF-4682-96FC-E8FDC7D3930A}"/>
    <cellStyle name="20% - Accent2 3 3 2 4" xfId="19748" xr:uid="{7381A1D7-0791-440C-9B41-35C1492EFB27}"/>
    <cellStyle name="20% - Accent2 3 3 3" xfId="4932" xr:uid="{00000000-0005-0000-0000-00000A010000}"/>
    <cellStyle name="20% - Accent2 3 3 3 2" xfId="13374" xr:uid="{E2807324-CAB6-46C3-BD5F-5BECEDADF911}"/>
    <cellStyle name="20% - Accent2 3 3 3 3" xfId="21820" xr:uid="{9F4CB4F0-E21E-4C1A-9A6E-0C8D59493E82}"/>
    <cellStyle name="20% - Accent2 3 3 4" xfId="9156" xr:uid="{8FB539BD-2A0E-4483-87BC-AB07AB9024CB}"/>
    <cellStyle name="20% - Accent2 3 3 5" xfId="17601" xr:uid="{662C365A-F340-40EF-A689-1B0CFC747F19}"/>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2C7505C3-DFB9-4A79-8E33-2D839BF790AF}"/>
    <cellStyle name="20% - Accent2 3 4 2 2 3" xfId="24378" xr:uid="{51158851-2CFF-4D6E-B1B0-F3D6E27B0F29}"/>
    <cellStyle name="20% - Accent2 3 4 2 3" xfId="11714" xr:uid="{FE346454-4E89-4D78-8511-1764BA8A1364}"/>
    <cellStyle name="20% - Accent2 3 4 2 4" xfId="20161" xr:uid="{B876A808-119E-47D6-9D6B-69E397CC7FBA}"/>
    <cellStyle name="20% - Accent2 3 4 3" xfId="5345" xr:uid="{00000000-0005-0000-0000-00000E010000}"/>
    <cellStyle name="20% - Accent2 3 4 3 2" xfId="13787" xr:uid="{B9BDC408-D984-4362-96D4-E073F686CF68}"/>
    <cellStyle name="20% - Accent2 3 4 3 3" xfId="22233" xr:uid="{EF7CB3CC-57E9-40F5-82E2-C10EF8DF1FAD}"/>
    <cellStyle name="20% - Accent2 3 4 4" xfId="9569" xr:uid="{99518C6C-DB43-4528-B202-5AA98DA9B540}"/>
    <cellStyle name="20% - Accent2 3 4 5" xfId="18014" xr:uid="{AA5239AB-10B0-424B-97F2-7706E045F551}"/>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FD384EE3-46A1-447E-B99D-9B5311FB4EB1}"/>
    <cellStyle name="20% - Accent2 3 5 2 2 3" xfId="24791" xr:uid="{3F95DD55-27A5-4BE4-9E1C-52EDC96610A3}"/>
    <cellStyle name="20% - Accent2 3 5 2 3" xfId="12127" xr:uid="{70CEC49F-B23C-4ABF-A13D-A4556C0579BA}"/>
    <cellStyle name="20% - Accent2 3 5 2 4" xfId="20574" xr:uid="{8B38DCA5-86BD-496F-9F60-D7E464170B98}"/>
    <cellStyle name="20% - Accent2 3 5 3" xfId="5758" xr:uid="{00000000-0005-0000-0000-000012010000}"/>
    <cellStyle name="20% - Accent2 3 5 3 2" xfId="14200" xr:uid="{EFEA9E71-00BA-42B1-AEEA-59EABB6C4D9B}"/>
    <cellStyle name="20% - Accent2 3 5 3 3" xfId="22646" xr:uid="{A1419970-5CE1-4EA8-8E49-09D4BF0972ED}"/>
    <cellStyle name="20% - Accent2 3 5 4" xfId="9982" xr:uid="{0C75F820-8089-45B3-ADFA-D8929E94B356}"/>
    <cellStyle name="20% - Accent2 3 5 5" xfId="18427" xr:uid="{B62B477A-5D4A-4D55-AF43-6C063A203FE7}"/>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126E12A4-9AA9-4124-9DC9-2D7B95D21B74}"/>
    <cellStyle name="20% - Accent2 3 6 2 2 3" xfId="25204" xr:uid="{2C8067E2-F380-4F4A-B48C-405207D466AA}"/>
    <cellStyle name="20% - Accent2 3 6 2 3" xfId="12540" xr:uid="{8A2814AF-2EA9-42B9-9ADA-64ECF58E2796}"/>
    <cellStyle name="20% - Accent2 3 6 2 4" xfId="20987" xr:uid="{0B71F50D-ED47-4AFF-ADCF-4A09CA06513B}"/>
    <cellStyle name="20% - Accent2 3 6 3" xfId="6171" xr:uid="{00000000-0005-0000-0000-000016010000}"/>
    <cellStyle name="20% - Accent2 3 6 3 2" xfId="14613" xr:uid="{7DA2E798-C730-4B9A-969E-9847F5F02A9E}"/>
    <cellStyle name="20% - Accent2 3 6 3 3" xfId="23059" xr:uid="{F315E794-7A6C-4D2A-9CCA-DBC4F78CCE77}"/>
    <cellStyle name="20% - Accent2 3 6 4" xfId="10395" xr:uid="{2345F0A5-7980-46E4-AF66-5AD2D2710EDB}"/>
    <cellStyle name="20% - Accent2 3 6 5" xfId="18840" xr:uid="{24CBA70A-5C96-422C-AF96-A697C58D130F}"/>
    <cellStyle name="20% - Accent2 3 7" xfId="2277" xr:uid="{00000000-0005-0000-0000-000017010000}"/>
    <cellStyle name="20% - Accent2 3 7 2" xfId="6584" xr:uid="{00000000-0005-0000-0000-000018010000}"/>
    <cellStyle name="20% - Accent2 3 7 2 2" xfId="15026" xr:uid="{E6BAC700-CCA8-433D-B6A5-5B85CDACA640}"/>
    <cellStyle name="20% - Accent2 3 7 2 3" xfId="23472" xr:uid="{2D3C93DC-B3F1-4263-B331-A0419B17951A}"/>
    <cellStyle name="20% - Accent2 3 7 3" xfId="10808" xr:uid="{F0FB1ABC-D0BA-47C5-9D59-7586887AA1D2}"/>
    <cellStyle name="20% - Accent2 3 7 4" xfId="19253" xr:uid="{F224B4F2-0CBE-45C5-86B1-06961B593CDC}"/>
    <cellStyle name="20% - Accent2 3 8" xfId="4518" xr:uid="{00000000-0005-0000-0000-000019010000}"/>
    <cellStyle name="20% - Accent2 3 8 2" xfId="12960" xr:uid="{D2BA8BFD-FEF1-4105-BD2A-254BF4A3D89B}"/>
    <cellStyle name="20% - Accent2 3 8 3" xfId="21406" xr:uid="{407A03C9-E223-4D2E-ADEE-AAC265CBB2E1}"/>
    <cellStyle name="20% - Accent2 3 9" xfId="8742" xr:uid="{324F4D62-24AE-45A4-9508-71C897910C18}"/>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DA1DDEF6-1DB3-4C2E-85C1-BB0F2FB26B09}"/>
    <cellStyle name="20% - Accent2 4 2 2 2 3" xfId="23967" xr:uid="{52E05921-0B1F-4395-8C70-6F4331C28ABA}"/>
    <cellStyle name="20% - Accent2 4 2 2 3" xfId="11303" xr:uid="{20A5D8BD-6B5A-45B7-956B-2F4FFB44425C}"/>
    <cellStyle name="20% - Accent2 4 2 2 4" xfId="19750" xr:uid="{BA460B3D-1E36-440F-802D-7AECC769145A}"/>
    <cellStyle name="20% - Accent2 4 2 3" xfId="4934" xr:uid="{00000000-0005-0000-0000-00001E010000}"/>
    <cellStyle name="20% - Accent2 4 2 3 2" xfId="13376" xr:uid="{30E286A6-964D-49A7-9362-8680CFFE4FEB}"/>
    <cellStyle name="20% - Accent2 4 2 3 3" xfId="21822" xr:uid="{F9AA0598-8044-4C8D-AEC2-29E29897B45F}"/>
    <cellStyle name="20% - Accent2 4 2 4" xfId="9158" xr:uid="{90BE28ED-8E56-4AFC-B5AC-27353B1AFC35}"/>
    <cellStyle name="20% - Accent2 4 2 5" xfId="17603" xr:uid="{F7F316C2-B1AD-490D-B3B9-6E591DB7B5B4}"/>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6B0E33BB-27B4-40B7-92A6-29F7C77E2806}"/>
    <cellStyle name="20% - Accent2 4 3 2 2 3" xfId="24380" xr:uid="{84D30044-8156-485D-B01E-A27F9DB2E11A}"/>
    <cellStyle name="20% - Accent2 4 3 2 3" xfId="11716" xr:uid="{ECF11DFB-BA80-4E0F-A887-3E2AA2777AB3}"/>
    <cellStyle name="20% - Accent2 4 3 2 4" xfId="20163" xr:uid="{492981B4-00ED-480F-AAB1-6D328AE5449B}"/>
    <cellStyle name="20% - Accent2 4 3 3" xfId="5347" xr:uid="{00000000-0005-0000-0000-000022010000}"/>
    <cellStyle name="20% - Accent2 4 3 3 2" xfId="13789" xr:uid="{EF93147B-E529-40EB-98B1-4528DFF24B3F}"/>
    <cellStyle name="20% - Accent2 4 3 3 3" xfId="22235" xr:uid="{4202D4DA-BC62-4797-B2B3-978527298744}"/>
    <cellStyle name="20% - Accent2 4 3 4" xfId="9571" xr:uid="{84053696-CD2D-42E7-963E-769FF4074EF5}"/>
    <cellStyle name="20% - Accent2 4 3 5" xfId="18016" xr:uid="{4DCDB941-8F20-49C1-A760-051649496B54}"/>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171559A7-FD8A-4878-B6E1-A16E62D7AC70}"/>
    <cellStyle name="20% - Accent2 4 4 2 2 3" xfId="24793" xr:uid="{1AB5FAED-1CAD-4C8B-AE71-B3E2CACDF5A3}"/>
    <cellStyle name="20% - Accent2 4 4 2 3" xfId="12129" xr:uid="{68278DE1-3ECE-402E-9F92-247310BF4604}"/>
    <cellStyle name="20% - Accent2 4 4 2 4" xfId="20576" xr:uid="{A048DD26-AC93-4226-93AD-77B48A03DA68}"/>
    <cellStyle name="20% - Accent2 4 4 3" xfId="5760" xr:uid="{00000000-0005-0000-0000-000026010000}"/>
    <cellStyle name="20% - Accent2 4 4 3 2" xfId="14202" xr:uid="{621378AE-76E0-49C4-8F51-2F8DA558F445}"/>
    <cellStyle name="20% - Accent2 4 4 3 3" xfId="22648" xr:uid="{9D21D26D-1AC6-40ED-AC26-3ABC526DC2E6}"/>
    <cellStyle name="20% - Accent2 4 4 4" xfId="9984" xr:uid="{3F6CDB0A-879B-4E47-BC45-34FFC9CB9A4B}"/>
    <cellStyle name="20% - Accent2 4 4 5" xfId="18429" xr:uid="{63778F41-62B1-458C-887A-1ED375A9A68F}"/>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390A87CC-5383-45CB-BA77-739E48C97901}"/>
    <cellStyle name="20% - Accent2 4 5 2 2 3" xfId="25206" xr:uid="{48BE85CA-DAEC-476C-8FE9-CEF5EDCC90B4}"/>
    <cellStyle name="20% - Accent2 4 5 2 3" xfId="12542" xr:uid="{92D890E6-00DB-4834-9F26-EBAB8F6F8D1A}"/>
    <cellStyle name="20% - Accent2 4 5 2 4" xfId="20989" xr:uid="{5C3CC583-86AE-475C-A25E-B2D290CAA274}"/>
    <cellStyle name="20% - Accent2 4 5 3" xfId="6173" xr:uid="{00000000-0005-0000-0000-00002A010000}"/>
    <cellStyle name="20% - Accent2 4 5 3 2" xfId="14615" xr:uid="{D0548DEE-30F8-426D-8452-9DCD89F2ACA0}"/>
    <cellStyle name="20% - Accent2 4 5 3 3" xfId="23061" xr:uid="{C687E261-F3FD-4D2F-954E-19D11E6868A0}"/>
    <cellStyle name="20% - Accent2 4 5 4" xfId="10397" xr:uid="{5E560782-CAB7-48EE-B587-1F6583AA76A9}"/>
    <cellStyle name="20% - Accent2 4 5 5" xfId="18842" xr:uid="{F02ABDAD-04D5-4DEB-BFA0-1E86A99B083E}"/>
    <cellStyle name="20% - Accent2 4 6" xfId="2279" xr:uid="{00000000-0005-0000-0000-00002B010000}"/>
    <cellStyle name="20% - Accent2 4 6 2" xfId="6586" xr:uid="{00000000-0005-0000-0000-00002C010000}"/>
    <cellStyle name="20% - Accent2 4 6 2 2" xfId="15028" xr:uid="{1610DB32-24DE-41A8-828C-FCB35AA6D64E}"/>
    <cellStyle name="20% - Accent2 4 6 2 3" xfId="23474" xr:uid="{A1A58EF8-0D02-43E1-B342-2D21DCB3CFD7}"/>
    <cellStyle name="20% - Accent2 4 6 3" xfId="10810" xr:uid="{9D00D26F-96BD-499C-9DD7-83668CE5CCD9}"/>
    <cellStyle name="20% - Accent2 4 6 4" xfId="19255" xr:uid="{C753924D-9CD0-40C8-9070-9117932EB817}"/>
    <cellStyle name="20% - Accent2 4 7" xfId="4520" xr:uid="{00000000-0005-0000-0000-00002D010000}"/>
    <cellStyle name="20% - Accent2 4 7 2" xfId="12962" xr:uid="{6280650B-A60C-485A-A06C-5F738513B664}"/>
    <cellStyle name="20% - Accent2 4 7 3" xfId="21408" xr:uid="{C4DC0FFC-139F-4002-B55D-78B5B8A53E33}"/>
    <cellStyle name="20% - Accent2 4 8" xfId="8744" xr:uid="{A78BED7D-B88A-47B2-99DE-796DC45DFCB5}"/>
    <cellStyle name="20% - Accent2 4 9" xfId="17186" xr:uid="{BAD1695F-3CB2-4F74-BAB8-D86A048904FD}"/>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F40E9175-FCE4-414C-B2D3-AA58FB191432}"/>
    <cellStyle name="20% - Accent2 5 2 2 3" xfId="23960" xr:uid="{DBF4F457-B702-4B21-8EE1-D27E34190675}"/>
    <cellStyle name="20% - Accent2 5 2 3" xfId="11296" xr:uid="{40155008-6138-4583-9DBB-CA72B41385D4}"/>
    <cellStyle name="20% - Accent2 5 2 4" xfId="19743" xr:uid="{BEA7B249-EDA8-441C-93C4-E17F9DC502A0}"/>
    <cellStyle name="20% - Accent2 5 3" xfId="4927" xr:uid="{00000000-0005-0000-0000-000031010000}"/>
    <cellStyle name="20% - Accent2 5 3 2" xfId="13369" xr:uid="{735F7F89-A54F-43FA-93D2-C00E699DAF84}"/>
    <cellStyle name="20% - Accent2 5 3 3" xfId="21815" xr:uid="{BC410AAC-0CDC-4C18-BCEE-A3DFA8D076BE}"/>
    <cellStyle name="20% - Accent2 5 4" xfId="9151" xr:uid="{E65DB7F0-E6A8-4FC0-B08E-079D157ABD2A}"/>
    <cellStyle name="20% - Accent2 5 5" xfId="17596" xr:uid="{01E3AF32-2510-4E86-AA62-D0C8811FC19C}"/>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38DA49B8-B6BF-4CC9-ACE1-7641DE7E8824}"/>
    <cellStyle name="20% - Accent2 6 2 2 3" xfId="24373" xr:uid="{D123DFDE-88E0-4E45-8E98-8653AC0CB1CE}"/>
    <cellStyle name="20% - Accent2 6 2 3" xfId="11709" xr:uid="{BD8AD446-AF64-4BC1-B245-FD13E2880A35}"/>
    <cellStyle name="20% - Accent2 6 2 4" xfId="20156" xr:uid="{A48BA326-2824-4FBE-AB8D-2717575CAEEB}"/>
    <cellStyle name="20% - Accent2 6 3" xfId="5340" xr:uid="{00000000-0005-0000-0000-000035010000}"/>
    <cellStyle name="20% - Accent2 6 3 2" xfId="13782" xr:uid="{B36C32BF-47CE-4BE9-B469-1EBBF17D0419}"/>
    <cellStyle name="20% - Accent2 6 3 3" xfId="22228" xr:uid="{DE12B7D4-AD8F-45E2-AE87-5D521EF211FE}"/>
    <cellStyle name="20% - Accent2 6 4" xfId="9564" xr:uid="{793BA91C-9921-42A0-ACDA-1F325B2D9932}"/>
    <cellStyle name="20% - Accent2 6 5" xfId="18009" xr:uid="{A93504F6-FE27-43E1-BEE4-25441F6E422E}"/>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1D5DDA0F-1419-4C99-B5DD-D77B15D47216}"/>
    <cellStyle name="20% - Accent2 7 2 2 3" xfId="24786" xr:uid="{92D09F7E-EA24-4D37-8F60-A276449B50F8}"/>
    <cellStyle name="20% - Accent2 7 2 3" xfId="12122" xr:uid="{7854C5FB-BDC5-42F2-9029-7251532B6414}"/>
    <cellStyle name="20% - Accent2 7 2 4" xfId="20569" xr:uid="{8D9DB162-40F6-41D9-BA82-D10B65E0CB2C}"/>
    <cellStyle name="20% - Accent2 7 3" xfId="5753" xr:uid="{00000000-0005-0000-0000-000039010000}"/>
    <cellStyle name="20% - Accent2 7 3 2" xfId="14195" xr:uid="{8CE71FE1-24E0-4EDF-A1B5-CD86AEE9C4C5}"/>
    <cellStyle name="20% - Accent2 7 3 3" xfId="22641" xr:uid="{BF61B18F-25DA-424E-90C4-BBE2A54794F8}"/>
    <cellStyle name="20% - Accent2 7 4" xfId="9977" xr:uid="{F884327B-6A24-403A-8463-CF9466F5BD1A}"/>
    <cellStyle name="20% - Accent2 7 5" xfId="18422" xr:uid="{4E962D2D-167C-4DC9-820E-084B0277F7BA}"/>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64374FD2-B1B3-4DF4-8526-B59DB86D1213}"/>
    <cellStyle name="20% - Accent2 8 2 2 3" xfId="25199" xr:uid="{58D01C58-E802-48B6-9850-8BD0F9E30709}"/>
    <cellStyle name="20% - Accent2 8 2 3" xfId="12535" xr:uid="{417BC732-58C5-42A9-9287-B80852F74F12}"/>
    <cellStyle name="20% - Accent2 8 2 4" xfId="20982" xr:uid="{CD80B885-02A4-41E6-BDE2-0AD516AFAF77}"/>
    <cellStyle name="20% - Accent2 8 3" xfId="6166" xr:uid="{00000000-0005-0000-0000-00003D010000}"/>
    <cellStyle name="20% - Accent2 8 3 2" xfId="14608" xr:uid="{3E53F570-0806-49DB-9A02-AA32FE229AB4}"/>
    <cellStyle name="20% - Accent2 8 3 3" xfId="23054" xr:uid="{20600952-D8D0-4C4D-8F3B-4450569567B5}"/>
    <cellStyle name="20% - Accent2 8 4" xfId="10390" xr:uid="{4650BF3D-63DC-47D7-A6D8-7FDB028F581B}"/>
    <cellStyle name="20% - Accent2 8 5" xfId="18835" xr:uid="{001F8605-EC64-4BB4-8448-7223B90A3F0C}"/>
    <cellStyle name="20% - Accent2 9" xfId="2272" xr:uid="{00000000-0005-0000-0000-00003E010000}"/>
    <cellStyle name="20% - Accent2 9 2" xfId="6579" xr:uid="{00000000-0005-0000-0000-00003F010000}"/>
    <cellStyle name="20% - Accent2 9 2 2" xfId="15021" xr:uid="{785B227E-6C5F-4465-B323-2033A59DC18C}"/>
    <cellStyle name="20% - Accent2 9 2 3" xfId="23467" xr:uid="{6A8ABBDD-AC82-4DC3-AFBD-B154DE100399}"/>
    <cellStyle name="20% - Accent2 9 3" xfId="10803" xr:uid="{1AD734D2-2F87-4EE4-A17C-76E8C1F17AC4}"/>
    <cellStyle name="20% - Accent2 9 4" xfId="19248" xr:uid="{2CA8752C-ED18-4ABB-8A57-44508C67C289}"/>
    <cellStyle name="20% - Accent3" xfId="17" builtinId="38" customBuiltin="1"/>
    <cellStyle name="20% - Accent3 10" xfId="4521" xr:uid="{00000000-0005-0000-0000-000041010000}"/>
    <cellStyle name="20% - Accent3 10 2" xfId="12963" xr:uid="{5969BE35-4B00-465B-8D1B-F8EE2DD4736F}"/>
    <cellStyle name="20% - Accent3 10 3" xfId="21409" xr:uid="{56309FD4-B170-4C86-9274-B0EB065D54C6}"/>
    <cellStyle name="20% - Accent3 11" xfId="8745" xr:uid="{313C2E10-E82D-4BEE-97A5-7D4F47059468}"/>
    <cellStyle name="20% - Accent3 12" xfId="17187" xr:uid="{57526011-9F53-4F53-A92A-D5E5145C10DE}"/>
    <cellStyle name="20% - Accent3 2" xfId="18" xr:uid="{00000000-0005-0000-0000-000042010000}"/>
    <cellStyle name="20% - Accent3 2 10" xfId="8746" xr:uid="{D888D7C8-30A4-4E8B-A1D6-328494BB61B1}"/>
    <cellStyle name="20% - Accent3 2 11" xfId="17188" xr:uid="{F13D017E-91B7-481D-A1E7-DF6B90A4581A}"/>
    <cellStyle name="20% - Accent3 2 2" xfId="19" xr:uid="{00000000-0005-0000-0000-000043010000}"/>
    <cellStyle name="20% - Accent3 2 2 10" xfId="17189" xr:uid="{2474DBD9-3099-46B9-B871-AD8B4604B235}"/>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585F6479-715B-44EC-BA06-CE67CE4B2C13}"/>
    <cellStyle name="20% - Accent3 2 2 2 2 2 2 3" xfId="23971" xr:uid="{F0F1C282-49F3-478C-9D2F-DEC81ABDF1EE}"/>
    <cellStyle name="20% - Accent3 2 2 2 2 2 3" xfId="11307" xr:uid="{DE57C582-2CC4-47F9-BA70-7F8EA9600154}"/>
    <cellStyle name="20% - Accent3 2 2 2 2 2 4" xfId="19754" xr:uid="{605E0D6F-2767-4050-A722-872DC956B34E}"/>
    <cellStyle name="20% - Accent3 2 2 2 2 3" xfId="4938" xr:uid="{00000000-0005-0000-0000-000048010000}"/>
    <cellStyle name="20% - Accent3 2 2 2 2 3 2" xfId="13380" xr:uid="{C2F6CC7F-DD43-4165-AF09-3462688B7E6C}"/>
    <cellStyle name="20% - Accent3 2 2 2 2 3 3" xfId="21826" xr:uid="{718FF430-FBF3-4D46-B054-96C04CF1D163}"/>
    <cellStyle name="20% - Accent3 2 2 2 2 4" xfId="9162" xr:uid="{0FB97224-4DB4-43CF-AA6D-423569EB84BC}"/>
    <cellStyle name="20% - Accent3 2 2 2 2 5" xfId="17607" xr:uid="{6FA0CD34-4C43-4816-98F3-8953DC1236F9}"/>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9710B0E2-B4E9-40D7-AA5A-4840A235F6A9}"/>
    <cellStyle name="20% - Accent3 2 2 2 3 2 2 3" xfId="24384" xr:uid="{38EF5CCA-5BF8-4555-9534-CF5FF9382197}"/>
    <cellStyle name="20% - Accent3 2 2 2 3 2 3" xfId="11720" xr:uid="{08EFCAB7-6DC2-4074-9A7C-45401D4079F6}"/>
    <cellStyle name="20% - Accent3 2 2 2 3 2 4" xfId="20167" xr:uid="{963BC24E-1815-4036-B8CB-9D2B78E0D0F6}"/>
    <cellStyle name="20% - Accent3 2 2 2 3 3" xfId="5351" xr:uid="{00000000-0005-0000-0000-00004C010000}"/>
    <cellStyle name="20% - Accent3 2 2 2 3 3 2" xfId="13793" xr:uid="{FEC64162-8D21-4E9A-AF6A-AD2366C1628C}"/>
    <cellStyle name="20% - Accent3 2 2 2 3 3 3" xfId="22239" xr:uid="{45F0059D-9EAB-4023-8C15-6CE59BA4BA22}"/>
    <cellStyle name="20% - Accent3 2 2 2 3 4" xfId="9575" xr:uid="{0879A223-82A5-4243-8090-E09D3A71BB4F}"/>
    <cellStyle name="20% - Accent3 2 2 2 3 5" xfId="18020" xr:uid="{E660D1AC-65F3-490C-83BA-3A0B3971777E}"/>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BCDF972C-37C3-43B4-BE03-F582082A05AD}"/>
    <cellStyle name="20% - Accent3 2 2 2 4 2 2 3" xfId="24797" xr:uid="{C98DD900-4923-49DE-9D16-79DE26462071}"/>
    <cellStyle name="20% - Accent3 2 2 2 4 2 3" xfId="12133" xr:uid="{DAA15990-EA49-44D5-A562-B13315D78489}"/>
    <cellStyle name="20% - Accent3 2 2 2 4 2 4" xfId="20580" xr:uid="{F38B7C0A-B07B-4432-BB1F-E4D2196B03A3}"/>
    <cellStyle name="20% - Accent3 2 2 2 4 3" xfId="5764" xr:uid="{00000000-0005-0000-0000-000050010000}"/>
    <cellStyle name="20% - Accent3 2 2 2 4 3 2" xfId="14206" xr:uid="{75577A3E-6BEF-4FF2-9CB8-F10DD4509ED7}"/>
    <cellStyle name="20% - Accent3 2 2 2 4 3 3" xfId="22652" xr:uid="{3FFE3E36-46EA-4681-A802-C24E732BE06C}"/>
    <cellStyle name="20% - Accent3 2 2 2 4 4" xfId="9988" xr:uid="{1149EB14-00D4-4D59-A654-E1026267FD3C}"/>
    <cellStyle name="20% - Accent3 2 2 2 4 5" xfId="18433" xr:uid="{2967E618-A582-48FC-A9B9-1F024661B948}"/>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3D8A0F4F-F63A-4067-8636-BEF6C9EE7D1F}"/>
    <cellStyle name="20% - Accent3 2 2 2 5 2 2 3" xfId="25210" xr:uid="{A36FFE3A-0C25-415A-B69E-029E151D701C}"/>
    <cellStyle name="20% - Accent3 2 2 2 5 2 3" xfId="12546" xr:uid="{7C7410C4-43E5-426D-9217-7305F8293966}"/>
    <cellStyle name="20% - Accent3 2 2 2 5 2 4" xfId="20993" xr:uid="{ED9BCFF2-2AC6-4B35-884B-9A2D7E6D1310}"/>
    <cellStyle name="20% - Accent3 2 2 2 5 3" xfId="6177" xr:uid="{00000000-0005-0000-0000-000054010000}"/>
    <cellStyle name="20% - Accent3 2 2 2 5 3 2" xfId="14619" xr:uid="{CD7825B2-7130-40A8-A5F3-B38487332E90}"/>
    <cellStyle name="20% - Accent3 2 2 2 5 3 3" xfId="23065" xr:uid="{92F46CC6-D24E-4642-8496-C4431054523A}"/>
    <cellStyle name="20% - Accent3 2 2 2 5 4" xfId="10401" xr:uid="{CD878F25-DA29-4295-9AF7-9678409EDF01}"/>
    <cellStyle name="20% - Accent3 2 2 2 5 5" xfId="18846" xr:uid="{7F718587-634E-4777-B683-A59ACD83A8F4}"/>
    <cellStyle name="20% - Accent3 2 2 2 6" xfId="2283" xr:uid="{00000000-0005-0000-0000-000055010000}"/>
    <cellStyle name="20% - Accent3 2 2 2 6 2" xfId="6590" xr:uid="{00000000-0005-0000-0000-000056010000}"/>
    <cellStyle name="20% - Accent3 2 2 2 6 2 2" xfId="15032" xr:uid="{4F256823-769D-4CA2-998E-5A6F8EF1E397}"/>
    <cellStyle name="20% - Accent3 2 2 2 6 2 3" xfId="23478" xr:uid="{4C5B8C4D-56C1-4C18-972D-9D4D4473A610}"/>
    <cellStyle name="20% - Accent3 2 2 2 6 3" xfId="10814" xr:uid="{BF28C1CE-EB0D-4291-BC00-357A32FD75DB}"/>
    <cellStyle name="20% - Accent3 2 2 2 6 4" xfId="19259" xr:uid="{77EB91C1-EAA0-41BF-8904-0C1368FC7570}"/>
    <cellStyle name="20% - Accent3 2 2 2 7" xfId="4524" xr:uid="{00000000-0005-0000-0000-000057010000}"/>
    <cellStyle name="20% - Accent3 2 2 2 7 2" xfId="12966" xr:uid="{A29AEBC2-308C-4A2E-B38C-743FBFC11E68}"/>
    <cellStyle name="20% - Accent3 2 2 2 7 3" xfId="21412" xr:uid="{6924044D-91B7-40A7-8BE8-EC4AF5C2FED8}"/>
    <cellStyle name="20% - Accent3 2 2 2 8" xfId="8748" xr:uid="{788D454D-341D-47B5-A53D-F976CF199111}"/>
    <cellStyle name="20% - Accent3 2 2 2 9" xfId="17190" xr:uid="{41138F3D-AE71-4296-8725-8F5ACA7023F0}"/>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9DCA513E-3047-4134-85CE-2C9EE05A94CB}"/>
    <cellStyle name="20% - Accent3 2 2 3 2 2 3" xfId="23970" xr:uid="{D3D142B8-12A7-4971-9130-87DD43AAB8D2}"/>
    <cellStyle name="20% - Accent3 2 2 3 2 3" xfId="11306" xr:uid="{B7E69065-E750-4CE4-95E0-45A8C42CC0D7}"/>
    <cellStyle name="20% - Accent3 2 2 3 2 4" xfId="19753" xr:uid="{A9EFE793-631D-4498-9FF8-C21F723B781F}"/>
    <cellStyle name="20% - Accent3 2 2 3 3" xfId="4937" xr:uid="{00000000-0005-0000-0000-00005B010000}"/>
    <cellStyle name="20% - Accent3 2 2 3 3 2" xfId="13379" xr:uid="{92000AC9-EBC3-45F0-A12B-97A9033E7B32}"/>
    <cellStyle name="20% - Accent3 2 2 3 3 3" xfId="21825" xr:uid="{46D17A71-EA30-4339-B1C4-2184BE4FE122}"/>
    <cellStyle name="20% - Accent3 2 2 3 4" xfId="9161" xr:uid="{C95BBD83-04E5-4541-A547-E022F9261B65}"/>
    <cellStyle name="20% - Accent3 2 2 3 5" xfId="17606" xr:uid="{B859EC66-64C3-4995-8C5F-FA2F320C4CB7}"/>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2DEF72B6-52F0-418F-83E8-FAD9FEFF12C5}"/>
    <cellStyle name="20% - Accent3 2 2 4 2 2 3" xfId="24383" xr:uid="{FF0F1B7A-9E95-44DC-AB15-2481A8A3B484}"/>
    <cellStyle name="20% - Accent3 2 2 4 2 3" xfId="11719" xr:uid="{6D542372-C20D-456B-A75F-43671AA9D877}"/>
    <cellStyle name="20% - Accent3 2 2 4 2 4" xfId="20166" xr:uid="{EC7AFB33-EBFB-45EE-A565-44D0B6AF8666}"/>
    <cellStyle name="20% - Accent3 2 2 4 3" xfId="5350" xr:uid="{00000000-0005-0000-0000-00005F010000}"/>
    <cellStyle name="20% - Accent3 2 2 4 3 2" xfId="13792" xr:uid="{87FD5EFD-6E1A-470C-8383-3B151286A093}"/>
    <cellStyle name="20% - Accent3 2 2 4 3 3" xfId="22238" xr:uid="{5774F30D-F0DD-4B32-A757-C233B9EC97BB}"/>
    <cellStyle name="20% - Accent3 2 2 4 4" xfId="9574" xr:uid="{21B17325-456C-455F-9672-090FB941C0F2}"/>
    <cellStyle name="20% - Accent3 2 2 4 5" xfId="18019" xr:uid="{6159F392-1FB7-4390-BB43-7F4055DBF3CA}"/>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58C0F013-E460-4AD6-914A-6BDC7AD99714}"/>
    <cellStyle name="20% - Accent3 2 2 5 2 2 3" xfId="24796" xr:uid="{31D52F1B-7F71-4717-9D50-F44481A35180}"/>
    <cellStyle name="20% - Accent3 2 2 5 2 3" xfId="12132" xr:uid="{28D6206D-A516-4F97-9529-0EE17E199CA9}"/>
    <cellStyle name="20% - Accent3 2 2 5 2 4" xfId="20579" xr:uid="{3DB20DBE-E446-4B54-AD92-0BDD05B6FBA0}"/>
    <cellStyle name="20% - Accent3 2 2 5 3" xfId="5763" xr:uid="{00000000-0005-0000-0000-000063010000}"/>
    <cellStyle name="20% - Accent3 2 2 5 3 2" xfId="14205" xr:uid="{4A4BCAC6-AA08-4B53-9971-B26DA7F6C647}"/>
    <cellStyle name="20% - Accent3 2 2 5 3 3" xfId="22651" xr:uid="{5DFFE66F-7F96-41C8-9272-2936512F4FD3}"/>
    <cellStyle name="20% - Accent3 2 2 5 4" xfId="9987" xr:uid="{D1A932A8-8F88-46CD-AC84-564D12D94132}"/>
    <cellStyle name="20% - Accent3 2 2 5 5" xfId="18432" xr:uid="{AD88BA89-A881-49C3-B45A-D37F2B5EDCB3}"/>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C620EEC4-DEB2-4AE9-91C5-8975ADFD663D}"/>
    <cellStyle name="20% - Accent3 2 2 6 2 2 3" xfId="25209" xr:uid="{1F451F19-AE71-42CD-913B-5EF80B3DEC14}"/>
    <cellStyle name="20% - Accent3 2 2 6 2 3" xfId="12545" xr:uid="{7138E722-A81F-4AF7-A289-09C58D27D96F}"/>
    <cellStyle name="20% - Accent3 2 2 6 2 4" xfId="20992" xr:uid="{5EAB2938-ECB4-4B88-8B44-D8D5D2BF4AA3}"/>
    <cellStyle name="20% - Accent3 2 2 6 3" xfId="6176" xr:uid="{00000000-0005-0000-0000-000067010000}"/>
    <cellStyle name="20% - Accent3 2 2 6 3 2" xfId="14618" xr:uid="{2FF789C8-2203-4290-9FF3-C0FD9292F947}"/>
    <cellStyle name="20% - Accent3 2 2 6 3 3" xfId="23064" xr:uid="{49838456-4CC1-427C-A2BD-08C10BBDFB96}"/>
    <cellStyle name="20% - Accent3 2 2 6 4" xfId="10400" xr:uid="{929374BC-C813-4771-8B5C-7F709E9481D2}"/>
    <cellStyle name="20% - Accent3 2 2 6 5" xfId="18845" xr:uid="{91C9F360-A1E1-44A7-80BA-BFFCC12685F0}"/>
    <cellStyle name="20% - Accent3 2 2 7" xfId="2282" xr:uid="{00000000-0005-0000-0000-000068010000}"/>
    <cellStyle name="20% - Accent3 2 2 7 2" xfId="6589" xr:uid="{00000000-0005-0000-0000-000069010000}"/>
    <cellStyle name="20% - Accent3 2 2 7 2 2" xfId="15031" xr:uid="{B5BCE9C4-B569-4C31-B465-9F5EC6011FF8}"/>
    <cellStyle name="20% - Accent3 2 2 7 2 3" xfId="23477" xr:uid="{CFF3B5B9-A0B6-499A-AFED-34F0DF80EB0F}"/>
    <cellStyle name="20% - Accent3 2 2 7 3" xfId="10813" xr:uid="{54BE7A78-2CD0-4370-95B1-35802049E122}"/>
    <cellStyle name="20% - Accent3 2 2 7 4" xfId="19258" xr:uid="{E3B0A813-3E2A-4529-8C5E-EB37AB779F79}"/>
    <cellStyle name="20% - Accent3 2 2 8" xfId="4523" xr:uid="{00000000-0005-0000-0000-00006A010000}"/>
    <cellStyle name="20% - Accent3 2 2 8 2" xfId="12965" xr:uid="{6011E0C5-8D44-469D-A28A-8AA65C7CFF18}"/>
    <cellStyle name="20% - Accent3 2 2 8 3" xfId="21411" xr:uid="{CDFAD1E7-C671-4781-8932-4B08BF163CA5}"/>
    <cellStyle name="20% - Accent3 2 2 9" xfId="8747" xr:uid="{49A31514-1ACA-4AA7-A0B3-0D9E16AADBC9}"/>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6A31BBB0-4AF5-4F2F-818B-D0B0EC1ED10E}"/>
    <cellStyle name="20% - Accent3 2 3 2 2 2 3" xfId="23972" xr:uid="{B2FDD717-2F64-43FE-89AC-76E6756E6146}"/>
    <cellStyle name="20% - Accent3 2 3 2 2 3" xfId="11308" xr:uid="{A728777B-01A4-4F48-9D62-381915C461CA}"/>
    <cellStyle name="20% - Accent3 2 3 2 2 4" xfId="19755" xr:uid="{595F6480-2073-4C75-B94C-E0C893F62BFC}"/>
    <cellStyle name="20% - Accent3 2 3 2 3" xfId="4939" xr:uid="{00000000-0005-0000-0000-00006F010000}"/>
    <cellStyle name="20% - Accent3 2 3 2 3 2" xfId="13381" xr:uid="{4925A7FE-2B55-47FA-B627-2D188EA5B18E}"/>
    <cellStyle name="20% - Accent3 2 3 2 3 3" xfId="21827" xr:uid="{7B40C23C-EF1C-42B5-8244-E2BE4032FD39}"/>
    <cellStyle name="20% - Accent3 2 3 2 4" xfId="9163" xr:uid="{E665114D-F143-47A3-8C27-888CFA4FB171}"/>
    <cellStyle name="20% - Accent3 2 3 2 5" xfId="17608" xr:uid="{847E2CBC-762D-4934-80EE-B8044A94AE15}"/>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920462F9-AD6D-43E7-BFD6-E2CD1ADF77C9}"/>
    <cellStyle name="20% - Accent3 2 3 3 2 2 3" xfId="24385" xr:uid="{FB7F8E06-88F0-42AF-BED7-016004DBE150}"/>
    <cellStyle name="20% - Accent3 2 3 3 2 3" xfId="11721" xr:uid="{BAF6D987-C450-47D3-B900-091D76E1A6AC}"/>
    <cellStyle name="20% - Accent3 2 3 3 2 4" xfId="20168" xr:uid="{85F9A3F0-16E1-4C66-AC9C-864887870004}"/>
    <cellStyle name="20% - Accent3 2 3 3 3" xfId="5352" xr:uid="{00000000-0005-0000-0000-000073010000}"/>
    <cellStyle name="20% - Accent3 2 3 3 3 2" xfId="13794" xr:uid="{9B219C83-DB33-489A-B75A-425AD65074D5}"/>
    <cellStyle name="20% - Accent3 2 3 3 3 3" xfId="22240" xr:uid="{770B4698-9287-4531-A036-14784BC4B1DA}"/>
    <cellStyle name="20% - Accent3 2 3 3 4" xfId="9576" xr:uid="{6A14BA75-D1A7-402F-9397-324D6A0ED40E}"/>
    <cellStyle name="20% - Accent3 2 3 3 5" xfId="18021" xr:uid="{323C8CCD-A25B-4ECA-804B-CDFB5574B9C1}"/>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19F4D8DC-E1EB-423B-9006-B166750BABAD}"/>
    <cellStyle name="20% - Accent3 2 3 4 2 2 3" xfId="24798" xr:uid="{A06334A9-681C-45C9-BFEC-E1C274020B7B}"/>
    <cellStyle name="20% - Accent3 2 3 4 2 3" xfId="12134" xr:uid="{813250D9-A263-468D-BE45-FDA4798513BA}"/>
    <cellStyle name="20% - Accent3 2 3 4 2 4" xfId="20581" xr:uid="{979D1C27-1900-411E-B5EF-C7446A3DC788}"/>
    <cellStyle name="20% - Accent3 2 3 4 3" xfId="5765" xr:uid="{00000000-0005-0000-0000-000077010000}"/>
    <cellStyle name="20% - Accent3 2 3 4 3 2" xfId="14207" xr:uid="{53E8AFE0-B7BA-4EB8-82A0-C8F4A8259165}"/>
    <cellStyle name="20% - Accent3 2 3 4 3 3" xfId="22653" xr:uid="{392C8BD2-D4B9-4211-A25C-AE15E30DF61C}"/>
    <cellStyle name="20% - Accent3 2 3 4 4" xfId="9989" xr:uid="{50AF3D60-76D7-4402-996E-86C01BF71433}"/>
    <cellStyle name="20% - Accent3 2 3 4 5" xfId="18434" xr:uid="{0E65DCC6-12E8-4E52-ADC5-9397167005BE}"/>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6B455998-4DAD-4312-AAEF-888156042F99}"/>
    <cellStyle name="20% - Accent3 2 3 5 2 2 3" xfId="25211" xr:uid="{199BC954-6BD6-43E9-AA06-41094E03F99A}"/>
    <cellStyle name="20% - Accent3 2 3 5 2 3" xfId="12547" xr:uid="{24F25C3E-8FBF-42E3-A270-57D0E9669971}"/>
    <cellStyle name="20% - Accent3 2 3 5 2 4" xfId="20994" xr:uid="{7F87A429-B06D-4220-9890-7F1BF0B2A137}"/>
    <cellStyle name="20% - Accent3 2 3 5 3" xfId="6178" xr:uid="{00000000-0005-0000-0000-00007B010000}"/>
    <cellStyle name="20% - Accent3 2 3 5 3 2" xfId="14620" xr:uid="{21A43B45-F82A-47BC-B533-58C8D468D84E}"/>
    <cellStyle name="20% - Accent3 2 3 5 3 3" xfId="23066" xr:uid="{5888E878-DD1A-4491-8E9D-C50F92BD0360}"/>
    <cellStyle name="20% - Accent3 2 3 5 4" xfId="10402" xr:uid="{59AF6A2A-682F-4BC4-AADE-2139B92C9782}"/>
    <cellStyle name="20% - Accent3 2 3 5 5" xfId="18847" xr:uid="{052F6EF1-E203-4DC8-BE8D-7E86C3F8681C}"/>
    <cellStyle name="20% - Accent3 2 3 6" xfId="2284" xr:uid="{00000000-0005-0000-0000-00007C010000}"/>
    <cellStyle name="20% - Accent3 2 3 6 2" xfId="6591" xr:uid="{00000000-0005-0000-0000-00007D010000}"/>
    <cellStyle name="20% - Accent3 2 3 6 2 2" xfId="15033" xr:uid="{2A0485CD-337B-416F-BB31-2B75EFAB1262}"/>
    <cellStyle name="20% - Accent3 2 3 6 2 3" xfId="23479" xr:uid="{C4D07671-8D31-45CA-A320-0FAADD9F1980}"/>
    <cellStyle name="20% - Accent3 2 3 6 3" xfId="10815" xr:uid="{1923E99C-EC8F-4F8F-8AB8-3A0A76F61713}"/>
    <cellStyle name="20% - Accent3 2 3 6 4" xfId="19260" xr:uid="{6CACB332-B878-49C1-ACA8-31C405B9643A}"/>
    <cellStyle name="20% - Accent3 2 3 7" xfId="4525" xr:uid="{00000000-0005-0000-0000-00007E010000}"/>
    <cellStyle name="20% - Accent3 2 3 7 2" xfId="12967" xr:uid="{24A4ACB7-0E12-46AA-A0CB-05A114B44CF4}"/>
    <cellStyle name="20% - Accent3 2 3 7 3" xfId="21413" xr:uid="{D53CAE46-94CB-49EE-AD29-A549876E5E74}"/>
    <cellStyle name="20% - Accent3 2 3 8" xfId="8749" xr:uid="{1A828E6F-5FBA-4343-AB7E-F1C5C3169624}"/>
    <cellStyle name="20% - Accent3 2 3 9" xfId="17191" xr:uid="{8C3F800C-36B3-4355-8DE3-0C16A41B21BF}"/>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86F62FE1-36DC-406E-933F-D33BBB0BCFA8}"/>
    <cellStyle name="20% - Accent3 2 4 2 2 3" xfId="23969" xr:uid="{4BEC72A3-2ABD-4437-A174-9C9683461299}"/>
    <cellStyle name="20% - Accent3 2 4 2 3" xfId="11305" xr:uid="{6A77575E-57C5-4320-9882-8A49452DDB92}"/>
    <cellStyle name="20% - Accent3 2 4 2 4" xfId="19752" xr:uid="{A4687B4E-017F-4977-9244-BB30BD6111DA}"/>
    <cellStyle name="20% - Accent3 2 4 3" xfId="4936" xr:uid="{00000000-0005-0000-0000-000082010000}"/>
    <cellStyle name="20% - Accent3 2 4 3 2" xfId="13378" xr:uid="{1ED9F3F7-3C26-44AD-8DE6-5B344BA84C45}"/>
    <cellStyle name="20% - Accent3 2 4 3 3" xfId="21824" xr:uid="{B9756B7D-1CA5-4800-A23B-181E35B83085}"/>
    <cellStyle name="20% - Accent3 2 4 4" xfId="9160" xr:uid="{2CA8D99B-A771-46C2-8371-E2062F201E4F}"/>
    <cellStyle name="20% - Accent3 2 4 5" xfId="17605" xr:uid="{0B8679A1-5161-4CDD-85A7-DB4558748EF8}"/>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CC665894-F4C9-449D-B9D0-E06A2589518E}"/>
    <cellStyle name="20% - Accent3 2 5 2 2 3" xfId="24382" xr:uid="{264CE6A5-C579-41EA-9C4D-C51D27F9A039}"/>
    <cellStyle name="20% - Accent3 2 5 2 3" xfId="11718" xr:uid="{9ED53901-2AFE-49EA-B528-2A567AEFD2FE}"/>
    <cellStyle name="20% - Accent3 2 5 2 4" xfId="20165" xr:uid="{8547544B-FE15-46F0-BF7C-D73C0A780321}"/>
    <cellStyle name="20% - Accent3 2 5 3" xfId="5349" xr:uid="{00000000-0005-0000-0000-000086010000}"/>
    <cellStyle name="20% - Accent3 2 5 3 2" xfId="13791" xr:uid="{B5C3107E-3A78-46EF-913D-8F1D3DC76AFE}"/>
    <cellStyle name="20% - Accent3 2 5 3 3" xfId="22237" xr:uid="{1BDEE6B6-0EA2-4464-AFBC-7F56808F86D7}"/>
    <cellStyle name="20% - Accent3 2 5 4" xfId="9573" xr:uid="{9D970729-EFDA-416E-9A64-6CC8E777F523}"/>
    <cellStyle name="20% - Accent3 2 5 5" xfId="18018" xr:uid="{99C9666C-9252-4D9C-A74E-C80055C77568}"/>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1349283A-E4EE-42A3-BFBE-62742C713685}"/>
    <cellStyle name="20% - Accent3 2 6 2 2 3" xfId="24795" xr:uid="{E2A476F6-F80D-4DA2-A824-0B1131A5B40B}"/>
    <cellStyle name="20% - Accent3 2 6 2 3" xfId="12131" xr:uid="{0F2FCBB4-C8F9-4C24-8A25-6995787EC300}"/>
    <cellStyle name="20% - Accent3 2 6 2 4" xfId="20578" xr:uid="{982C433A-EB22-4BB4-8BCB-E8F97635BDE3}"/>
    <cellStyle name="20% - Accent3 2 6 3" xfId="5762" xr:uid="{00000000-0005-0000-0000-00008A010000}"/>
    <cellStyle name="20% - Accent3 2 6 3 2" xfId="14204" xr:uid="{EF81B7EE-3DC4-41F2-B9BF-F1C58F2CF373}"/>
    <cellStyle name="20% - Accent3 2 6 3 3" xfId="22650" xr:uid="{492C0B9A-479B-40EC-B070-10750402295F}"/>
    <cellStyle name="20% - Accent3 2 6 4" xfId="9986" xr:uid="{F1267153-AE2F-4330-8EE0-8EB37A0C1533}"/>
    <cellStyle name="20% - Accent3 2 6 5" xfId="18431" xr:uid="{25E66237-27E0-453D-98A7-82C6F25764DC}"/>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ECE15199-734D-4C8C-9B08-E2255C4B806B}"/>
    <cellStyle name="20% - Accent3 2 7 2 2 3" xfId="25208" xr:uid="{3A6AC068-1D24-4D4C-9D34-A262F1195B3B}"/>
    <cellStyle name="20% - Accent3 2 7 2 3" xfId="12544" xr:uid="{EA0BBCC1-5282-4DC8-BD8D-A41763FCE847}"/>
    <cellStyle name="20% - Accent3 2 7 2 4" xfId="20991" xr:uid="{5B31AAB0-474F-4570-85AF-3492C817DD21}"/>
    <cellStyle name="20% - Accent3 2 7 3" xfId="6175" xr:uid="{00000000-0005-0000-0000-00008E010000}"/>
    <cellStyle name="20% - Accent3 2 7 3 2" xfId="14617" xr:uid="{E8E58EA4-95A4-4733-ADB2-4EABEB911623}"/>
    <cellStyle name="20% - Accent3 2 7 3 3" xfId="23063" xr:uid="{1C3C4664-B42A-4A02-8138-FD9EA7F694DA}"/>
    <cellStyle name="20% - Accent3 2 7 4" xfId="10399" xr:uid="{08EB0D50-3DCA-434D-A5D9-AB331E714D55}"/>
    <cellStyle name="20% - Accent3 2 7 5" xfId="18844" xr:uid="{4A7AF9B3-2678-43E2-81B5-06CD64FAF95E}"/>
    <cellStyle name="20% - Accent3 2 8" xfId="2281" xr:uid="{00000000-0005-0000-0000-00008F010000}"/>
    <cellStyle name="20% - Accent3 2 8 2" xfId="6588" xr:uid="{00000000-0005-0000-0000-000090010000}"/>
    <cellStyle name="20% - Accent3 2 8 2 2" xfId="15030" xr:uid="{3F22F26C-E61B-47F0-8C49-951D4605D2BF}"/>
    <cellStyle name="20% - Accent3 2 8 2 3" xfId="23476" xr:uid="{01183CAD-EFEC-4DE0-B3B5-9F7DEA2C7AF8}"/>
    <cellStyle name="20% - Accent3 2 8 3" xfId="10812" xr:uid="{E8410452-9478-4BFA-B7B0-26EC56CE0A73}"/>
    <cellStyle name="20% - Accent3 2 8 4" xfId="19257" xr:uid="{D2B86881-3FD7-4E45-84E2-DD8E599581E7}"/>
    <cellStyle name="20% - Accent3 2 9" xfId="4522" xr:uid="{00000000-0005-0000-0000-000091010000}"/>
    <cellStyle name="20% - Accent3 2 9 2" xfId="12964" xr:uid="{605007D3-3640-419E-97C0-85BC9E39C35C}"/>
    <cellStyle name="20% - Accent3 2 9 3" xfId="21410" xr:uid="{5759FF97-1C63-49D6-9AEF-275B74DC6100}"/>
    <cellStyle name="20% - Accent3 3" xfId="22" xr:uid="{00000000-0005-0000-0000-000092010000}"/>
    <cellStyle name="20% - Accent3 3 10" xfId="17192" xr:uid="{D3C279D4-3ED7-447A-B6BE-A60223F1814B}"/>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4DADD5CC-279F-467C-8107-BFDE3FE13B63}"/>
    <cellStyle name="20% - Accent3 3 2 2 2 2 3" xfId="23974" xr:uid="{03092EBC-563E-422C-A01C-D791339A213F}"/>
    <cellStyle name="20% - Accent3 3 2 2 2 3" xfId="11310" xr:uid="{279FCA46-7188-4343-B0C9-83775C7A640B}"/>
    <cellStyle name="20% - Accent3 3 2 2 2 4" xfId="19757" xr:uid="{0EA7284B-282B-4088-A562-5AC24103830C}"/>
    <cellStyle name="20% - Accent3 3 2 2 3" xfId="4941" xr:uid="{00000000-0005-0000-0000-000097010000}"/>
    <cellStyle name="20% - Accent3 3 2 2 3 2" xfId="13383" xr:uid="{EA4E6D6A-2449-4D5C-B756-A785D821FF54}"/>
    <cellStyle name="20% - Accent3 3 2 2 3 3" xfId="21829" xr:uid="{8FCEE485-912E-4A39-BE3C-C8C68DDB8F0D}"/>
    <cellStyle name="20% - Accent3 3 2 2 4" xfId="9165" xr:uid="{3B5E7FA2-8CB9-4376-A163-4221EBCAAA73}"/>
    <cellStyle name="20% - Accent3 3 2 2 5" xfId="17610" xr:uid="{5CB7440E-6B90-44EA-9DDB-E8A5C341FBB4}"/>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920C94F1-F6A4-45F1-BEBB-BA1ED53D5234}"/>
    <cellStyle name="20% - Accent3 3 2 3 2 2 3" xfId="24387" xr:uid="{B36AAC96-BFCD-4A8F-AEBE-0093392DB22B}"/>
    <cellStyle name="20% - Accent3 3 2 3 2 3" xfId="11723" xr:uid="{63ECBF1B-E35E-4D9A-B5E9-1A233F734599}"/>
    <cellStyle name="20% - Accent3 3 2 3 2 4" xfId="20170" xr:uid="{E82C3FBB-017E-4BDD-BDF2-C7D5ED3DF9DC}"/>
    <cellStyle name="20% - Accent3 3 2 3 3" xfId="5354" xr:uid="{00000000-0005-0000-0000-00009B010000}"/>
    <cellStyle name="20% - Accent3 3 2 3 3 2" xfId="13796" xr:uid="{8A9F140A-4483-4022-A944-BF4BE50B0F3F}"/>
    <cellStyle name="20% - Accent3 3 2 3 3 3" xfId="22242" xr:uid="{075E93E6-05B7-4B10-8CA5-0D386AB9F7A2}"/>
    <cellStyle name="20% - Accent3 3 2 3 4" xfId="9578" xr:uid="{9E2EFA06-30B4-4CB0-A388-B3A534036364}"/>
    <cellStyle name="20% - Accent3 3 2 3 5" xfId="18023" xr:uid="{6B6F5B1F-C6A6-4F67-838B-79AD3EBCB35C}"/>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1ED88D6A-3809-413C-AD37-0915ED9F37DB}"/>
    <cellStyle name="20% - Accent3 3 2 4 2 2 3" xfId="24800" xr:uid="{0E34E9CC-A3FF-4D5F-AFDB-E34ECB172CBE}"/>
    <cellStyle name="20% - Accent3 3 2 4 2 3" xfId="12136" xr:uid="{BD3918E2-F2E1-4DB0-91C4-222DDDE355A7}"/>
    <cellStyle name="20% - Accent3 3 2 4 2 4" xfId="20583" xr:uid="{25170579-11C3-412C-95C2-D8442387B401}"/>
    <cellStyle name="20% - Accent3 3 2 4 3" xfId="5767" xr:uid="{00000000-0005-0000-0000-00009F010000}"/>
    <cellStyle name="20% - Accent3 3 2 4 3 2" xfId="14209" xr:uid="{1070F9B6-0E7B-4630-B87D-EBD4098AA9FC}"/>
    <cellStyle name="20% - Accent3 3 2 4 3 3" xfId="22655" xr:uid="{D37CCB65-B532-4C0D-AF0D-121AD9EAE39E}"/>
    <cellStyle name="20% - Accent3 3 2 4 4" xfId="9991" xr:uid="{7CE75CB0-33D4-475A-9C00-71228F8F4BA1}"/>
    <cellStyle name="20% - Accent3 3 2 4 5" xfId="18436" xr:uid="{FC15182E-ED06-412C-847C-298F91D6C8AA}"/>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D738C524-610F-4B6F-9E6E-5416FF82F92B}"/>
    <cellStyle name="20% - Accent3 3 2 5 2 2 3" xfId="25213" xr:uid="{7770D95A-33B1-42F8-B6F7-A79585CA6FB5}"/>
    <cellStyle name="20% - Accent3 3 2 5 2 3" xfId="12549" xr:uid="{71F8FECB-85C0-4F7D-8EFB-1104A2BE4F4B}"/>
    <cellStyle name="20% - Accent3 3 2 5 2 4" xfId="20996" xr:uid="{BA64AB94-DEF1-490E-8A3C-898A0DC048BE}"/>
    <cellStyle name="20% - Accent3 3 2 5 3" xfId="6180" xr:uid="{00000000-0005-0000-0000-0000A3010000}"/>
    <cellStyle name="20% - Accent3 3 2 5 3 2" xfId="14622" xr:uid="{73BDE479-871C-431C-A6CF-5D7DE5BB3F0F}"/>
    <cellStyle name="20% - Accent3 3 2 5 3 3" xfId="23068" xr:uid="{139DE980-80EF-4BCC-A477-8ED89150F128}"/>
    <cellStyle name="20% - Accent3 3 2 5 4" xfId="10404" xr:uid="{6B087516-EE26-4C4C-B7F0-57F2992AADA4}"/>
    <cellStyle name="20% - Accent3 3 2 5 5" xfId="18849" xr:uid="{25251014-EC44-4A5D-BFF4-18CFA317449C}"/>
    <cellStyle name="20% - Accent3 3 2 6" xfId="2286" xr:uid="{00000000-0005-0000-0000-0000A4010000}"/>
    <cellStyle name="20% - Accent3 3 2 6 2" xfId="6593" xr:uid="{00000000-0005-0000-0000-0000A5010000}"/>
    <cellStyle name="20% - Accent3 3 2 6 2 2" xfId="15035" xr:uid="{A9C9A15F-11D8-4865-808C-7FAF0B3083CF}"/>
    <cellStyle name="20% - Accent3 3 2 6 2 3" xfId="23481" xr:uid="{536FAC3C-FF77-4C8A-99B0-B21BB9878F4C}"/>
    <cellStyle name="20% - Accent3 3 2 6 3" xfId="10817" xr:uid="{8E10E86C-911E-44D8-A06A-111FA835FEA1}"/>
    <cellStyle name="20% - Accent3 3 2 6 4" xfId="19262" xr:uid="{1A4896F1-289F-425C-A7E6-874941C62C4C}"/>
    <cellStyle name="20% - Accent3 3 2 7" xfId="4527" xr:uid="{00000000-0005-0000-0000-0000A6010000}"/>
    <cellStyle name="20% - Accent3 3 2 7 2" xfId="12969" xr:uid="{D38ABDE1-17CC-46E4-98C3-7A152DA50108}"/>
    <cellStyle name="20% - Accent3 3 2 7 3" xfId="21415" xr:uid="{A9421B8B-9751-43E7-8351-34C4AE44B031}"/>
    <cellStyle name="20% - Accent3 3 2 8" xfId="8751" xr:uid="{6FC0BA61-728F-4730-87EE-57BBEAF0DDAE}"/>
    <cellStyle name="20% - Accent3 3 2 9" xfId="17193" xr:uid="{6718AF67-E276-4401-9BB7-E4A9E0F64D2E}"/>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C2EC0542-C3E5-4DB1-B8F4-8BE4AFFE450A}"/>
    <cellStyle name="20% - Accent3 3 3 2 2 3" xfId="23973" xr:uid="{1C1E341F-61FC-4A00-A9C2-7B72BE7762AF}"/>
    <cellStyle name="20% - Accent3 3 3 2 3" xfId="11309" xr:uid="{5D2391CF-5843-4BBE-A7C4-4514159B9DD5}"/>
    <cellStyle name="20% - Accent3 3 3 2 4" xfId="19756" xr:uid="{6E0EF6BD-AE7B-46D1-AECD-B5D168AA1ED7}"/>
    <cellStyle name="20% - Accent3 3 3 3" xfId="4940" xr:uid="{00000000-0005-0000-0000-0000AA010000}"/>
    <cellStyle name="20% - Accent3 3 3 3 2" xfId="13382" xr:uid="{8DF5E8C4-8C7B-48D0-9A27-F18485DEB3FB}"/>
    <cellStyle name="20% - Accent3 3 3 3 3" xfId="21828" xr:uid="{DF65647F-08D9-4789-8FBB-586E8F466AE2}"/>
    <cellStyle name="20% - Accent3 3 3 4" xfId="9164" xr:uid="{D930C8B1-ADD2-41BB-AB9C-25C0CEB19E32}"/>
    <cellStyle name="20% - Accent3 3 3 5" xfId="17609" xr:uid="{1997D015-5DDB-4CD7-946B-1114518D74AE}"/>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1372AF98-868C-4584-8048-E5DCF886DF72}"/>
    <cellStyle name="20% - Accent3 3 4 2 2 3" xfId="24386" xr:uid="{DE1653C1-FC4A-4B1A-B9EC-9DDBF142312A}"/>
    <cellStyle name="20% - Accent3 3 4 2 3" xfId="11722" xr:uid="{BB5E2FE4-33FD-4143-9964-67E5A49FB195}"/>
    <cellStyle name="20% - Accent3 3 4 2 4" xfId="20169" xr:uid="{953BB5F2-678B-4192-A20E-8E5D0ADE6922}"/>
    <cellStyle name="20% - Accent3 3 4 3" xfId="5353" xr:uid="{00000000-0005-0000-0000-0000AE010000}"/>
    <cellStyle name="20% - Accent3 3 4 3 2" xfId="13795" xr:uid="{DBEF1835-D275-408A-B4E3-3C580BC36C46}"/>
    <cellStyle name="20% - Accent3 3 4 3 3" xfId="22241" xr:uid="{0E7EF67E-90F5-4455-A51C-35D43814DED0}"/>
    <cellStyle name="20% - Accent3 3 4 4" xfId="9577" xr:uid="{DAD6F258-1F14-4ABB-9B35-5893A874232B}"/>
    <cellStyle name="20% - Accent3 3 4 5" xfId="18022" xr:uid="{8871DD8B-FC2E-4C7D-8511-2157E9C21C34}"/>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F47BC3C8-3334-4630-9D0E-AEEBE2C4596A}"/>
    <cellStyle name="20% - Accent3 3 5 2 2 3" xfId="24799" xr:uid="{52FEB2FF-7549-4F18-9E39-F77A12A5D325}"/>
    <cellStyle name="20% - Accent3 3 5 2 3" xfId="12135" xr:uid="{F6A83DE4-1FF8-4C40-96EB-246749C2128E}"/>
    <cellStyle name="20% - Accent3 3 5 2 4" xfId="20582" xr:uid="{DB06A64B-63C6-4854-93AD-5A109E3E5C44}"/>
    <cellStyle name="20% - Accent3 3 5 3" xfId="5766" xr:uid="{00000000-0005-0000-0000-0000B2010000}"/>
    <cellStyle name="20% - Accent3 3 5 3 2" xfId="14208" xr:uid="{E1788082-6679-4B77-80CE-9C888D1DCA5B}"/>
    <cellStyle name="20% - Accent3 3 5 3 3" xfId="22654" xr:uid="{0E8D07B7-C075-4FD0-9D8B-5FB122D18A6D}"/>
    <cellStyle name="20% - Accent3 3 5 4" xfId="9990" xr:uid="{8B82A980-B8BA-4CB2-9A7B-880D28C0E381}"/>
    <cellStyle name="20% - Accent3 3 5 5" xfId="18435" xr:uid="{A9873987-5F9C-490D-8A04-A97A25A29818}"/>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104E34EC-EF24-4FFD-B416-1166B4AFABE9}"/>
    <cellStyle name="20% - Accent3 3 6 2 2 3" xfId="25212" xr:uid="{A6635E48-F8DD-4F5E-9D52-DFA60BB28387}"/>
    <cellStyle name="20% - Accent3 3 6 2 3" xfId="12548" xr:uid="{90302C13-B49D-4A49-91B2-7A05D3C4F3D8}"/>
    <cellStyle name="20% - Accent3 3 6 2 4" xfId="20995" xr:uid="{FA2B79F4-F7D4-4367-9BB8-7BEB534DA47C}"/>
    <cellStyle name="20% - Accent3 3 6 3" xfId="6179" xr:uid="{00000000-0005-0000-0000-0000B6010000}"/>
    <cellStyle name="20% - Accent3 3 6 3 2" xfId="14621" xr:uid="{EDC6AD03-9C72-409E-8B77-3108C0A5DB1D}"/>
    <cellStyle name="20% - Accent3 3 6 3 3" xfId="23067" xr:uid="{D6443FBC-1436-4F58-9E65-1C66F384FBFF}"/>
    <cellStyle name="20% - Accent3 3 6 4" xfId="10403" xr:uid="{A28E6580-9E15-4321-BBE5-BEE1260A82A0}"/>
    <cellStyle name="20% - Accent3 3 6 5" xfId="18848" xr:uid="{3A83DC19-550A-4FA8-988B-97AD43023089}"/>
    <cellStyle name="20% - Accent3 3 7" xfId="2285" xr:uid="{00000000-0005-0000-0000-0000B7010000}"/>
    <cellStyle name="20% - Accent3 3 7 2" xfId="6592" xr:uid="{00000000-0005-0000-0000-0000B8010000}"/>
    <cellStyle name="20% - Accent3 3 7 2 2" xfId="15034" xr:uid="{10D4C652-47FD-4DC7-967A-EFD1EA42E132}"/>
    <cellStyle name="20% - Accent3 3 7 2 3" xfId="23480" xr:uid="{F7B30309-8482-4412-B9D0-038BB4DEF43E}"/>
    <cellStyle name="20% - Accent3 3 7 3" xfId="10816" xr:uid="{61197707-5843-45A1-8E6A-A64E42F4E560}"/>
    <cellStyle name="20% - Accent3 3 7 4" xfId="19261" xr:uid="{E83046BA-7F8E-40C1-BE32-9525408B3631}"/>
    <cellStyle name="20% - Accent3 3 8" xfId="4526" xr:uid="{00000000-0005-0000-0000-0000B9010000}"/>
    <cellStyle name="20% - Accent3 3 8 2" xfId="12968" xr:uid="{9AA8032F-4609-4CEC-B621-F5DB2304CA51}"/>
    <cellStyle name="20% - Accent3 3 8 3" xfId="21414" xr:uid="{B964DC64-7C36-4978-B8FC-CFC8F7A2BF0D}"/>
    <cellStyle name="20% - Accent3 3 9" xfId="8750" xr:uid="{908D1705-CB65-4355-864F-765EBA57DC01}"/>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229FD6B1-0A97-4987-A08F-06811FAC30C8}"/>
    <cellStyle name="20% - Accent3 4 2 2 2 3" xfId="23975" xr:uid="{C0F65E5F-8342-4D40-AB62-85574FB1684F}"/>
    <cellStyle name="20% - Accent3 4 2 2 3" xfId="11311" xr:uid="{28143567-F847-485C-A4FB-68D8816CB031}"/>
    <cellStyle name="20% - Accent3 4 2 2 4" xfId="19758" xr:uid="{9C715B08-6BF5-4B21-AB5C-EDCBBA07D708}"/>
    <cellStyle name="20% - Accent3 4 2 3" xfId="4942" xr:uid="{00000000-0005-0000-0000-0000BE010000}"/>
    <cellStyle name="20% - Accent3 4 2 3 2" xfId="13384" xr:uid="{691E4378-0464-44E3-A44F-58BE6AB3D60E}"/>
    <cellStyle name="20% - Accent3 4 2 3 3" xfId="21830" xr:uid="{8A17CE1F-2ECC-4078-B341-48E2C5277A1B}"/>
    <cellStyle name="20% - Accent3 4 2 4" xfId="9166" xr:uid="{56E445B1-FDC7-4DDA-8BBF-1315A9D038D3}"/>
    <cellStyle name="20% - Accent3 4 2 5" xfId="17611" xr:uid="{741A5EEF-2EFF-4879-9D91-386288D6CC43}"/>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A7A5F450-7152-435D-8B11-BDE5AC489053}"/>
    <cellStyle name="20% - Accent3 4 3 2 2 3" xfId="24388" xr:uid="{D05D0E35-298B-40BC-9061-1E42FE56A3FD}"/>
    <cellStyle name="20% - Accent3 4 3 2 3" xfId="11724" xr:uid="{A112DC67-3DD7-430B-8809-8F03D2C2A048}"/>
    <cellStyle name="20% - Accent3 4 3 2 4" xfId="20171" xr:uid="{11455A36-7BF8-402A-9F10-1EEE641D256A}"/>
    <cellStyle name="20% - Accent3 4 3 3" xfId="5355" xr:uid="{00000000-0005-0000-0000-0000C2010000}"/>
    <cellStyle name="20% - Accent3 4 3 3 2" xfId="13797" xr:uid="{371EBDD4-CA66-4198-AB58-4E6E1468675D}"/>
    <cellStyle name="20% - Accent3 4 3 3 3" xfId="22243" xr:uid="{91F7EB55-D510-4383-A9F9-0D0024377EBD}"/>
    <cellStyle name="20% - Accent3 4 3 4" xfId="9579" xr:uid="{2E382D6B-6CBF-46E3-92A8-D6D0510D6EE6}"/>
    <cellStyle name="20% - Accent3 4 3 5" xfId="18024" xr:uid="{E1BFEBF9-6F5F-4FC2-9161-04FFCB26E579}"/>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DBB334DC-7040-4414-9157-B5174B83851F}"/>
    <cellStyle name="20% - Accent3 4 4 2 2 3" xfId="24801" xr:uid="{DCC43D33-667B-4CAB-8969-74F3AB82AA21}"/>
    <cellStyle name="20% - Accent3 4 4 2 3" xfId="12137" xr:uid="{FCA9D9C5-AD52-4B7A-816E-5D71B24325FE}"/>
    <cellStyle name="20% - Accent3 4 4 2 4" xfId="20584" xr:uid="{0450B66E-169B-4E14-AE1F-B63D101714C4}"/>
    <cellStyle name="20% - Accent3 4 4 3" xfId="5768" xr:uid="{00000000-0005-0000-0000-0000C6010000}"/>
    <cellStyle name="20% - Accent3 4 4 3 2" xfId="14210" xr:uid="{BBBABEEA-ABEA-42D8-AC19-21A3BD867B5E}"/>
    <cellStyle name="20% - Accent3 4 4 3 3" xfId="22656" xr:uid="{30C10DAE-6774-456D-852C-67B7283348A0}"/>
    <cellStyle name="20% - Accent3 4 4 4" xfId="9992" xr:uid="{21946154-6BF7-479A-9B0E-8B78C15A54B7}"/>
    <cellStyle name="20% - Accent3 4 4 5" xfId="18437" xr:uid="{00138B68-9172-4C98-A288-C82362D7844D}"/>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6F638794-6AE7-4138-95FB-9F4449ADFB00}"/>
    <cellStyle name="20% - Accent3 4 5 2 2 3" xfId="25214" xr:uid="{61BBA863-061C-4AAB-BB2A-4EB45982398E}"/>
    <cellStyle name="20% - Accent3 4 5 2 3" xfId="12550" xr:uid="{440A0449-BBB5-4B62-A58D-741C64B064CD}"/>
    <cellStyle name="20% - Accent3 4 5 2 4" xfId="20997" xr:uid="{132A9DB2-CA53-4204-8CE9-C29F64D45B39}"/>
    <cellStyle name="20% - Accent3 4 5 3" xfId="6181" xr:uid="{00000000-0005-0000-0000-0000CA010000}"/>
    <cellStyle name="20% - Accent3 4 5 3 2" xfId="14623" xr:uid="{A0305447-6EA3-42D3-89CB-AFB718053A0A}"/>
    <cellStyle name="20% - Accent3 4 5 3 3" xfId="23069" xr:uid="{6990D224-C37C-4D55-936A-D83D0C42B83F}"/>
    <cellStyle name="20% - Accent3 4 5 4" xfId="10405" xr:uid="{28A855DA-839F-4E4E-88A8-4B0852A7A67A}"/>
    <cellStyle name="20% - Accent3 4 5 5" xfId="18850" xr:uid="{D5D09B06-9869-4A8D-AA90-6A3DCDEC7861}"/>
    <cellStyle name="20% - Accent3 4 6" xfId="2287" xr:uid="{00000000-0005-0000-0000-0000CB010000}"/>
    <cellStyle name="20% - Accent3 4 6 2" xfId="6594" xr:uid="{00000000-0005-0000-0000-0000CC010000}"/>
    <cellStyle name="20% - Accent3 4 6 2 2" xfId="15036" xr:uid="{92356233-50D6-461A-92B0-C0D9C6D6BAD5}"/>
    <cellStyle name="20% - Accent3 4 6 2 3" xfId="23482" xr:uid="{42213598-E6C4-42C6-AFC0-D8BBB2743F79}"/>
    <cellStyle name="20% - Accent3 4 6 3" xfId="10818" xr:uid="{34409007-F1B6-4ABA-9B3A-2351EA2D2B04}"/>
    <cellStyle name="20% - Accent3 4 6 4" xfId="19263" xr:uid="{B53DF667-07EE-43D7-88A7-78930EC2C32B}"/>
    <cellStyle name="20% - Accent3 4 7" xfId="4528" xr:uid="{00000000-0005-0000-0000-0000CD010000}"/>
    <cellStyle name="20% - Accent3 4 7 2" xfId="12970" xr:uid="{9EF47274-35AE-4A17-B310-B469F70896BB}"/>
    <cellStyle name="20% - Accent3 4 7 3" xfId="21416" xr:uid="{A2B99960-BB22-46FC-A741-020A9E7CC583}"/>
    <cellStyle name="20% - Accent3 4 8" xfId="8752" xr:uid="{D7F2F345-BF6B-4E37-B0CB-F0A7BF1A6CF9}"/>
    <cellStyle name="20% - Accent3 4 9" xfId="17194" xr:uid="{64C700A1-DEB5-4688-82B9-3D2C8FB1307E}"/>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3BC8D851-EEEB-47D4-B3CC-F4649F558DFB}"/>
    <cellStyle name="20% - Accent3 5 2 2 3" xfId="23968" xr:uid="{5F366B2C-59AB-4F35-AAFC-F75A4598D7CD}"/>
    <cellStyle name="20% - Accent3 5 2 3" xfId="11304" xr:uid="{783BD617-3995-4466-92FB-91865675964B}"/>
    <cellStyle name="20% - Accent3 5 2 4" xfId="19751" xr:uid="{3CD8DF98-1F95-4808-BDFD-4B7CD66D798C}"/>
    <cellStyle name="20% - Accent3 5 3" xfId="4935" xr:uid="{00000000-0005-0000-0000-0000D1010000}"/>
    <cellStyle name="20% - Accent3 5 3 2" xfId="13377" xr:uid="{AAE8D317-4E01-4A91-AED5-B300A8CCFEA7}"/>
    <cellStyle name="20% - Accent3 5 3 3" xfId="21823" xr:uid="{F3D2449C-F932-4025-B11E-20E16BAEA9F4}"/>
    <cellStyle name="20% - Accent3 5 4" xfId="9159" xr:uid="{28CD66AE-41C7-40D6-8164-2B3A1F735217}"/>
    <cellStyle name="20% - Accent3 5 5" xfId="17604" xr:uid="{BEDDE2FA-72DA-42C9-BECB-0AB91CDDB50D}"/>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28A2483A-8FE7-47A1-BF52-AA41E177906B}"/>
    <cellStyle name="20% - Accent3 6 2 2 3" xfId="24381" xr:uid="{409476B5-8091-4988-B700-5F33835B8F9F}"/>
    <cellStyle name="20% - Accent3 6 2 3" xfId="11717" xr:uid="{121AB623-541B-4EE1-A07C-5DAEF0BE5C11}"/>
    <cellStyle name="20% - Accent3 6 2 4" xfId="20164" xr:uid="{98E0E035-33C6-4DBB-A8BB-856335E5F8AE}"/>
    <cellStyle name="20% - Accent3 6 3" xfId="5348" xr:uid="{00000000-0005-0000-0000-0000D5010000}"/>
    <cellStyle name="20% - Accent3 6 3 2" xfId="13790" xr:uid="{C56B5B44-73E5-436C-A413-C343AD2B3530}"/>
    <cellStyle name="20% - Accent3 6 3 3" xfId="22236" xr:uid="{6530FDEF-345E-4EB8-B4C6-64E88872B290}"/>
    <cellStyle name="20% - Accent3 6 4" xfId="9572" xr:uid="{6C552D2B-8E78-481E-BE37-B55A66B78AFC}"/>
    <cellStyle name="20% - Accent3 6 5" xfId="18017" xr:uid="{0C735A1E-A251-4418-BEC5-F218CD550DCA}"/>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08C7E3E5-966B-4A5A-9577-7C73BF8FEF9E}"/>
    <cellStyle name="20% - Accent3 7 2 2 3" xfId="24794" xr:uid="{684230DE-C0AB-4A8B-981F-015527371CB7}"/>
    <cellStyle name="20% - Accent3 7 2 3" xfId="12130" xr:uid="{C4D34CFD-D838-45CB-8EB7-6EA8719D3CF4}"/>
    <cellStyle name="20% - Accent3 7 2 4" xfId="20577" xr:uid="{D3806BF4-3262-4648-8AAC-F75E694E5AE0}"/>
    <cellStyle name="20% - Accent3 7 3" xfId="5761" xr:uid="{00000000-0005-0000-0000-0000D9010000}"/>
    <cellStyle name="20% - Accent3 7 3 2" xfId="14203" xr:uid="{3F5812BC-C7BC-42EC-ACD1-EBBA2651CD52}"/>
    <cellStyle name="20% - Accent3 7 3 3" xfId="22649" xr:uid="{4E899D72-7FA2-4000-9751-D1C59CC34997}"/>
    <cellStyle name="20% - Accent3 7 4" xfId="9985" xr:uid="{436C2E83-C959-49E7-BC2E-2ECF60684437}"/>
    <cellStyle name="20% - Accent3 7 5" xfId="18430" xr:uid="{E32FEEE5-FE5B-459A-B814-DE265C3C2E46}"/>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A5540744-629F-4F25-8CFA-D1EA7FF36F2B}"/>
    <cellStyle name="20% - Accent3 8 2 2 3" xfId="25207" xr:uid="{CAD194FB-0F9F-4E15-A89B-6FF380F19650}"/>
    <cellStyle name="20% - Accent3 8 2 3" xfId="12543" xr:uid="{0C858C06-8DEF-44F2-AB10-E59072A27746}"/>
    <cellStyle name="20% - Accent3 8 2 4" xfId="20990" xr:uid="{B7D4F6A8-006D-4D0C-BA6A-3E4B4590459F}"/>
    <cellStyle name="20% - Accent3 8 3" xfId="6174" xr:uid="{00000000-0005-0000-0000-0000DD010000}"/>
    <cellStyle name="20% - Accent3 8 3 2" xfId="14616" xr:uid="{B79CA2B3-215E-4EAA-B0FD-A2CF9E04B965}"/>
    <cellStyle name="20% - Accent3 8 3 3" xfId="23062" xr:uid="{23658423-38E7-4546-BC08-F8BE1D9411ED}"/>
    <cellStyle name="20% - Accent3 8 4" xfId="10398" xr:uid="{40DD0F8F-7B27-49E7-9143-D7A641673E95}"/>
    <cellStyle name="20% - Accent3 8 5" xfId="18843" xr:uid="{50D6579A-DBD1-45F9-A340-06853B68A9A5}"/>
    <cellStyle name="20% - Accent3 9" xfId="2280" xr:uid="{00000000-0005-0000-0000-0000DE010000}"/>
    <cellStyle name="20% - Accent3 9 2" xfId="6587" xr:uid="{00000000-0005-0000-0000-0000DF010000}"/>
    <cellStyle name="20% - Accent3 9 2 2" xfId="15029" xr:uid="{11FAFE1E-9495-41AE-AC2C-C2D1AE4B2B75}"/>
    <cellStyle name="20% - Accent3 9 2 3" xfId="23475" xr:uid="{E0A3F8A8-A1D5-4078-BF87-DA1189440F4E}"/>
    <cellStyle name="20% - Accent3 9 3" xfId="10811" xr:uid="{4053DF64-7875-45FB-B0FB-3B78CFB04CFA}"/>
    <cellStyle name="20% - Accent3 9 4" xfId="19256" xr:uid="{D7DA7190-1C5C-4806-8F4C-0153E0E57453}"/>
    <cellStyle name="20% - Accent4" xfId="25" builtinId="42" customBuiltin="1"/>
    <cellStyle name="20% - Accent4 10" xfId="4529" xr:uid="{00000000-0005-0000-0000-0000E1010000}"/>
    <cellStyle name="20% - Accent4 10 2" xfId="12971" xr:uid="{6DD7CF08-8898-42B1-A640-B7BDC740F5FA}"/>
    <cellStyle name="20% - Accent4 10 3" xfId="21417" xr:uid="{490C4ED1-A11F-49F3-A9FC-854930C62DAD}"/>
    <cellStyle name="20% - Accent4 11" xfId="8753" xr:uid="{EBB9B1E4-1182-416D-85FF-1FF3BF9B1AD5}"/>
    <cellStyle name="20% - Accent4 12" xfId="17195" xr:uid="{18FE7807-774A-4E66-B750-A8506D38DF05}"/>
    <cellStyle name="20% - Accent4 2" xfId="26" xr:uid="{00000000-0005-0000-0000-0000E2010000}"/>
    <cellStyle name="20% - Accent4 2 10" xfId="8754" xr:uid="{F35621B6-3466-4604-A9B4-593C4E8B1811}"/>
    <cellStyle name="20% - Accent4 2 11" xfId="17196" xr:uid="{2C3905BB-A34F-4BB5-B309-D69B94D8B0A4}"/>
    <cellStyle name="20% - Accent4 2 2" xfId="27" xr:uid="{00000000-0005-0000-0000-0000E3010000}"/>
    <cellStyle name="20% - Accent4 2 2 10" xfId="17197" xr:uid="{688AED9D-E7D2-454E-A1FD-375448C0ABC2}"/>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0900F75A-C8FD-45BC-993C-39D4B82D21D4}"/>
    <cellStyle name="20% - Accent4 2 2 2 2 2 2 3" xfId="23979" xr:uid="{EFA6478E-948D-465E-979D-BE6F9A5D77F5}"/>
    <cellStyle name="20% - Accent4 2 2 2 2 2 3" xfId="11315" xr:uid="{ABC8DB42-C2A1-4619-8C3C-C44E63F65B3E}"/>
    <cellStyle name="20% - Accent4 2 2 2 2 2 4" xfId="19762" xr:uid="{874266A6-B73F-4F6C-96F0-64B24542433A}"/>
    <cellStyle name="20% - Accent4 2 2 2 2 3" xfId="4946" xr:uid="{00000000-0005-0000-0000-0000E8010000}"/>
    <cellStyle name="20% - Accent4 2 2 2 2 3 2" xfId="13388" xr:uid="{29B63D40-0A98-49B8-9DB1-12097A68FB5B}"/>
    <cellStyle name="20% - Accent4 2 2 2 2 3 3" xfId="21834" xr:uid="{9E1C2D34-F9FC-41D4-98EE-65F2DA30A07E}"/>
    <cellStyle name="20% - Accent4 2 2 2 2 4" xfId="9170" xr:uid="{03F729D8-1BD7-4F5C-A8CC-9FA6E0CC9783}"/>
    <cellStyle name="20% - Accent4 2 2 2 2 5" xfId="17615" xr:uid="{F6E7BE9B-C6FB-4058-901A-3D1106AE09B5}"/>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A929B40E-D929-446A-B71B-DD535F7DE745}"/>
    <cellStyle name="20% - Accent4 2 2 2 3 2 2 3" xfId="24392" xr:uid="{34A7B0DB-5CFB-4DF9-96D9-43E88846DC2A}"/>
    <cellStyle name="20% - Accent4 2 2 2 3 2 3" xfId="11728" xr:uid="{12AF98AE-BE03-4F27-9BAA-4C35BDB13078}"/>
    <cellStyle name="20% - Accent4 2 2 2 3 2 4" xfId="20175" xr:uid="{36C7024E-CDF6-4F3E-B7D5-4A01D4E4671E}"/>
    <cellStyle name="20% - Accent4 2 2 2 3 3" xfId="5359" xr:uid="{00000000-0005-0000-0000-0000EC010000}"/>
    <cellStyle name="20% - Accent4 2 2 2 3 3 2" xfId="13801" xr:uid="{EAA71766-17A6-4762-B7AB-51E9AC07F882}"/>
    <cellStyle name="20% - Accent4 2 2 2 3 3 3" xfId="22247" xr:uid="{D8B2582A-2CF2-42E4-BF21-8E8C3A5262C3}"/>
    <cellStyle name="20% - Accent4 2 2 2 3 4" xfId="9583" xr:uid="{99515D09-9FB3-4470-B7E3-845E05CE5EE4}"/>
    <cellStyle name="20% - Accent4 2 2 2 3 5" xfId="18028" xr:uid="{0D0CE835-234F-4E2A-A606-E0A7D3A2372D}"/>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EE027CD9-3E7C-4363-8487-14A6E89F30CA}"/>
    <cellStyle name="20% - Accent4 2 2 2 4 2 2 3" xfId="24805" xr:uid="{0EC5E35E-3EC2-4B73-A9E5-5EEDE6E7D618}"/>
    <cellStyle name="20% - Accent4 2 2 2 4 2 3" xfId="12141" xr:uid="{AC22117B-C817-440E-A0D6-CA98D82AA083}"/>
    <cellStyle name="20% - Accent4 2 2 2 4 2 4" xfId="20588" xr:uid="{80EB87DD-8A5D-4753-A5E6-2869E44743F9}"/>
    <cellStyle name="20% - Accent4 2 2 2 4 3" xfId="5772" xr:uid="{00000000-0005-0000-0000-0000F0010000}"/>
    <cellStyle name="20% - Accent4 2 2 2 4 3 2" xfId="14214" xr:uid="{EEC4C03F-408B-4CCC-A449-D2ED0D37A1A1}"/>
    <cellStyle name="20% - Accent4 2 2 2 4 3 3" xfId="22660" xr:uid="{D5D4493B-3AF1-405D-857A-09D652A8953A}"/>
    <cellStyle name="20% - Accent4 2 2 2 4 4" xfId="9996" xr:uid="{67FEBDD7-804A-457D-AE86-F0C6171CEA10}"/>
    <cellStyle name="20% - Accent4 2 2 2 4 5" xfId="18441" xr:uid="{403CFAFA-4DB0-4398-8B60-F6868EDC654D}"/>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F8C64B26-1D03-4604-8136-70DC6B77D6A5}"/>
    <cellStyle name="20% - Accent4 2 2 2 5 2 2 3" xfId="25218" xr:uid="{6D6D157D-2D69-4B7A-A58B-551A3BAA3C88}"/>
    <cellStyle name="20% - Accent4 2 2 2 5 2 3" xfId="12554" xr:uid="{70C60824-5858-4FCC-9544-3A51C4ADD861}"/>
    <cellStyle name="20% - Accent4 2 2 2 5 2 4" xfId="21001" xr:uid="{3F028427-D844-431C-B3CD-3B0F2A24709E}"/>
    <cellStyle name="20% - Accent4 2 2 2 5 3" xfId="6185" xr:uid="{00000000-0005-0000-0000-0000F4010000}"/>
    <cellStyle name="20% - Accent4 2 2 2 5 3 2" xfId="14627" xr:uid="{2DE71D1E-1C9F-4A58-84AD-F3850ABF19C7}"/>
    <cellStyle name="20% - Accent4 2 2 2 5 3 3" xfId="23073" xr:uid="{A7D6393B-9361-4C52-985A-7922A5F8A711}"/>
    <cellStyle name="20% - Accent4 2 2 2 5 4" xfId="10409" xr:uid="{4798A020-5AB2-4045-AB26-A5758C9C310B}"/>
    <cellStyle name="20% - Accent4 2 2 2 5 5" xfId="18854" xr:uid="{562EA083-2AC4-43B8-AFC3-D42358CE9C95}"/>
    <cellStyle name="20% - Accent4 2 2 2 6" xfId="2291" xr:uid="{00000000-0005-0000-0000-0000F5010000}"/>
    <cellStyle name="20% - Accent4 2 2 2 6 2" xfId="6598" xr:uid="{00000000-0005-0000-0000-0000F6010000}"/>
    <cellStyle name="20% - Accent4 2 2 2 6 2 2" xfId="15040" xr:uid="{E24A91A9-E6FF-4C0E-8FF3-F4DC13A1CDEB}"/>
    <cellStyle name="20% - Accent4 2 2 2 6 2 3" xfId="23486" xr:uid="{A1E1D9BB-1F23-4166-8DB9-6182F6A1E851}"/>
    <cellStyle name="20% - Accent4 2 2 2 6 3" xfId="10822" xr:uid="{E5B59DB3-460E-4CF2-83CC-E143AC97E20A}"/>
    <cellStyle name="20% - Accent4 2 2 2 6 4" xfId="19267" xr:uid="{DA0DAC9F-F4EC-416C-BB9A-73EDADF041CB}"/>
    <cellStyle name="20% - Accent4 2 2 2 7" xfId="4532" xr:uid="{00000000-0005-0000-0000-0000F7010000}"/>
    <cellStyle name="20% - Accent4 2 2 2 7 2" xfId="12974" xr:uid="{B3362C70-E6B6-494C-92D5-DADF2C0C3414}"/>
    <cellStyle name="20% - Accent4 2 2 2 7 3" xfId="21420" xr:uid="{F425BAF7-F2FF-476E-A78F-F98E33D10258}"/>
    <cellStyle name="20% - Accent4 2 2 2 8" xfId="8756" xr:uid="{C505101B-FCAE-4675-AD7F-F00E973BE2D1}"/>
    <cellStyle name="20% - Accent4 2 2 2 9" xfId="17198" xr:uid="{A691B5FC-EE71-4638-9CDF-E8740A964338}"/>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49DB4CA9-F4A5-4B36-B901-A4CEBCEDC32D}"/>
    <cellStyle name="20% - Accent4 2 2 3 2 2 3" xfId="23978" xr:uid="{C2688FFD-3460-477B-8285-521F87F9FB8C}"/>
    <cellStyle name="20% - Accent4 2 2 3 2 3" xfId="11314" xr:uid="{5690FAA2-B4D4-47F5-8DBF-DB2B708ADDAD}"/>
    <cellStyle name="20% - Accent4 2 2 3 2 4" xfId="19761" xr:uid="{4924D0EE-621B-4931-A695-9850DFF351F2}"/>
    <cellStyle name="20% - Accent4 2 2 3 3" xfId="4945" xr:uid="{00000000-0005-0000-0000-0000FB010000}"/>
    <cellStyle name="20% - Accent4 2 2 3 3 2" xfId="13387" xr:uid="{3A3F89F6-3736-4B57-961D-E6603D465201}"/>
    <cellStyle name="20% - Accent4 2 2 3 3 3" xfId="21833" xr:uid="{53A0EA33-0616-4BDB-9E9F-D7F6BC582861}"/>
    <cellStyle name="20% - Accent4 2 2 3 4" xfId="9169" xr:uid="{69F24176-D089-4CB5-B168-11CE4FD6A9EA}"/>
    <cellStyle name="20% - Accent4 2 2 3 5" xfId="17614" xr:uid="{838FBB76-63E1-4E96-924E-7AB69D66A879}"/>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CF59F7F5-8D14-449D-A8F7-CB0F71E2D222}"/>
    <cellStyle name="20% - Accent4 2 2 4 2 2 3" xfId="24391" xr:uid="{524FA4AB-874A-4C81-B234-96DA2B4F16E3}"/>
    <cellStyle name="20% - Accent4 2 2 4 2 3" xfId="11727" xr:uid="{CC5E6F20-F7A6-4163-9D03-6B431BF78BA5}"/>
    <cellStyle name="20% - Accent4 2 2 4 2 4" xfId="20174" xr:uid="{B2DAD348-5634-4D6E-B7BE-838650596438}"/>
    <cellStyle name="20% - Accent4 2 2 4 3" xfId="5358" xr:uid="{00000000-0005-0000-0000-0000FF010000}"/>
    <cellStyle name="20% - Accent4 2 2 4 3 2" xfId="13800" xr:uid="{100F8362-6FB1-4CDA-ACF2-B1D85EFE8462}"/>
    <cellStyle name="20% - Accent4 2 2 4 3 3" xfId="22246" xr:uid="{F06AC36C-B897-470F-BF05-7BD8414BF43B}"/>
    <cellStyle name="20% - Accent4 2 2 4 4" xfId="9582" xr:uid="{F33EA474-081D-42CB-A1C8-05B2098413CE}"/>
    <cellStyle name="20% - Accent4 2 2 4 5" xfId="18027" xr:uid="{F853A83B-0DEF-49A4-9612-5DDC5B83D0AC}"/>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EFF7BEC2-18DB-4101-A7FA-FA9E07FCF810}"/>
    <cellStyle name="20% - Accent4 2 2 5 2 2 3" xfId="24804" xr:uid="{E605C86A-CAE1-4B1C-81BE-D62851A7E1C8}"/>
    <cellStyle name="20% - Accent4 2 2 5 2 3" xfId="12140" xr:uid="{D61796A7-7862-4028-96DB-10C9C4647D60}"/>
    <cellStyle name="20% - Accent4 2 2 5 2 4" xfId="20587" xr:uid="{CC545394-9844-4F98-9CA7-B7DF6FCB2414}"/>
    <cellStyle name="20% - Accent4 2 2 5 3" xfId="5771" xr:uid="{00000000-0005-0000-0000-000003020000}"/>
    <cellStyle name="20% - Accent4 2 2 5 3 2" xfId="14213" xr:uid="{1617FCD7-97F5-4BF4-ABD9-975D622EAC42}"/>
    <cellStyle name="20% - Accent4 2 2 5 3 3" xfId="22659" xr:uid="{11819DBD-DBD4-4809-BFFF-4714F02784A6}"/>
    <cellStyle name="20% - Accent4 2 2 5 4" xfId="9995" xr:uid="{A45AC50F-C571-4285-BEFE-34CA2DEEF0F9}"/>
    <cellStyle name="20% - Accent4 2 2 5 5" xfId="18440" xr:uid="{CDD54B09-BC16-432C-A3E3-EE2FFE0684EF}"/>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EE23EE83-F0F5-49B0-A4C7-9083206ED229}"/>
    <cellStyle name="20% - Accent4 2 2 6 2 2 3" xfId="25217" xr:uid="{18DAE3FB-3231-405B-A557-11FD1838BE61}"/>
    <cellStyle name="20% - Accent4 2 2 6 2 3" xfId="12553" xr:uid="{85D33B1B-0901-4040-A8CD-74B6537F443A}"/>
    <cellStyle name="20% - Accent4 2 2 6 2 4" xfId="21000" xr:uid="{82D41255-6EFD-4739-AE6A-98A20F86B4DF}"/>
    <cellStyle name="20% - Accent4 2 2 6 3" xfId="6184" xr:uid="{00000000-0005-0000-0000-000007020000}"/>
    <cellStyle name="20% - Accent4 2 2 6 3 2" xfId="14626" xr:uid="{AFA03CAF-21B7-439E-BED8-0B3EB28A72C8}"/>
    <cellStyle name="20% - Accent4 2 2 6 3 3" xfId="23072" xr:uid="{5B3515FC-31F0-426F-B14E-5BEFEB78305F}"/>
    <cellStyle name="20% - Accent4 2 2 6 4" xfId="10408" xr:uid="{19742A45-B8BA-4C02-833B-F052EE2681F9}"/>
    <cellStyle name="20% - Accent4 2 2 6 5" xfId="18853" xr:uid="{E9CE243A-FCA7-4E4A-98DE-543AFEA5F8EE}"/>
    <cellStyle name="20% - Accent4 2 2 7" xfId="2290" xr:uid="{00000000-0005-0000-0000-000008020000}"/>
    <cellStyle name="20% - Accent4 2 2 7 2" xfId="6597" xr:uid="{00000000-0005-0000-0000-000009020000}"/>
    <cellStyle name="20% - Accent4 2 2 7 2 2" xfId="15039" xr:uid="{7B322D5E-38F3-4D84-9F4B-EC519FBE8BF7}"/>
    <cellStyle name="20% - Accent4 2 2 7 2 3" xfId="23485" xr:uid="{F5A4C35C-E568-485D-8BEC-3C797212D4C8}"/>
    <cellStyle name="20% - Accent4 2 2 7 3" xfId="10821" xr:uid="{E0A64E9D-9A7E-4C42-BA21-C497B2C94F0E}"/>
    <cellStyle name="20% - Accent4 2 2 7 4" xfId="19266" xr:uid="{62A28C78-40B4-4165-89E3-0F18F421C6C6}"/>
    <cellStyle name="20% - Accent4 2 2 8" xfId="4531" xr:uid="{00000000-0005-0000-0000-00000A020000}"/>
    <cellStyle name="20% - Accent4 2 2 8 2" xfId="12973" xr:uid="{BFD9AE68-E812-41FC-A2CA-32D30675EAAE}"/>
    <cellStyle name="20% - Accent4 2 2 8 3" xfId="21419" xr:uid="{3642213E-F031-42E5-81C4-D82605500305}"/>
    <cellStyle name="20% - Accent4 2 2 9" xfId="8755" xr:uid="{85CCFD16-CE29-4585-BEC4-47D63A70ED6D}"/>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256ED7E1-C974-42A0-AC2B-3D3854A3DD6C}"/>
    <cellStyle name="20% - Accent4 2 3 2 2 2 3" xfId="23980" xr:uid="{33985F2B-DAB1-46F5-A485-4B1965296FFF}"/>
    <cellStyle name="20% - Accent4 2 3 2 2 3" xfId="11316" xr:uid="{435AB36C-094A-4CBF-96FA-23A314EEA5D4}"/>
    <cellStyle name="20% - Accent4 2 3 2 2 4" xfId="19763" xr:uid="{BB1BAB73-2E0D-48CA-95C6-5E2278AA2022}"/>
    <cellStyle name="20% - Accent4 2 3 2 3" xfId="4947" xr:uid="{00000000-0005-0000-0000-00000F020000}"/>
    <cellStyle name="20% - Accent4 2 3 2 3 2" xfId="13389" xr:uid="{10D06B7C-547C-4D4E-BF51-ECD495D46BE9}"/>
    <cellStyle name="20% - Accent4 2 3 2 3 3" xfId="21835" xr:uid="{4E881059-370C-49CE-BCD4-B92819117B2F}"/>
    <cellStyle name="20% - Accent4 2 3 2 4" xfId="9171" xr:uid="{EE8816A0-26BD-4044-8BBB-05D20FD78B3C}"/>
    <cellStyle name="20% - Accent4 2 3 2 5" xfId="17616" xr:uid="{D14ACBDA-8631-4189-B473-9507CE5ECE56}"/>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8790A5AE-129D-47F0-A26B-3A570081250D}"/>
    <cellStyle name="20% - Accent4 2 3 3 2 2 3" xfId="24393" xr:uid="{6C08E5B4-5729-4AD1-8354-8DD22C2B65DA}"/>
    <cellStyle name="20% - Accent4 2 3 3 2 3" xfId="11729" xr:uid="{D89BE2AB-EB43-4891-8933-8D51C8724333}"/>
    <cellStyle name="20% - Accent4 2 3 3 2 4" xfId="20176" xr:uid="{4FC73AF3-F1BB-4EAC-8D82-A649C84DF945}"/>
    <cellStyle name="20% - Accent4 2 3 3 3" xfId="5360" xr:uid="{00000000-0005-0000-0000-000013020000}"/>
    <cellStyle name="20% - Accent4 2 3 3 3 2" xfId="13802" xr:uid="{B6375A2C-7DF2-418C-B202-F833D406D0E4}"/>
    <cellStyle name="20% - Accent4 2 3 3 3 3" xfId="22248" xr:uid="{2426D4A6-5EC8-48CA-929F-A6F2DFFC5852}"/>
    <cellStyle name="20% - Accent4 2 3 3 4" xfId="9584" xr:uid="{59C17343-4F4E-4485-BD98-BAE067F9FD3D}"/>
    <cellStyle name="20% - Accent4 2 3 3 5" xfId="18029" xr:uid="{F92C4966-CEC8-41C5-9A30-2188275834D6}"/>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2F169BDB-6A6D-4117-94D0-A4DBCEF78C12}"/>
    <cellStyle name="20% - Accent4 2 3 4 2 2 3" xfId="24806" xr:uid="{CE700291-1271-4CEE-906C-3B3E2B144DA9}"/>
    <cellStyle name="20% - Accent4 2 3 4 2 3" xfId="12142" xr:uid="{089CA868-ACEB-4B86-9D50-C1BED8BBD045}"/>
    <cellStyle name="20% - Accent4 2 3 4 2 4" xfId="20589" xr:uid="{42CDDE39-62B2-46FB-B9F5-CFE945A395AB}"/>
    <cellStyle name="20% - Accent4 2 3 4 3" xfId="5773" xr:uid="{00000000-0005-0000-0000-000017020000}"/>
    <cellStyle name="20% - Accent4 2 3 4 3 2" xfId="14215" xr:uid="{0ED2BB8D-28FB-4132-89CE-7D6EF6B99A44}"/>
    <cellStyle name="20% - Accent4 2 3 4 3 3" xfId="22661" xr:uid="{F503622C-0FF6-45BB-8AEA-49439EEDE318}"/>
    <cellStyle name="20% - Accent4 2 3 4 4" xfId="9997" xr:uid="{350B05F5-EEB5-4DF0-9622-993FAF319FC3}"/>
    <cellStyle name="20% - Accent4 2 3 4 5" xfId="18442" xr:uid="{D53A1F4C-5D03-412A-8019-9C12E318E0E2}"/>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1C5D4107-4DD1-4FE0-B90E-E279B2A08728}"/>
    <cellStyle name="20% - Accent4 2 3 5 2 2 3" xfId="25219" xr:uid="{6985B8B8-DC26-4177-A443-10B42B1E0E37}"/>
    <cellStyle name="20% - Accent4 2 3 5 2 3" xfId="12555" xr:uid="{70E8EE08-6B51-46D1-8CA6-1567965B5AE8}"/>
    <cellStyle name="20% - Accent4 2 3 5 2 4" xfId="21002" xr:uid="{AAB073CB-2C6C-4129-987C-08C79D97392A}"/>
    <cellStyle name="20% - Accent4 2 3 5 3" xfId="6186" xr:uid="{00000000-0005-0000-0000-00001B020000}"/>
    <cellStyle name="20% - Accent4 2 3 5 3 2" xfId="14628" xr:uid="{CF55166C-5578-4A15-948E-07FA130B6627}"/>
    <cellStyle name="20% - Accent4 2 3 5 3 3" xfId="23074" xr:uid="{A2B24099-D7F9-4FA1-A82F-2835CC521FC2}"/>
    <cellStyle name="20% - Accent4 2 3 5 4" xfId="10410" xr:uid="{35DBBAB8-EBE5-4214-9B9E-984C23E69555}"/>
    <cellStyle name="20% - Accent4 2 3 5 5" xfId="18855" xr:uid="{897CE743-C2C2-4844-8738-1A682162405D}"/>
    <cellStyle name="20% - Accent4 2 3 6" xfId="2292" xr:uid="{00000000-0005-0000-0000-00001C020000}"/>
    <cellStyle name="20% - Accent4 2 3 6 2" xfId="6599" xr:uid="{00000000-0005-0000-0000-00001D020000}"/>
    <cellStyle name="20% - Accent4 2 3 6 2 2" xfId="15041" xr:uid="{094820B5-20BE-493A-81A6-3A11D737CED6}"/>
    <cellStyle name="20% - Accent4 2 3 6 2 3" xfId="23487" xr:uid="{7264BAFE-6F80-41A8-8379-FAB9FB26168D}"/>
    <cellStyle name="20% - Accent4 2 3 6 3" xfId="10823" xr:uid="{235A7480-6300-4FAB-9106-AD96384B0FEA}"/>
    <cellStyle name="20% - Accent4 2 3 6 4" xfId="19268" xr:uid="{50A956DF-6DD2-42F3-938E-1482A613B329}"/>
    <cellStyle name="20% - Accent4 2 3 7" xfId="4533" xr:uid="{00000000-0005-0000-0000-00001E020000}"/>
    <cellStyle name="20% - Accent4 2 3 7 2" xfId="12975" xr:uid="{27E52045-3316-4C90-BEDB-7E06C18E799C}"/>
    <cellStyle name="20% - Accent4 2 3 7 3" xfId="21421" xr:uid="{8BC42EDD-9F26-4163-ABDC-FAAE555B136D}"/>
    <cellStyle name="20% - Accent4 2 3 8" xfId="8757" xr:uid="{8782DCF0-1C94-446E-9FCA-F11CDBF7FA97}"/>
    <cellStyle name="20% - Accent4 2 3 9" xfId="17199" xr:uid="{1C1C47EA-5332-43D0-82F4-30ADEF773E9C}"/>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B4590162-C1F1-4867-82FE-FF71B9C94AAE}"/>
    <cellStyle name="20% - Accent4 2 4 2 2 3" xfId="23977" xr:uid="{BFB7A687-5141-4871-8546-8AA9772811A4}"/>
    <cellStyle name="20% - Accent4 2 4 2 3" xfId="11313" xr:uid="{B7D0A8E8-3257-4062-AF40-B28A4F25AD1B}"/>
    <cellStyle name="20% - Accent4 2 4 2 4" xfId="19760" xr:uid="{C52A6E5E-7CDA-47DE-A4C5-D7ECE796DD85}"/>
    <cellStyle name="20% - Accent4 2 4 3" xfId="4944" xr:uid="{00000000-0005-0000-0000-000022020000}"/>
    <cellStyle name="20% - Accent4 2 4 3 2" xfId="13386" xr:uid="{EF9F07E3-6ACF-49F6-8AE6-38F53099CCC2}"/>
    <cellStyle name="20% - Accent4 2 4 3 3" xfId="21832" xr:uid="{BDAF417D-09D5-421D-AD48-4D9E822B5029}"/>
    <cellStyle name="20% - Accent4 2 4 4" xfId="9168" xr:uid="{885B5FA5-C873-4A6F-A5C5-D529A49A368A}"/>
    <cellStyle name="20% - Accent4 2 4 5" xfId="17613" xr:uid="{6DC9F299-1E0B-47C5-81C5-62E4A0FEB61B}"/>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B727446B-956D-44D0-9A7C-820089D59355}"/>
    <cellStyle name="20% - Accent4 2 5 2 2 3" xfId="24390" xr:uid="{911ABE95-2E64-496C-8B12-7D4B03F4496E}"/>
    <cellStyle name="20% - Accent4 2 5 2 3" xfId="11726" xr:uid="{E9B9BC86-4B8A-4058-B75B-9467AFBCFE1D}"/>
    <cellStyle name="20% - Accent4 2 5 2 4" xfId="20173" xr:uid="{19F2FFDB-767D-41B1-B028-74BEB891F638}"/>
    <cellStyle name="20% - Accent4 2 5 3" xfId="5357" xr:uid="{00000000-0005-0000-0000-000026020000}"/>
    <cellStyle name="20% - Accent4 2 5 3 2" xfId="13799" xr:uid="{A8845A7A-C412-44A6-B115-E3B8D35040D8}"/>
    <cellStyle name="20% - Accent4 2 5 3 3" xfId="22245" xr:uid="{401EC879-4C33-4075-B406-92140538D497}"/>
    <cellStyle name="20% - Accent4 2 5 4" xfId="9581" xr:uid="{A7B88950-44A0-4259-B8D4-2B0FC52988EB}"/>
    <cellStyle name="20% - Accent4 2 5 5" xfId="18026" xr:uid="{05B01E64-7546-48D9-914C-93557D0809AD}"/>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18891B7F-1D18-4162-9F8D-AD43D9781CC9}"/>
    <cellStyle name="20% - Accent4 2 6 2 2 3" xfId="24803" xr:uid="{65340243-B668-4055-8713-57CF853206A0}"/>
    <cellStyle name="20% - Accent4 2 6 2 3" xfId="12139" xr:uid="{AC5029F0-07C8-44DB-AB6F-1F95DE0DE41F}"/>
    <cellStyle name="20% - Accent4 2 6 2 4" xfId="20586" xr:uid="{55D54202-B708-4FC1-817B-71DB3C56AA54}"/>
    <cellStyle name="20% - Accent4 2 6 3" xfId="5770" xr:uid="{00000000-0005-0000-0000-00002A020000}"/>
    <cellStyle name="20% - Accent4 2 6 3 2" xfId="14212" xr:uid="{4CDE176D-8864-4B09-A750-AF38988B6C2E}"/>
    <cellStyle name="20% - Accent4 2 6 3 3" xfId="22658" xr:uid="{407E4340-9BF9-4998-A92C-141CD2504809}"/>
    <cellStyle name="20% - Accent4 2 6 4" xfId="9994" xr:uid="{B9F2DE97-B2C3-4E28-A5FA-A09173227911}"/>
    <cellStyle name="20% - Accent4 2 6 5" xfId="18439" xr:uid="{C87F7EA9-5033-44DB-B286-5A4186DE93D1}"/>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21F41F99-6BA6-435B-AFB2-219E385A8A24}"/>
    <cellStyle name="20% - Accent4 2 7 2 2 3" xfId="25216" xr:uid="{B4D59EC0-61B6-46D1-8B32-BEB26059B754}"/>
    <cellStyle name="20% - Accent4 2 7 2 3" xfId="12552" xr:uid="{85127D5D-CCE5-4608-8E1B-3DFEC9DC6300}"/>
    <cellStyle name="20% - Accent4 2 7 2 4" xfId="20999" xr:uid="{E11BC948-2F26-47A2-A4E7-A9D7CCDEE6D8}"/>
    <cellStyle name="20% - Accent4 2 7 3" xfId="6183" xr:uid="{00000000-0005-0000-0000-00002E020000}"/>
    <cellStyle name="20% - Accent4 2 7 3 2" xfId="14625" xr:uid="{7CE2A1F5-6981-4D66-812C-EA2BF6029134}"/>
    <cellStyle name="20% - Accent4 2 7 3 3" xfId="23071" xr:uid="{F7B6ACFF-01BD-43A8-A8D2-6927BA113634}"/>
    <cellStyle name="20% - Accent4 2 7 4" xfId="10407" xr:uid="{7EE9E0F3-6AC9-42CD-9DDC-91DC43395A7C}"/>
    <cellStyle name="20% - Accent4 2 7 5" xfId="18852" xr:uid="{1F690C3D-5D2B-46B3-BF39-89A5DCDFB572}"/>
    <cellStyle name="20% - Accent4 2 8" xfId="2289" xr:uid="{00000000-0005-0000-0000-00002F020000}"/>
    <cellStyle name="20% - Accent4 2 8 2" xfId="6596" xr:uid="{00000000-0005-0000-0000-000030020000}"/>
    <cellStyle name="20% - Accent4 2 8 2 2" xfId="15038" xr:uid="{2FB8D1DB-16B6-430C-89E4-55EEA211E3B2}"/>
    <cellStyle name="20% - Accent4 2 8 2 3" xfId="23484" xr:uid="{6A4475D2-A109-4904-9FD6-49123B79A0CB}"/>
    <cellStyle name="20% - Accent4 2 8 3" xfId="10820" xr:uid="{E2E11184-AA91-48A1-840E-14032F00B8F6}"/>
    <cellStyle name="20% - Accent4 2 8 4" xfId="19265" xr:uid="{E06CD223-22E8-4D8B-81A5-EA5EA321F982}"/>
    <cellStyle name="20% - Accent4 2 9" xfId="4530" xr:uid="{00000000-0005-0000-0000-000031020000}"/>
    <cellStyle name="20% - Accent4 2 9 2" xfId="12972" xr:uid="{08995EFF-AD16-4910-BF6B-3659FB83CCE2}"/>
    <cellStyle name="20% - Accent4 2 9 3" xfId="21418" xr:uid="{BAE7C806-7DD0-4685-BDD5-EF0FBF395E0D}"/>
    <cellStyle name="20% - Accent4 3" xfId="30" xr:uid="{00000000-0005-0000-0000-000032020000}"/>
    <cellStyle name="20% - Accent4 3 10" xfId="17200" xr:uid="{9582DDFE-72C8-4545-8DA3-CC95FCD79CFC}"/>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E26CFA69-1DF3-43F2-BE6E-29DA8B4ACF6B}"/>
    <cellStyle name="20% - Accent4 3 2 2 2 2 3" xfId="23982" xr:uid="{774FB807-35B8-447E-BDFE-D0CF76C239CF}"/>
    <cellStyle name="20% - Accent4 3 2 2 2 3" xfId="11318" xr:uid="{4B4514FA-7415-4C77-8075-FA71A212B7BD}"/>
    <cellStyle name="20% - Accent4 3 2 2 2 4" xfId="19765" xr:uid="{0FC0DD0B-0BFF-4766-8B0C-5FA455EAD32B}"/>
    <cellStyle name="20% - Accent4 3 2 2 3" xfId="4949" xr:uid="{00000000-0005-0000-0000-000037020000}"/>
    <cellStyle name="20% - Accent4 3 2 2 3 2" xfId="13391" xr:uid="{B267AC0C-2CFD-48C5-BCC5-41FE0166B3DC}"/>
    <cellStyle name="20% - Accent4 3 2 2 3 3" xfId="21837" xr:uid="{0012B78C-659E-4B8E-AD75-DE35C50D2B8F}"/>
    <cellStyle name="20% - Accent4 3 2 2 4" xfId="9173" xr:uid="{E4308CB8-8412-4743-A358-14C209549DFC}"/>
    <cellStyle name="20% - Accent4 3 2 2 5" xfId="17618" xr:uid="{FAC97903-67AF-4AF6-ADE5-FAB6F983B1D2}"/>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07EEB6BC-AF83-4CD5-BFF8-D446541C3384}"/>
    <cellStyle name="20% - Accent4 3 2 3 2 2 3" xfId="24395" xr:uid="{120BE0AA-1A9A-4200-8FAD-78368B74D996}"/>
    <cellStyle name="20% - Accent4 3 2 3 2 3" xfId="11731" xr:uid="{A8E39053-B312-4ABE-ACF5-5C27B09C306D}"/>
    <cellStyle name="20% - Accent4 3 2 3 2 4" xfId="20178" xr:uid="{8D9728D8-177D-4399-84B0-503A565CAA0C}"/>
    <cellStyle name="20% - Accent4 3 2 3 3" xfId="5362" xr:uid="{00000000-0005-0000-0000-00003B020000}"/>
    <cellStyle name="20% - Accent4 3 2 3 3 2" xfId="13804" xr:uid="{9C15A3BB-3750-4B5D-A3B9-D56540FEA93D}"/>
    <cellStyle name="20% - Accent4 3 2 3 3 3" xfId="22250" xr:uid="{E5C3274A-C691-4BAC-A588-5A91723C0F5C}"/>
    <cellStyle name="20% - Accent4 3 2 3 4" xfId="9586" xr:uid="{0FAC1F8E-3B4A-486F-BCDD-3EEFF86137DE}"/>
    <cellStyle name="20% - Accent4 3 2 3 5" xfId="18031" xr:uid="{52381DF9-6FA1-4E78-8F7F-13F3BC137FA6}"/>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CF46B4AE-39F2-42C8-97E6-F68348D6A26E}"/>
    <cellStyle name="20% - Accent4 3 2 4 2 2 3" xfId="24808" xr:uid="{7496D135-8D01-4118-A180-5384516BDA88}"/>
    <cellStyle name="20% - Accent4 3 2 4 2 3" xfId="12144" xr:uid="{D0FB7F65-5C35-4BBB-A870-8EEE91FA36BC}"/>
    <cellStyle name="20% - Accent4 3 2 4 2 4" xfId="20591" xr:uid="{78283B0D-6FBC-4F06-9000-CAD2F4FDCEF6}"/>
    <cellStyle name="20% - Accent4 3 2 4 3" xfId="5775" xr:uid="{00000000-0005-0000-0000-00003F020000}"/>
    <cellStyle name="20% - Accent4 3 2 4 3 2" xfId="14217" xr:uid="{F3E2062C-2559-4790-81CE-A2C9FF75915C}"/>
    <cellStyle name="20% - Accent4 3 2 4 3 3" xfId="22663" xr:uid="{2A5692E1-C543-427B-84B2-50ED6D27FDEB}"/>
    <cellStyle name="20% - Accent4 3 2 4 4" xfId="9999" xr:uid="{A6E06F21-2253-4A13-9553-EA1C830A726E}"/>
    <cellStyle name="20% - Accent4 3 2 4 5" xfId="18444" xr:uid="{1BB09197-C109-445B-B615-651C1D254657}"/>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612D14EF-1BCA-4442-8204-57ECCAB44050}"/>
    <cellStyle name="20% - Accent4 3 2 5 2 2 3" xfId="25221" xr:uid="{E153EBC3-718F-460A-AC15-A670EB095133}"/>
    <cellStyle name="20% - Accent4 3 2 5 2 3" xfId="12557" xr:uid="{E533995D-77C8-434B-A3E2-6589E13E2298}"/>
    <cellStyle name="20% - Accent4 3 2 5 2 4" xfId="21004" xr:uid="{70B7E7FA-6C5E-4F00-B489-7AFCA2BEE18B}"/>
    <cellStyle name="20% - Accent4 3 2 5 3" xfId="6188" xr:uid="{00000000-0005-0000-0000-000043020000}"/>
    <cellStyle name="20% - Accent4 3 2 5 3 2" xfId="14630" xr:uid="{9A2D64AC-9FA9-41EE-BD8D-53EDE5A242C9}"/>
    <cellStyle name="20% - Accent4 3 2 5 3 3" xfId="23076" xr:uid="{46829C58-B1B9-4FCB-970C-05E530376E1A}"/>
    <cellStyle name="20% - Accent4 3 2 5 4" xfId="10412" xr:uid="{CA2485B2-6F6E-41A4-A643-11D254BA238F}"/>
    <cellStyle name="20% - Accent4 3 2 5 5" xfId="18857" xr:uid="{0D66B7C6-988D-4D45-B4AF-EE415362AE59}"/>
    <cellStyle name="20% - Accent4 3 2 6" xfId="2294" xr:uid="{00000000-0005-0000-0000-000044020000}"/>
    <cellStyle name="20% - Accent4 3 2 6 2" xfId="6601" xr:uid="{00000000-0005-0000-0000-000045020000}"/>
    <cellStyle name="20% - Accent4 3 2 6 2 2" xfId="15043" xr:uid="{4FA6BFE7-D109-4589-B996-15EE84B71ACD}"/>
    <cellStyle name="20% - Accent4 3 2 6 2 3" xfId="23489" xr:uid="{A7A68383-9925-4AE7-86C4-458997234A98}"/>
    <cellStyle name="20% - Accent4 3 2 6 3" xfId="10825" xr:uid="{D6199470-950C-422E-962C-F0A85F9164E8}"/>
    <cellStyle name="20% - Accent4 3 2 6 4" xfId="19270" xr:uid="{F9C11141-DF8D-4652-8E0F-F280346AF59B}"/>
    <cellStyle name="20% - Accent4 3 2 7" xfId="4535" xr:uid="{00000000-0005-0000-0000-000046020000}"/>
    <cellStyle name="20% - Accent4 3 2 7 2" xfId="12977" xr:uid="{FC8351F3-2CAF-46D9-AEED-E0E9D856F85F}"/>
    <cellStyle name="20% - Accent4 3 2 7 3" xfId="21423" xr:uid="{53A716F2-DE72-43B2-989F-27D565E4B9DF}"/>
    <cellStyle name="20% - Accent4 3 2 8" xfId="8759" xr:uid="{3CF92123-CFC1-4F5F-9F71-2E5A32F57265}"/>
    <cellStyle name="20% - Accent4 3 2 9" xfId="17201" xr:uid="{203FE939-0140-49FC-89E8-CBA39CBC0FD8}"/>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AFEAB7DF-270A-48CE-9B43-570BB9A6DC36}"/>
    <cellStyle name="20% - Accent4 3 3 2 2 3" xfId="23981" xr:uid="{C1B6B177-34AD-4570-BC2A-66608226C920}"/>
    <cellStyle name="20% - Accent4 3 3 2 3" xfId="11317" xr:uid="{736F493D-7CF3-4877-BD93-AACF321BBE44}"/>
    <cellStyle name="20% - Accent4 3 3 2 4" xfId="19764" xr:uid="{DDAB6526-D92D-4DEC-BC9D-1122C0FE4D22}"/>
    <cellStyle name="20% - Accent4 3 3 3" xfId="4948" xr:uid="{00000000-0005-0000-0000-00004A020000}"/>
    <cellStyle name="20% - Accent4 3 3 3 2" xfId="13390" xr:uid="{C46E17DB-722F-42D7-95A2-16FA0B095663}"/>
    <cellStyle name="20% - Accent4 3 3 3 3" xfId="21836" xr:uid="{4CE21FF4-D2D1-400A-A78A-53C50DEF79AE}"/>
    <cellStyle name="20% - Accent4 3 3 4" xfId="9172" xr:uid="{25BD3DBF-0DD7-4250-AEC3-D3880CBB0A4A}"/>
    <cellStyle name="20% - Accent4 3 3 5" xfId="17617" xr:uid="{BDB1583C-ED8D-4C34-93B9-445673D9BC65}"/>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5FE9810A-444A-4665-ACE4-7ECD960F21C3}"/>
    <cellStyle name="20% - Accent4 3 4 2 2 3" xfId="24394" xr:uid="{9E90DB29-2D21-49C4-9C89-B923E7C0917A}"/>
    <cellStyle name="20% - Accent4 3 4 2 3" xfId="11730" xr:uid="{C89E05C0-9917-4A02-81C7-BADDC014E35E}"/>
    <cellStyle name="20% - Accent4 3 4 2 4" xfId="20177" xr:uid="{E9BC2F89-03A7-4576-A4D1-B3D73574E477}"/>
    <cellStyle name="20% - Accent4 3 4 3" xfId="5361" xr:uid="{00000000-0005-0000-0000-00004E020000}"/>
    <cellStyle name="20% - Accent4 3 4 3 2" xfId="13803" xr:uid="{89BEF8B9-2CA3-4494-9C80-502D6839A2A6}"/>
    <cellStyle name="20% - Accent4 3 4 3 3" xfId="22249" xr:uid="{22BA4D20-E5A9-476F-BAE7-EC0AD4E825D0}"/>
    <cellStyle name="20% - Accent4 3 4 4" xfId="9585" xr:uid="{B0CEE0B0-173E-4E71-8A43-D746AEC2868D}"/>
    <cellStyle name="20% - Accent4 3 4 5" xfId="18030" xr:uid="{898D70D6-F153-4891-9947-A75776AC0597}"/>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41611960-0428-4F47-9E7A-7FEBF55212F9}"/>
    <cellStyle name="20% - Accent4 3 5 2 2 3" xfId="24807" xr:uid="{25F601D5-C89A-409B-BF81-12F48D108167}"/>
    <cellStyle name="20% - Accent4 3 5 2 3" xfId="12143" xr:uid="{308E92DF-B431-40DA-A1CF-197D146ECFC4}"/>
    <cellStyle name="20% - Accent4 3 5 2 4" xfId="20590" xr:uid="{D3AC739F-01DA-4AC5-B649-D66249E4AD0D}"/>
    <cellStyle name="20% - Accent4 3 5 3" xfId="5774" xr:uid="{00000000-0005-0000-0000-000052020000}"/>
    <cellStyle name="20% - Accent4 3 5 3 2" xfId="14216" xr:uid="{35CFD434-5016-435F-88C7-85C79AD7EC50}"/>
    <cellStyle name="20% - Accent4 3 5 3 3" xfId="22662" xr:uid="{59241590-801C-431C-967D-565D9682374A}"/>
    <cellStyle name="20% - Accent4 3 5 4" xfId="9998" xr:uid="{4B348F83-8BE2-4482-8A7B-3A7A460BCB59}"/>
    <cellStyle name="20% - Accent4 3 5 5" xfId="18443" xr:uid="{6AF762B5-C56D-4D1B-B937-C4B47A1D29E9}"/>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DCE8435A-3753-4C6E-8220-816336732526}"/>
    <cellStyle name="20% - Accent4 3 6 2 2 3" xfId="25220" xr:uid="{061EA3A4-C041-40DC-94D9-0DF84EC7FFC0}"/>
    <cellStyle name="20% - Accent4 3 6 2 3" xfId="12556" xr:uid="{3DE0738B-6694-4223-8A27-C5E8AB25BAA2}"/>
    <cellStyle name="20% - Accent4 3 6 2 4" xfId="21003" xr:uid="{C87806FC-1941-444E-8963-7EAE8495258B}"/>
    <cellStyle name="20% - Accent4 3 6 3" xfId="6187" xr:uid="{00000000-0005-0000-0000-000056020000}"/>
    <cellStyle name="20% - Accent4 3 6 3 2" xfId="14629" xr:uid="{57E2DCAE-5BDF-49C3-A28A-481CCDD5D404}"/>
    <cellStyle name="20% - Accent4 3 6 3 3" xfId="23075" xr:uid="{45DF6F75-8892-4ED8-96FF-CADB960072E7}"/>
    <cellStyle name="20% - Accent4 3 6 4" xfId="10411" xr:uid="{A38B7CF7-038A-49C5-B1C3-C70D97A36A9C}"/>
    <cellStyle name="20% - Accent4 3 6 5" xfId="18856" xr:uid="{79735E66-D0F6-4180-BB88-FC0981E4D3AF}"/>
    <cellStyle name="20% - Accent4 3 7" xfId="2293" xr:uid="{00000000-0005-0000-0000-000057020000}"/>
    <cellStyle name="20% - Accent4 3 7 2" xfId="6600" xr:uid="{00000000-0005-0000-0000-000058020000}"/>
    <cellStyle name="20% - Accent4 3 7 2 2" xfId="15042" xr:uid="{1C800138-12B6-4FD0-9678-C3F3AF2C0B02}"/>
    <cellStyle name="20% - Accent4 3 7 2 3" xfId="23488" xr:uid="{94D2114D-B8AC-466C-B598-31533AE5CD41}"/>
    <cellStyle name="20% - Accent4 3 7 3" xfId="10824" xr:uid="{6DA6BE7F-DD05-42D9-88F0-DBF0C016EB68}"/>
    <cellStyle name="20% - Accent4 3 7 4" xfId="19269" xr:uid="{A5D09438-DCA2-433B-BAB4-EDFC6FF32E2C}"/>
    <cellStyle name="20% - Accent4 3 8" xfId="4534" xr:uid="{00000000-0005-0000-0000-000059020000}"/>
    <cellStyle name="20% - Accent4 3 8 2" xfId="12976" xr:uid="{23FAC78D-F1CF-4411-878C-25ECE9C60BD7}"/>
    <cellStyle name="20% - Accent4 3 8 3" xfId="21422" xr:uid="{10A0CADA-A44B-4F0C-BC02-92429D568DC6}"/>
    <cellStyle name="20% - Accent4 3 9" xfId="8758" xr:uid="{CD6FD4CB-4A68-48F9-8CEA-AB7CB3D6F404}"/>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013053DF-DFA7-4EE8-86F3-48FC8F284E4B}"/>
    <cellStyle name="20% - Accent4 4 2 2 2 3" xfId="23983" xr:uid="{C372BB56-A9F2-40C7-86A9-B06470BBB420}"/>
    <cellStyle name="20% - Accent4 4 2 2 3" xfId="11319" xr:uid="{EC67E257-4474-458F-AD6D-CEC8F49A9534}"/>
    <cellStyle name="20% - Accent4 4 2 2 4" xfId="19766" xr:uid="{AD926BFF-92AE-41E1-BAA8-7DB3107E4C53}"/>
    <cellStyle name="20% - Accent4 4 2 3" xfId="4950" xr:uid="{00000000-0005-0000-0000-00005E020000}"/>
    <cellStyle name="20% - Accent4 4 2 3 2" xfId="13392" xr:uid="{46DAE0AE-EE25-477E-94A8-6122BDE750B9}"/>
    <cellStyle name="20% - Accent4 4 2 3 3" xfId="21838" xr:uid="{36A259FD-1D21-4E56-9050-3295AF357A17}"/>
    <cellStyle name="20% - Accent4 4 2 4" xfId="9174" xr:uid="{61105480-6FB1-4D05-BD1E-2F39158CBE21}"/>
    <cellStyle name="20% - Accent4 4 2 5" xfId="17619" xr:uid="{31EBC35E-3F72-4594-8C11-BE5951FF4DB8}"/>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F74642D3-0B26-4A4E-A953-A89D72FE7B32}"/>
    <cellStyle name="20% - Accent4 4 3 2 2 3" xfId="24396" xr:uid="{D98105CD-0711-47E6-BDC7-E1E98D83DFE7}"/>
    <cellStyle name="20% - Accent4 4 3 2 3" xfId="11732" xr:uid="{1F800ACF-17C2-48DF-928D-9258D641E7F3}"/>
    <cellStyle name="20% - Accent4 4 3 2 4" xfId="20179" xr:uid="{85D5218F-8F9C-4A49-9346-B9EA8B2C470B}"/>
    <cellStyle name="20% - Accent4 4 3 3" xfId="5363" xr:uid="{00000000-0005-0000-0000-000062020000}"/>
    <cellStyle name="20% - Accent4 4 3 3 2" xfId="13805" xr:uid="{3E728432-EDA3-4575-BE8B-4424A46C7C8B}"/>
    <cellStyle name="20% - Accent4 4 3 3 3" xfId="22251" xr:uid="{05CBFC73-98F6-4A5C-BC49-E8F7FFC0AF87}"/>
    <cellStyle name="20% - Accent4 4 3 4" xfId="9587" xr:uid="{66B2440D-DE2E-49BA-B153-7F76A6D0BDED}"/>
    <cellStyle name="20% - Accent4 4 3 5" xfId="18032" xr:uid="{FAA621D9-A65D-4AD7-8C7D-AFF9BB954BF1}"/>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16B06B5D-B1E1-4140-8874-1FD6DE6B8470}"/>
    <cellStyle name="20% - Accent4 4 4 2 2 3" xfId="24809" xr:uid="{11DFB809-833E-4523-971B-CB56F0A3B7C2}"/>
    <cellStyle name="20% - Accent4 4 4 2 3" xfId="12145" xr:uid="{5C28352A-4963-4509-947A-0CEDDDCC53E2}"/>
    <cellStyle name="20% - Accent4 4 4 2 4" xfId="20592" xr:uid="{56FCCCF5-A4E8-4CF4-A26C-D32276984D9A}"/>
    <cellStyle name="20% - Accent4 4 4 3" xfId="5776" xr:uid="{00000000-0005-0000-0000-000066020000}"/>
    <cellStyle name="20% - Accent4 4 4 3 2" xfId="14218" xr:uid="{7B773D59-9BC8-4AFB-A42E-71AFE529D3CB}"/>
    <cellStyle name="20% - Accent4 4 4 3 3" xfId="22664" xr:uid="{A35C41F2-6D0F-4543-8D1C-7B5AD7F060F9}"/>
    <cellStyle name="20% - Accent4 4 4 4" xfId="10000" xr:uid="{C3F172CA-B876-4122-B4D2-5B63DF0951E8}"/>
    <cellStyle name="20% - Accent4 4 4 5" xfId="18445" xr:uid="{F6A9C9D0-9DEB-45B0-B8F3-6F4BF15BC1FF}"/>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FF9BDBC1-5ED9-4F89-89D4-0BDDE48B8E50}"/>
    <cellStyle name="20% - Accent4 4 5 2 2 3" xfId="25222" xr:uid="{552E7D1E-130B-4161-9E23-10935D0EA470}"/>
    <cellStyle name="20% - Accent4 4 5 2 3" xfId="12558" xr:uid="{B1898C1A-46FC-4490-9871-3C217850F96D}"/>
    <cellStyle name="20% - Accent4 4 5 2 4" xfId="21005" xr:uid="{69193FA6-A3E5-49E9-8F57-F6FB6C641DFC}"/>
    <cellStyle name="20% - Accent4 4 5 3" xfId="6189" xr:uid="{00000000-0005-0000-0000-00006A020000}"/>
    <cellStyle name="20% - Accent4 4 5 3 2" xfId="14631" xr:uid="{3A2E401D-DF6C-4F4B-A49A-3C14260547D4}"/>
    <cellStyle name="20% - Accent4 4 5 3 3" xfId="23077" xr:uid="{D6D22414-BD3A-4E6C-B68C-522C1C46BFCB}"/>
    <cellStyle name="20% - Accent4 4 5 4" xfId="10413" xr:uid="{76342BF1-6BD2-4D65-8302-4B9D1F6F6870}"/>
    <cellStyle name="20% - Accent4 4 5 5" xfId="18858" xr:uid="{1C0C22AA-5B78-4BC0-BA88-4E599B1F1881}"/>
    <cellStyle name="20% - Accent4 4 6" xfId="2295" xr:uid="{00000000-0005-0000-0000-00006B020000}"/>
    <cellStyle name="20% - Accent4 4 6 2" xfId="6602" xr:uid="{00000000-0005-0000-0000-00006C020000}"/>
    <cellStyle name="20% - Accent4 4 6 2 2" xfId="15044" xr:uid="{27C248DD-E505-4EDD-ACCF-55528E064E26}"/>
    <cellStyle name="20% - Accent4 4 6 2 3" xfId="23490" xr:uid="{5CBE179B-4DE4-4228-A071-69636A08C088}"/>
    <cellStyle name="20% - Accent4 4 6 3" xfId="10826" xr:uid="{E823DC49-22DE-4883-8454-E9BE5172D450}"/>
    <cellStyle name="20% - Accent4 4 6 4" xfId="19271" xr:uid="{BE08DB6F-6B34-4302-95E6-5541D7A73FD4}"/>
    <cellStyle name="20% - Accent4 4 7" xfId="4536" xr:uid="{00000000-0005-0000-0000-00006D020000}"/>
    <cellStyle name="20% - Accent4 4 7 2" xfId="12978" xr:uid="{304DA274-D41B-499D-891E-AE5F016D661F}"/>
    <cellStyle name="20% - Accent4 4 7 3" xfId="21424" xr:uid="{5D91DA54-EDE9-492E-920F-11B7652F762B}"/>
    <cellStyle name="20% - Accent4 4 8" xfId="8760" xr:uid="{8900F100-8A0F-463F-9AEA-AE2A3D10A2CA}"/>
    <cellStyle name="20% - Accent4 4 9" xfId="17202" xr:uid="{DC5850A3-A90E-423B-9280-876CA0EF80FD}"/>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D3E522D7-4BCE-4A68-8A2D-3619682DAE10}"/>
    <cellStyle name="20% - Accent4 5 2 2 3" xfId="23976" xr:uid="{37796B4A-6F8D-4146-B3F9-20D2C0458F48}"/>
    <cellStyle name="20% - Accent4 5 2 3" xfId="11312" xr:uid="{D444CB1E-10AE-426E-923A-F4A8C7F63552}"/>
    <cellStyle name="20% - Accent4 5 2 4" xfId="19759" xr:uid="{B05B0931-72B5-4EF5-90EC-7CC04E9396D5}"/>
    <cellStyle name="20% - Accent4 5 3" xfId="4943" xr:uid="{00000000-0005-0000-0000-000071020000}"/>
    <cellStyle name="20% - Accent4 5 3 2" xfId="13385" xr:uid="{460A14E5-3436-4A28-8A1D-01E2A3DC0154}"/>
    <cellStyle name="20% - Accent4 5 3 3" xfId="21831" xr:uid="{41A71A53-1CE4-4BEA-9315-3B576526434B}"/>
    <cellStyle name="20% - Accent4 5 4" xfId="9167" xr:uid="{A5E8EFAC-0EAD-4241-A0A3-8D2AC743230C}"/>
    <cellStyle name="20% - Accent4 5 5" xfId="17612" xr:uid="{6589D2C8-97C5-4FAD-9FF6-0BFEE746606F}"/>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6EF7C9FA-F2DE-4D24-9738-8BD777FBB0FF}"/>
    <cellStyle name="20% - Accent4 6 2 2 3" xfId="24389" xr:uid="{0D599591-CBD9-4211-8E7D-A01C3386E25A}"/>
    <cellStyle name="20% - Accent4 6 2 3" xfId="11725" xr:uid="{7966D5E3-E099-4FED-97D2-41520F838211}"/>
    <cellStyle name="20% - Accent4 6 2 4" xfId="20172" xr:uid="{94B36CBF-4915-4AA0-A215-2FFAF4584EF6}"/>
    <cellStyle name="20% - Accent4 6 3" xfId="5356" xr:uid="{00000000-0005-0000-0000-000075020000}"/>
    <cellStyle name="20% - Accent4 6 3 2" xfId="13798" xr:uid="{AC876F78-1F06-4E20-9209-F231E7BF1EB3}"/>
    <cellStyle name="20% - Accent4 6 3 3" xfId="22244" xr:uid="{E324C612-3A99-4EC0-93EE-E381BB08186E}"/>
    <cellStyle name="20% - Accent4 6 4" xfId="9580" xr:uid="{5FB3FD0F-C3B5-4F5E-A3E0-05C31893BC41}"/>
    <cellStyle name="20% - Accent4 6 5" xfId="18025" xr:uid="{65C22BB9-BECB-43D8-928D-1AF1357C672F}"/>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4066B908-1CBE-4DE2-8444-2FFAE152CDC2}"/>
    <cellStyle name="20% - Accent4 7 2 2 3" xfId="24802" xr:uid="{F72A7A81-0B70-424C-90FB-7ED4DAC0B85A}"/>
    <cellStyle name="20% - Accent4 7 2 3" xfId="12138" xr:uid="{166D64F6-9C8A-4DF7-9701-6177BE9458EE}"/>
    <cellStyle name="20% - Accent4 7 2 4" xfId="20585" xr:uid="{B6D90702-436D-41AC-BBA9-8AB581C9269D}"/>
    <cellStyle name="20% - Accent4 7 3" xfId="5769" xr:uid="{00000000-0005-0000-0000-000079020000}"/>
    <cellStyle name="20% - Accent4 7 3 2" xfId="14211" xr:uid="{96DEF73F-910E-4D6E-A81E-5E74D929A458}"/>
    <cellStyle name="20% - Accent4 7 3 3" xfId="22657" xr:uid="{7F56196F-8374-4DE7-96E7-FCF16D1A76D2}"/>
    <cellStyle name="20% - Accent4 7 4" xfId="9993" xr:uid="{1069141C-BB65-4BC6-A716-E10D3768A3AD}"/>
    <cellStyle name="20% - Accent4 7 5" xfId="18438" xr:uid="{67C365B5-D53B-4888-B95A-C9519557D621}"/>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1DD54A77-A18E-44EA-B343-A75503CDF8F5}"/>
    <cellStyle name="20% - Accent4 8 2 2 3" xfId="25215" xr:uid="{CF772039-00D7-4C80-BDD5-C72D66F52A8C}"/>
    <cellStyle name="20% - Accent4 8 2 3" xfId="12551" xr:uid="{0327FE38-33DE-40F6-9BA4-B784E12F4C9B}"/>
    <cellStyle name="20% - Accent4 8 2 4" xfId="20998" xr:uid="{E405D82A-4ABA-4F51-9E07-35BA66885AE3}"/>
    <cellStyle name="20% - Accent4 8 3" xfId="6182" xr:uid="{00000000-0005-0000-0000-00007D020000}"/>
    <cellStyle name="20% - Accent4 8 3 2" xfId="14624" xr:uid="{741A181D-A30E-410B-ABF0-7515FEB2E286}"/>
    <cellStyle name="20% - Accent4 8 3 3" xfId="23070" xr:uid="{7F055746-404F-4C9A-ACFF-621638767EE5}"/>
    <cellStyle name="20% - Accent4 8 4" xfId="10406" xr:uid="{4CC4D36F-78E3-4BA1-A126-FD45463CACD1}"/>
    <cellStyle name="20% - Accent4 8 5" xfId="18851" xr:uid="{2B9E26A1-B735-4C9D-A452-91F13B355069}"/>
    <cellStyle name="20% - Accent4 9" xfId="2288" xr:uid="{00000000-0005-0000-0000-00007E020000}"/>
    <cellStyle name="20% - Accent4 9 2" xfId="6595" xr:uid="{00000000-0005-0000-0000-00007F020000}"/>
    <cellStyle name="20% - Accent4 9 2 2" xfId="15037" xr:uid="{62629D56-43DF-4D63-8DAB-23ECE75DD7E5}"/>
    <cellStyle name="20% - Accent4 9 2 3" xfId="23483" xr:uid="{B8D6C34D-7D94-4D52-A9D7-B5E5859BC0A3}"/>
    <cellStyle name="20% - Accent4 9 3" xfId="10819" xr:uid="{915D7A40-C2EA-424D-A096-49A839A7BA40}"/>
    <cellStyle name="20% - Accent4 9 4" xfId="19264" xr:uid="{FB7ABE93-8727-4D11-894B-CCA9BCE14067}"/>
    <cellStyle name="20% - Accent5" xfId="33" builtinId="46" customBuiltin="1"/>
    <cellStyle name="20% - Accent5 10" xfId="4537" xr:uid="{00000000-0005-0000-0000-000081020000}"/>
    <cellStyle name="20% - Accent5 10 2" xfId="12979" xr:uid="{D52FA696-CAFB-4264-91E6-39A9FC076A76}"/>
    <cellStyle name="20% - Accent5 10 3" xfId="21425" xr:uid="{1C9BA5B8-46E7-4798-9991-E55C3D2DFFCB}"/>
    <cellStyle name="20% - Accent5 11" xfId="8761" xr:uid="{37AB03E1-21FB-498D-A85F-FBC502DEEDBC}"/>
    <cellStyle name="20% - Accent5 12" xfId="17203" xr:uid="{AB365874-81C5-4CC0-A994-E59DD09E22F8}"/>
    <cellStyle name="20% - Accent5 2" xfId="34" xr:uid="{00000000-0005-0000-0000-000082020000}"/>
    <cellStyle name="20% - Accent5 2 10" xfId="8762" xr:uid="{34EF0C2F-9123-4661-B5AE-E236D33CF983}"/>
    <cellStyle name="20% - Accent5 2 11" xfId="17204" xr:uid="{A104CC7B-4259-4A3D-9AAF-EF2DCE353968}"/>
    <cellStyle name="20% - Accent5 2 2" xfId="35" xr:uid="{00000000-0005-0000-0000-000083020000}"/>
    <cellStyle name="20% - Accent5 2 2 10" xfId="17205" xr:uid="{39CC861B-E326-4048-A08F-34A558572277}"/>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9EF4BA76-8EE7-4E88-941E-EDC117952A78}"/>
    <cellStyle name="20% - Accent5 2 2 2 2 2 2 3" xfId="23987" xr:uid="{C4ABA394-4C51-4AEA-A282-F537D16F507D}"/>
    <cellStyle name="20% - Accent5 2 2 2 2 2 3" xfId="11323" xr:uid="{A4760E11-EA8D-4493-B58F-1A50C67932B2}"/>
    <cellStyle name="20% - Accent5 2 2 2 2 2 4" xfId="19770" xr:uid="{669ADBD3-EA2A-4509-A907-6579FD46B62F}"/>
    <cellStyle name="20% - Accent5 2 2 2 2 3" xfId="4954" xr:uid="{00000000-0005-0000-0000-000088020000}"/>
    <cellStyle name="20% - Accent5 2 2 2 2 3 2" xfId="13396" xr:uid="{CDB558E3-252D-4AF3-8FAF-A84388AAD05B}"/>
    <cellStyle name="20% - Accent5 2 2 2 2 3 3" xfId="21842" xr:uid="{72F57D01-11DB-45B3-B502-84FDBBA940F7}"/>
    <cellStyle name="20% - Accent5 2 2 2 2 4" xfId="9178" xr:uid="{C0E5B129-D339-49D1-9C2D-F075F41CC99F}"/>
    <cellStyle name="20% - Accent5 2 2 2 2 5" xfId="17623" xr:uid="{03A37D7B-7974-4D88-B589-43D6370B647D}"/>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306B8E74-8AEE-4E2E-9CE0-A533A45495B3}"/>
    <cellStyle name="20% - Accent5 2 2 2 3 2 2 3" xfId="24400" xr:uid="{3CE577DE-8611-40D5-8830-BB5AFBAD83FE}"/>
    <cellStyle name="20% - Accent5 2 2 2 3 2 3" xfId="11736" xr:uid="{468AFF78-5A5D-4DBD-98DC-ABCFF792A3CF}"/>
    <cellStyle name="20% - Accent5 2 2 2 3 2 4" xfId="20183" xr:uid="{30E820F7-C157-41A2-BDAC-200FFD7E5534}"/>
    <cellStyle name="20% - Accent5 2 2 2 3 3" xfId="5367" xr:uid="{00000000-0005-0000-0000-00008C020000}"/>
    <cellStyle name="20% - Accent5 2 2 2 3 3 2" xfId="13809" xr:uid="{1DCC386A-FB7C-415D-AF16-68BF0C39A494}"/>
    <cellStyle name="20% - Accent5 2 2 2 3 3 3" xfId="22255" xr:uid="{D958B400-DC30-43DB-99A5-6286C93D6349}"/>
    <cellStyle name="20% - Accent5 2 2 2 3 4" xfId="9591" xr:uid="{1149C581-F0B2-4CC3-A7EC-6A4B28F0EB71}"/>
    <cellStyle name="20% - Accent5 2 2 2 3 5" xfId="18036" xr:uid="{3A0F6ACB-E4EF-495C-8609-2F2F671DEB0D}"/>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70E20443-D906-4FDE-947E-48CA7390E865}"/>
    <cellStyle name="20% - Accent5 2 2 2 4 2 2 3" xfId="24813" xr:uid="{8AA0D79C-10D3-40C6-9AC2-C317C5ECE186}"/>
    <cellStyle name="20% - Accent5 2 2 2 4 2 3" xfId="12149" xr:uid="{764F1F69-1B89-4567-BF53-1A6683C5E613}"/>
    <cellStyle name="20% - Accent5 2 2 2 4 2 4" xfId="20596" xr:uid="{C26782FE-FB4D-4965-9018-19E7F076296A}"/>
    <cellStyle name="20% - Accent5 2 2 2 4 3" xfId="5780" xr:uid="{00000000-0005-0000-0000-000090020000}"/>
    <cellStyle name="20% - Accent5 2 2 2 4 3 2" xfId="14222" xr:uid="{53F235A0-679D-4CEA-AD33-87810BEDE1E2}"/>
    <cellStyle name="20% - Accent5 2 2 2 4 3 3" xfId="22668" xr:uid="{D950AF00-52AB-4D89-A5FD-A5F0A37605E8}"/>
    <cellStyle name="20% - Accent5 2 2 2 4 4" xfId="10004" xr:uid="{847BD926-E2DB-4E4F-9A65-5F1753E56306}"/>
    <cellStyle name="20% - Accent5 2 2 2 4 5" xfId="18449" xr:uid="{2F28E13C-4585-4188-A59F-868D6E0792F1}"/>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F1F6EE37-C4C9-4632-AFF6-6BBC66D30335}"/>
    <cellStyle name="20% - Accent5 2 2 2 5 2 2 3" xfId="25226" xr:uid="{8C16AE2B-5D19-4C29-A5F7-8887DCBFB7E9}"/>
    <cellStyle name="20% - Accent5 2 2 2 5 2 3" xfId="12562" xr:uid="{A71D84D3-88BB-4A8F-A874-458A85E4F379}"/>
    <cellStyle name="20% - Accent5 2 2 2 5 2 4" xfId="21009" xr:uid="{49CC9DAB-DF84-4DD3-9BC0-5C62BA8D4B9B}"/>
    <cellStyle name="20% - Accent5 2 2 2 5 3" xfId="6193" xr:uid="{00000000-0005-0000-0000-000094020000}"/>
    <cellStyle name="20% - Accent5 2 2 2 5 3 2" xfId="14635" xr:uid="{76333DB6-D8F8-409B-9FB8-9A85DEF1C6A7}"/>
    <cellStyle name="20% - Accent5 2 2 2 5 3 3" xfId="23081" xr:uid="{B8DA30E1-520E-4B89-BD8B-4508A34907EA}"/>
    <cellStyle name="20% - Accent5 2 2 2 5 4" xfId="10417" xr:uid="{7454EA4A-6041-4EF5-80D8-2DF16C110467}"/>
    <cellStyle name="20% - Accent5 2 2 2 5 5" xfId="18862" xr:uid="{D48BDDEB-E22C-480E-A570-7EF69C49CE10}"/>
    <cellStyle name="20% - Accent5 2 2 2 6" xfId="2299" xr:uid="{00000000-0005-0000-0000-000095020000}"/>
    <cellStyle name="20% - Accent5 2 2 2 6 2" xfId="6606" xr:uid="{00000000-0005-0000-0000-000096020000}"/>
    <cellStyle name="20% - Accent5 2 2 2 6 2 2" xfId="15048" xr:uid="{973F3276-3454-4A47-A3A9-7F5463A6CD7D}"/>
    <cellStyle name="20% - Accent5 2 2 2 6 2 3" xfId="23494" xr:uid="{DEFB6591-4C17-4534-B3EA-58497FB99390}"/>
    <cellStyle name="20% - Accent5 2 2 2 6 3" xfId="10830" xr:uid="{A20BB1C9-D2A8-484F-8EB6-EC3D8798407C}"/>
    <cellStyle name="20% - Accent5 2 2 2 6 4" xfId="19275" xr:uid="{D0BC8FC9-D4B3-493A-B1AD-0062A1BC961E}"/>
    <cellStyle name="20% - Accent5 2 2 2 7" xfId="4540" xr:uid="{00000000-0005-0000-0000-000097020000}"/>
    <cellStyle name="20% - Accent5 2 2 2 7 2" xfId="12982" xr:uid="{CE132A6C-725F-45DB-B2AA-B4DF3F492BA6}"/>
    <cellStyle name="20% - Accent5 2 2 2 7 3" xfId="21428" xr:uid="{030647C7-F490-4C82-9161-DDFAFA165EE0}"/>
    <cellStyle name="20% - Accent5 2 2 2 8" xfId="8764" xr:uid="{7E2B3AAC-3227-4AA1-80CF-23C30FD5B807}"/>
    <cellStyle name="20% - Accent5 2 2 2 9" xfId="17206" xr:uid="{640E05B7-915D-46B1-AA30-2BE9EFC62990}"/>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34290839-D36B-4FEB-97B4-FDAB7E8FD3AD}"/>
    <cellStyle name="20% - Accent5 2 2 3 2 2 3" xfId="23986" xr:uid="{8A7E860C-D95B-435A-B89A-419FD9DCA059}"/>
    <cellStyle name="20% - Accent5 2 2 3 2 3" xfId="11322" xr:uid="{B5683679-03A9-45B9-B4F2-C827143FBA74}"/>
    <cellStyle name="20% - Accent5 2 2 3 2 4" xfId="19769" xr:uid="{FE15612F-3783-42AB-953C-41DD1664F0C6}"/>
    <cellStyle name="20% - Accent5 2 2 3 3" xfId="4953" xr:uid="{00000000-0005-0000-0000-00009B020000}"/>
    <cellStyle name="20% - Accent5 2 2 3 3 2" xfId="13395" xr:uid="{6FD86F3C-D6DC-42E6-9785-18311ECAC5F5}"/>
    <cellStyle name="20% - Accent5 2 2 3 3 3" xfId="21841" xr:uid="{0118C43E-FAF9-49B9-8C1A-8308C84E9081}"/>
    <cellStyle name="20% - Accent5 2 2 3 4" xfId="9177" xr:uid="{DF041AB6-ED5B-40D2-99A2-AE223AE53BD5}"/>
    <cellStyle name="20% - Accent5 2 2 3 5" xfId="17622" xr:uid="{49BFE246-69A5-4C05-BB39-7FD75646A90B}"/>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BB8FC449-FC61-4724-B091-DDC473CD9FA2}"/>
    <cellStyle name="20% - Accent5 2 2 4 2 2 3" xfId="24399" xr:uid="{0E1BFD74-3D62-484F-8B11-4B19F52814C1}"/>
    <cellStyle name="20% - Accent5 2 2 4 2 3" xfId="11735" xr:uid="{133527C2-3D14-45D1-BB28-9D0A26A3117E}"/>
    <cellStyle name="20% - Accent5 2 2 4 2 4" xfId="20182" xr:uid="{56474F55-D5FA-490B-8473-91E96780A347}"/>
    <cellStyle name="20% - Accent5 2 2 4 3" xfId="5366" xr:uid="{00000000-0005-0000-0000-00009F020000}"/>
    <cellStyle name="20% - Accent5 2 2 4 3 2" xfId="13808" xr:uid="{41501BCD-FCB4-4AB6-9334-71628AE2B84F}"/>
    <cellStyle name="20% - Accent5 2 2 4 3 3" xfId="22254" xr:uid="{9E1F7E70-91CE-41F0-85DC-28346FEF3491}"/>
    <cellStyle name="20% - Accent5 2 2 4 4" xfId="9590" xr:uid="{9BEE6FD1-F662-4086-A9CC-6304FF05219E}"/>
    <cellStyle name="20% - Accent5 2 2 4 5" xfId="18035" xr:uid="{A9A1C218-BB58-45E6-A8A3-86DFF4435B3A}"/>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E5F6BD04-B30C-471F-B1AB-6D1CD1B33BA0}"/>
    <cellStyle name="20% - Accent5 2 2 5 2 2 3" xfId="24812" xr:uid="{C06BD2D3-AC25-4E16-B735-56844CC74A49}"/>
    <cellStyle name="20% - Accent5 2 2 5 2 3" xfId="12148" xr:uid="{DBCD232B-45A4-41AC-8614-4A6DF0CE25AA}"/>
    <cellStyle name="20% - Accent5 2 2 5 2 4" xfId="20595" xr:uid="{186EB4BF-BFD5-44AD-B095-5473BD4DD8EA}"/>
    <cellStyle name="20% - Accent5 2 2 5 3" xfId="5779" xr:uid="{00000000-0005-0000-0000-0000A3020000}"/>
    <cellStyle name="20% - Accent5 2 2 5 3 2" xfId="14221" xr:uid="{FE4552B9-FC48-4595-8A73-2E64659FBE4A}"/>
    <cellStyle name="20% - Accent5 2 2 5 3 3" xfId="22667" xr:uid="{CA68683C-C4F4-4C6E-8437-40A08A7C2A14}"/>
    <cellStyle name="20% - Accent5 2 2 5 4" xfId="10003" xr:uid="{BCEBBB2A-5C57-4C67-A448-9AA7E40E6494}"/>
    <cellStyle name="20% - Accent5 2 2 5 5" xfId="18448" xr:uid="{B00B7505-9335-4FF2-86F7-8B0F99E2B146}"/>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4B819171-41B3-443C-89A5-DE63D068037A}"/>
    <cellStyle name="20% - Accent5 2 2 6 2 2 3" xfId="25225" xr:uid="{214335B8-3293-44E0-AB79-A368123B15FD}"/>
    <cellStyle name="20% - Accent5 2 2 6 2 3" xfId="12561" xr:uid="{9490C5E3-6FA0-4D17-B6A5-667CB5A71B41}"/>
    <cellStyle name="20% - Accent5 2 2 6 2 4" xfId="21008" xr:uid="{EF35AAB8-A515-4391-892A-6FAE76A36D2F}"/>
    <cellStyle name="20% - Accent5 2 2 6 3" xfId="6192" xr:uid="{00000000-0005-0000-0000-0000A7020000}"/>
    <cellStyle name="20% - Accent5 2 2 6 3 2" xfId="14634" xr:uid="{4CE6EC5D-6C6E-4F1F-BBCF-4A88F160FC55}"/>
    <cellStyle name="20% - Accent5 2 2 6 3 3" xfId="23080" xr:uid="{11061BE7-5259-49E4-B45A-16754145188D}"/>
    <cellStyle name="20% - Accent5 2 2 6 4" xfId="10416" xr:uid="{E2C46D63-BBD3-48D0-A187-91B12D423CCB}"/>
    <cellStyle name="20% - Accent5 2 2 6 5" xfId="18861" xr:uid="{DAC34912-3202-49B0-A0AF-94F8D57C3A72}"/>
    <cellStyle name="20% - Accent5 2 2 7" xfId="2298" xr:uid="{00000000-0005-0000-0000-0000A8020000}"/>
    <cellStyle name="20% - Accent5 2 2 7 2" xfId="6605" xr:uid="{00000000-0005-0000-0000-0000A9020000}"/>
    <cellStyle name="20% - Accent5 2 2 7 2 2" xfId="15047" xr:uid="{17BB0C18-BCC7-48DA-84E6-2158908F7380}"/>
    <cellStyle name="20% - Accent5 2 2 7 2 3" xfId="23493" xr:uid="{B5876741-8C54-4128-A288-5F20B75DBCA6}"/>
    <cellStyle name="20% - Accent5 2 2 7 3" xfId="10829" xr:uid="{4F323D60-32F1-4CAB-8EDB-B8B24F3EDA14}"/>
    <cellStyle name="20% - Accent5 2 2 7 4" xfId="19274" xr:uid="{84866896-C254-47E1-B3DA-DD84082404A4}"/>
    <cellStyle name="20% - Accent5 2 2 8" xfId="4539" xr:uid="{00000000-0005-0000-0000-0000AA020000}"/>
    <cellStyle name="20% - Accent5 2 2 8 2" xfId="12981" xr:uid="{48288BB5-7391-4ED4-B9A5-E200A131D311}"/>
    <cellStyle name="20% - Accent5 2 2 8 3" xfId="21427" xr:uid="{B771BB61-7516-44B2-A6E0-9EFD12FCCD28}"/>
    <cellStyle name="20% - Accent5 2 2 9" xfId="8763" xr:uid="{725F8C87-9A39-429F-8451-7424B27BFC47}"/>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5C235AAB-A612-432B-9C85-BEB5839E4B27}"/>
    <cellStyle name="20% - Accent5 2 3 2 2 2 3" xfId="23988" xr:uid="{07C80C5F-E524-4A7D-90D5-B7A6C78B79A8}"/>
    <cellStyle name="20% - Accent5 2 3 2 2 3" xfId="11324" xr:uid="{E411F475-A2E4-48A0-901F-017D60FB5B7B}"/>
    <cellStyle name="20% - Accent5 2 3 2 2 4" xfId="19771" xr:uid="{F5C1766D-803C-4EDE-A32A-DF9E35C5CDC2}"/>
    <cellStyle name="20% - Accent5 2 3 2 3" xfId="4955" xr:uid="{00000000-0005-0000-0000-0000AF020000}"/>
    <cellStyle name="20% - Accent5 2 3 2 3 2" xfId="13397" xr:uid="{6F1B5C05-DBBD-4E5D-B547-748EE234EA9D}"/>
    <cellStyle name="20% - Accent5 2 3 2 3 3" xfId="21843" xr:uid="{D97CDBDD-5F16-4388-B6C3-B0ED7D7E2F40}"/>
    <cellStyle name="20% - Accent5 2 3 2 4" xfId="9179" xr:uid="{5BCACFAA-B401-4C97-9375-7F1F620CB990}"/>
    <cellStyle name="20% - Accent5 2 3 2 5" xfId="17624" xr:uid="{9F2EEE93-3E13-49C3-8CE8-739A6824F82E}"/>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F363FDC0-EED5-4086-BD67-D8667C786351}"/>
    <cellStyle name="20% - Accent5 2 3 3 2 2 3" xfId="24401" xr:uid="{9D2A8046-D8EF-4A3A-89DE-CD9CD3093B0A}"/>
    <cellStyle name="20% - Accent5 2 3 3 2 3" xfId="11737" xr:uid="{AAD166A7-B7A9-4CD3-B6AE-6C6523CB01BC}"/>
    <cellStyle name="20% - Accent5 2 3 3 2 4" xfId="20184" xr:uid="{EC68C250-F63D-45B0-B362-6ED08A59A663}"/>
    <cellStyle name="20% - Accent5 2 3 3 3" xfId="5368" xr:uid="{00000000-0005-0000-0000-0000B3020000}"/>
    <cellStyle name="20% - Accent5 2 3 3 3 2" xfId="13810" xr:uid="{46220A10-A5ED-4962-9485-199B3FC415FA}"/>
    <cellStyle name="20% - Accent5 2 3 3 3 3" xfId="22256" xr:uid="{290611D5-4A41-46DF-9835-8DF0B60A62F1}"/>
    <cellStyle name="20% - Accent5 2 3 3 4" xfId="9592" xr:uid="{21DF102B-B94A-4746-BB6F-FD7D1E4C4C73}"/>
    <cellStyle name="20% - Accent5 2 3 3 5" xfId="18037" xr:uid="{CFBC9278-D213-4979-8170-027932B45FBE}"/>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A1A8F8E9-686A-4475-91FE-7A4BF9A50249}"/>
    <cellStyle name="20% - Accent5 2 3 4 2 2 3" xfId="24814" xr:uid="{E7B38BB2-86DC-4B55-ADAF-FB248626D8BA}"/>
    <cellStyle name="20% - Accent5 2 3 4 2 3" xfId="12150" xr:uid="{B8505F7A-7158-452C-B965-3049AD976B88}"/>
    <cellStyle name="20% - Accent5 2 3 4 2 4" xfId="20597" xr:uid="{EE64C6BD-7B34-4220-911F-9AA6C87A387B}"/>
    <cellStyle name="20% - Accent5 2 3 4 3" xfId="5781" xr:uid="{00000000-0005-0000-0000-0000B7020000}"/>
    <cellStyle name="20% - Accent5 2 3 4 3 2" xfId="14223" xr:uid="{22C5A975-F353-46BD-BDF4-0A38FE2EA938}"/>
    <cellStyle name="20% - Accent5 2 3 4 3 3" xfId="22669" xr:uid="{2A8F75C7-24B5-4AB8-9812-CC45C2EACDC0}"/>
    <cellStyle name="20% - Accent5 2 3 4 4" xfId="10005" xr:uid="{7271C274-0BA4-4FA7-866C-1DB7DE8AA915}"/>
    <cellStyle name="20% - Accent5 2 3 4 5" xfId="18450" xr:uid="{5AAED6E4-8BA8-42B9-91E5-44ECBD5E304A}"/>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A08DA6A2-87D1-43FE-A505-5CCA65895BD0}"/>
    <cellStyle name="20% - Accent5 2 3 5 2 2 3" xfId="25227" xr:uid="{756660FB-96DF-406D-A2CF-E6DCC039B88F}"/>
    <cellStyle name="20% - Accent5 2 3 5 2 3" xfId="12563" xr:uid="{5B2207B6-C1C4-4534-B584-5DC32CD9BDB4}"/>
    <cellStyle name="20% - Accent5 2 3 5 2 4" xfId="21010" xr:uid="{B5904F43-A524-4E24-ACAD-00C0B179B804}"/>
    <cellStyle name="20% - Accent5 2 3 5 3" xfId="6194" xr:uid="{00000000-0005-0000-0000-0000BB020000}"/>
    <cellStyle name="20% - Accent5 2 3 5 3 2" xfId="14636" xr:uid="{6FD0A1B8-74C4-4A65-AF10-514E60E649DF}"/>
    <cellStyle name="20% - Accent5 2 3 5 3 3" xfId="23082" xr:uid="{5E4C22E5-E591-4CFC-9649-38616B4EFA6D}"/>
    <cellStyle name="20% - Accent5 2 3 5 4" xfId="10418" xr:uid="{6377BDFE-D6C4-42BC-B1D9-20153973A85E}"/>
    <cellStyle name="20% - Accent5 2 3 5 5" xfId="18863" xr:uid="{463A6708-2FEE-46DB-9D78-1B95766377F8}"/>
    <cellStyle name="20% - Accent5 2 3 6" xfId="2300" xr:uid="{00000000-0005-0000-0000-0000BC020000}"/>
    <cellStyle name="20% - Accent5 2 3 6 2" xfId="6607" xr:uid="{00000000-0005-0000-0000-0000BD020000}"/>
    <cellStyle name="20% - Accent5 2 3 6 2 2" xfId="15049" xr:uid="{707FDB43-CCD5-475D-838D-5A2230AABA91}"/>
    <cellStyle name="20% - Accent5 2 3 6 2 3" xfId="23495" xr:uid="{1774D44F-13EC-4DF0-95EC-5D7ACF7BA3CE}"/>
    <cellStyle name="20% - Accent5 2 3 6 3" xfId="10831" xr:uid="{00AF9202-52F7-432B-8AC3-55BFA5253C27}"/>
    <cellStyle name="20% - Accent5 2 3 6 4" xfId="19276" xr:uid="{900F4EB0-C0C6-4C4D-A4A5-12F7E0A7094A}"/>
    <cellStyle name="20% - Accent5 2 3 7" xfId="4541" xr:uid="{00000000-0005-0000-0000-0000BE020000}"/>
    <cellStyle name="20% - Accent5 2 3 7 2" xfId="12983" xr:uid="{7668CD38-2DD1-4DBF-9F57-811311862933}"/>
    <cellStyle name="20% - Accent5 2 3 7 3" xfId="21429" xr:uid="{571B4B3D-1A4A-4D67-A395-0112AAB13D6F}"/>
    <cellStyle name="20% - Accent5 2 3 8" xfId="8765" xr:uid="{00AB7634-DADA-4344-A131-8E23472B2C7C}"/>
    <cellStyle name="20% - Accent5 2 3 9" xfId="17207" xr:uid="{6CEC7B31-10AD-4681-A9C4-966901DB3CC6}"/>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4017CD0B-0C96-42D9-9452-1D6126066D37}"/>
    <cellStyle name="20% - Accent5 2 4 2 2 3" xfId="23985" xr:uid="{771CEB65-EE2C-4B73-975E-37D31F01F65C}"/>
    <cellStyle name="20% - Accent5 2 4 2 3" xfId="11321" xr:uid="{4844EC9A-B99E-4299-BA68-C4ACF2B27009}"/>
    <cellStyle name="20% - Accent5 2 4 2 4" xfId="19768" xr:uid="{1FD6D007-8864-46BE-BCFD-E284C86F87E2}"/>
    <cellStyle name="20% - Accent5 2 4 3" xfId="4952" xr:uid="{00000000-0005-0000-0000-0000C2020000}"/>
    <cellStyle name="20% - Accent5 2 4 3 2" xfId="13394" xr:uid="{5888185B-636B-42D0-AD7C-DD7D8657710C}"/>
    <cellStyle name="20% - Accent5 2 4 3 3" xfId="21840" xr:uid="{7D706D52-9970-408E-8E5E-ED9CF5A9FCF1}"/>
    <cellStyle name="20% - Accent5 2 4 4" xfId="9176" xr:uid="{BB71FDF6-B44C-42F4-887E-9371D1B4CAF4}"/>
    <cellStyle name="20% - Accent5 2 4 5" xfId="17621" xr:uid="{D68AA2DD-C273-49F3-817C-CA25F228635B}"/>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54C2FA05-FDCB-4A1E-B026-32A397149FD9}"/>
    <cellStyle name="20% - Accent5 2 5 2 2 3" xfId="24398" xr:uid="{05126043-BEDD-4550-8307-82A99B105C16}"/>
    <cellStyle name="20% - Accent5 2 5 2 3" xfId="11734" xr:uid="{AC7504B3-9C02-410F-800A-497666216D15}"/>
    <cellStyle name="20% - Accent5 2 5 2 4" xfId="20181" xr:uid="{46D626A8-C8E2-4B2D-9C68-355FA55A6CED}"/>
    <cellStyle name="20% - Accent5 2 5 3" xfId="5365" xr:uid="{00000000-0005-0000-0000-0000C6020000}"/>
    <cellStyle name="20% - Accent5 2 5 3 2" xfId="13807" xr:uid="{CD8FAF99-2EFF-44A3-B86D-A4CAC1E9B0B8}"/>
    <cellStyle name="20% - Accent5 2 5 3 3" xfId="22253" xr:uid="{90338A70-2CEA-4F2D-834F-666A68FE7F35}"/>
    <cellStyle name="20% - Accent5 2 5 4" xfId="9589" xr:uid="{CC24AC30-79B6-4D22-8FDB-29E5B4E34723}"/>
    <cellStyle name="20% - Accent5 2 5 5" xfId="18034" xr:uid="{A021B6EF-13C1-4268-9AF6-F22DD8FC30A8}"/>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36FDB683-4068-46DF-943B-E832B2B67E52}"/>
    <cellStyle name="20% - Accent5 2 6 2 2 3" xfId="24811" xr:uid="{F2B617B4-1E95-452C-BE4B-ABB7B74AE283}"/>
    <cellStyle name="20% - Accent5 2 6 2 3" xfId="12147" xr:uid="{881F2742-9B35-4196-BD37-0AD9D9C96787}"/>
    <cellStyle name="20% - Accent5 2 6 2 4" xfId="20594" xr:uid="{EF7EAD18-D185-48BC-AA3C-398D63EBB8B7}"/>
    <cellStyle name="20% - Accent5 2 6 3" xfId="5778" xr:uid="{00000000-0005-0000-0000-0000CA020000}"/>
    <cellStyle name="20% - Accent5 2 6 3 2" xfId="14220" xr:uid="{5520CCB1-7A4E-4460-B7CA-D1BC7520D987}"/>
    <cellStyle name="20% - Accent5 2 6 3 3" xfId="22666" xr:uid="{2A4D7BFC-13F2-4610-B8C9-BC2EA886D147}"/>
    <cellStyle name="20% - Accent5 2 6 4" xfId="10002" xr:uid="{17CE961D-0F94-48C6-A9A2-0A0A6F2E6B6E}"/>
    <cellStyle name="20% - Accent5 2 6 5" xfId="18447" xr:uid="{572E2497-7A68-455C-83FA-4BE941D815A5}"/>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375DD6CB-6FF3-45A0-87F2-FA66D90A3447}"/>
    <cellStyle name="20% - Accent5 2 7 2 2 3" xfId="25224" xr:uid="{410F4652-FB2A-4483-B74A-A5C3CA7ABA58}"/>
    <cellStyle name="20% - Accent5 2 7 2 3" xfId="12560" xr:uid="{7A350478-2B43-4547-9F5B-8E1A88D37C82}"/>
    <cellStyle name="20% - Accent5 2 7 2 4" xfId="21007" xr:uid="{86E8CBBC-C479-4A1C-A952-621B816D5341}"/>
    <cellStyle name="20% - Accent5 2 7 3" xfId="6191" xr:uid="{00000000-0005-0000-0000-0000CE020000}"/>
    <cellStyle name="20% - Accent5 2 7 3 2" xfId="14633" xr:uid="{7F1C7C7E-B10D-4FEF-8E38-5F4B2A240130}"/>
    <cellStyle name="20% - Accent5 2 7 3 3" xfId="23079" xr:uid="{C12F5823-A426-4B47-BA89-0E26A7A68941}"/>
    <cellStyle name="20% - Accent5 2 7 4" xfId="10415" xr:uid="{9A98555B-07A0-44B5-9DE4-AAB869DF454A}"/>
    <cellStyle name="20% - Accent5 2 7 5" xfId="18860" xr:uid="{B75F177A-0214-4150-A615-2CBC506F60E4}"/>
    <cellStyle name="20% - Accent5 2 8" xfId="2297" xr:uid="{00000000-0005-0000-0000-0000CF020000}"/>
    <cellStyle name="20% - Accent5 2 8 2" xfId="6604" xr:uid="{00000000-0005-0000-0000-0000D0020000}"/>
    <cellStyle name="20% - Accent5 2 8 2 2" xfId="15046" xr:uid="{040208F7-9E85-4490-969E-B17BC617C1C5}"/>
    <cellStyle name="20% - Accent5 2 8 2 3" xfId="23492" xr:uid="{DC449C02-0888-4EC1-8F97-C41C5A6F77CC}"/>
    <cellStyle name="20% - Accent5 2 8 3" xfId="10828" xr:uid="{AA89EC05-0053-4DA0-962F-CDE67BC1BB65}"/>
    <cellStyle name="20% - Accent5 2 8 4" xfId="19273" xr:uid="{4AAC8312-A8A3-4D0D-B867-4F0FCB745D06}"/>
    <cellStyle name="20% - Accent5 2 9" xfId="4538" xr:uid="{00000000-0005-0000-0000-0000D1020000}"/>
    <cellStyle name="20% - Accent5 2 9 2" xfId="12980" xr:uid="{CA9BAA46-33E8-4500-9E0C-A1B37CD44230}"/>
    <cellStyle name="20% - Accent5 2 9 3" xfId="21426" xr:uid="{540EE200-2E90-407E-A04D-ADCABB8D6BE1}"/>
    <cellStyle name="20% - Accent5 3" xfId="38" xr:uid="{00000000-0005-0000-0000-0000D2020000}"/>
    <cellStyle name="20% - Accent5 3 10" xfId="17208" xr:uid="{4DEAACFD-0AA9-47CE-908D-ED8F4CE5A369}"/>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D3A17A87-B2E0-4438-BFC2-0F19726C7FBA}"/>
    <cellStyle name="20% - Accent5 3 2 2 2 2 3" xfId="23990" xr:uid="{FE9BEB73-0F33-4F7D-99F8-66FDFD2DE90F}"/>
    <cellStyle name="20% - Accent5 3 2 2 2 3" xfId="11326" xr:uid="{16432886-EB0E-4FED-A4E8-B6DA1C8F0FCE}"/>
    <cellStyle name="20% - Accent5 3 2 2 2 4" xfId="19773" xr:uid="{56653742-7D03-4DB3-A6E9-087715E091B4}"/>
    <cellStyle name="20% - Accent5 3 2 2 3" xfId="4957" xr:uid="{00000000-0005-0000-0000-0000D7020000}"/>
    <cellStyle name="20% - Accent5 3 2 2 3 2" xfId="13399" xr:uid="{58B80B57-C1FC-494A-80BD-820D27AEEACF}"/>
    <cellStyle name="20% - Accent5 3 2 2 3 3" xfId="21845" xr:uid="{C003C54A-E584-42C1-82F1-7FE94FCE0D76}"/>
    <cellStyle name="20% - Accent5 3 2 2 4" xfId="9181" xr:uid="{3EDB482E-2D53-4C64-BB1E-2F210D5F3B91}"/>
    <cellStyle name="20% - Accent5 3 2 2 5" xfId="17626" xr:uid="{97FA64AB-F01A-478E-A5D8-9D0E7CBA0306}"/>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00EE4753-D855-4066-B536-30E5550088A9}"/>
    <cellStyle name="20% - Accent5 3 2 3 2 2 3" xfId="24403" xr:uid="{CC58A03E-AB29-41A1-9DB5-F35B206FE8EC}"/>
    <cellStyle name="20% - Accent5 3 2 3 2 3" xfId="11739" xr:uid="{264B3B61-BBA8-4B6C-80C4-6DF1701CBDE0}"/>
    <cellStyle name="20% - Accent5 3 2 3 2 4" xfId="20186" xr:uid="{2D3BFCFD-C876-41ED-AE09-DA82F8B4A59B}"/>
    <cellStyle name="20% - Accent5 3 2 3 3" xfId="5370" xr:uid="{00000000-0005-0000-0000-0000DB020000}"/>
    <cellStyle name="20% - Accent5 3 2 3 3 2" xfId="13812" xr:uid="{52E34465-87A2-4E0F-B17C-E2938090B9FB}"/>
    <cellStyle name="20% - Accent5 3 2 3 3 3" xfId="22258" xr:uid="{9C957DE5-4812-49DC-B76D-27377BE3CACD}"/>
    <cellStyle name="20% - Accent5 3 2 3 4" xfId="9594" xr:uid="{43365608-CA29-405F-9570-6F35BD7B1251}"/>
    <cellStyle name="20% - Accent5 3 2 3 5" xfId="18039" xr:uid="{2C445E86-26D2-4124-843C-9062239819F3}"/>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DF8746D8-161B-4C7D-895E-D1CB485A157B}"/>
    <cellStyle name="20% - Accent5 3 2 4 2 2 3" xfId="24816" xr:uid="{08BB4A2D-6C3C-4868-95FC-C498601B0CBA}"/>
    <cellStyle name="20% - Accent5 3 2 4 2 3" xfId="12152" xr:uid="{AFB964D8-51F9-428D-B982-5BBEDC77E3E2}"/>
    <cellStyle name="20% - Accent5 3 2 4 2 4" xfId="20599" xr:uid="{ED9378CF-7952-469B-91FC-9566396FEC21}"/>
    <cellStyle name="20% - Accent5 3 2 4 3" xfId="5783" xr:uid="{00000000-0005-0000-0000-0000DF020000}"/>
    <cellStyle name="20% - Accent5 3 2 4 3 2" xfId="14225" xr:uid="{8BD3D588-39D9-410C-87C1-056CE3A1A473}"/>
    <cellStyle name="20% - Accent5 3 2 4 3 3" xfId="22671" xr:uid="{9C589744-9F70-41D3-AADA-765D62D18B1B}"/>
    <cellStyle name="20% - Accent5 3 2 4 4" xfId="10007" xr:uid="{B5D2E834-E684-47C2-93D0-26B6D8FD50D4}"/>
    <cellStyle name="20% - Accent5 3 2 4 5" xfId="18452" xr:uid="{BCCFB650-0B08-4158-A40C-637C66A0E808}"/>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3197A41C-2469-4730-9774-1E02B51BED14}"/>
    <cellStyle name="20% - Accent5 3 2 5 2 2 3" xfId="25229" xr:uid="{FB6DD444-EEA4-4CF9-9A21-142809A214B1}"/>
    <cellStyle name="20% - Accent5 3 2 5 2 3" xfId="12565" xr:uid="{4FFADAB8-0EA3-4827-8027-9EC22480226D}"/>
    <cellStyle name="20% - Accent5 3 2 5 2 4" xfId="21012" xr:uid="{2EDAA255-B1FB-47EE-A8A6-E1CC10657455}"/>
    <cellStyle name="20% - Accent5 3 2 5 3" xfId="6196" xr:uid="{00000000-0005-0000-0000-0000E3020000}"/>
    <cellStyle name="20% - Accent5 3 2 5 3 2" xfId="14638" xr:uid="{F16EF1BF-986D-4B10-9276-AC5A56625758}"/>
    <cellStyle name="20% - Accent5 3 2 5 3 3" xfId="23084" xr:uid="{6BB6753D-2E26-46E8-9355-C434BC556374}"/>
    <cellStyle name="20% - Accent5 3 2 5 4" xfId="10420" xr:uid="{449DD415-DA33-4B3E-848F-D2C629F0211D}"/>
    <cellStyle name="20% - Accent5 3 2 5 5" xfId="18865" xr:uid="{1C5E5541-E4B0-44F7-BE3D-2CC261205439}"/>
    <cellStyle name="20% - Accent5 3 2 6" xfId="2302" xr:uid="{00000000-0005-0000-0000-0000E4020000}"/>
    <cellStyle name="20% - Accent5 3 2 6 2" xfId="6609" xr:uid="{00000000-0005-0000-0000-0000E5020000}"/>
    <cellStyle name="20% - Accent5 3 2 6 2 2" xfId="15051" xr:uid="{D9E4A225-B9A8-4D22-8106-37E3C3A35579}"/>
    <cellStyle name="20% - Accent5 3 2 6 2 3" xfId="23497" xr:uid="{E6F13028-E848-4341-9007-76CA5AE5CB8D}"/>
    <cellStyle name="20% - Accent5 3 2 6 3" xfId="10833" xr:uid="{74ED3F0C-5D94-491A-8429-D6AB95D628F2}"/>
    <cellStyle name="20% - Accent5 3 2 6 4" xfId="19278" xr:uid="{1B3CA23B-4C5E-47E5-A017-25A908121CDC}"/>
    <cellStyle name="20% - Accent5 3 2 7" xfId="4543" xr:uid="{00000000-0005-0000-0000-0000E6020000}"/>
    <cellStyle name="20% - Accent5 3 2 7 2" xfId="12985" xr:uid="{2F2B46B7-4266-4447-99DE-8F43FF0937D4}"/>
    <cellStyle name="20% - Accent5 3 2 7 3" xfId="21431" xr:uid="{180B59A8-DF11-4D07-AF28-A0038BBF92E6}"/>
    <cellStyle name="20% - Accent5 3 2 8" xfId="8767" xr:uid="{1FB62393-6B9B-4C20-B627-00BD2C5EDF68}"/>
    <cellStyle name="20% - Accent5 3 2 9" xfId="17209" xr:uid="{1B346088-C569-4E3E-AECA-F974484AACE3}"/>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11EA1646-15CC-42C6-9F78-3BA5341030E9}"/>
    <cellStyle name="20% - Accent5 3 3 2 2 3" xfId="23989" xr:uid="{E6D1256F-282C-469E-9C93-58715972A549}"/>
    <cellStyle name="20% - Accent5 3 3 2 3" xfId="11325" xr:uid="{743E1A8B-2D93-4EC9-BE55-7FD1A8710070}"/>
    <cellStyle name="20% - Accent5 3 3 2 4" xfId="19772" xr:uid="{A8C46169-498B-4582-AFD0-24D97A9A0214}"/>
    <cellStyle name="20% - Accent5 3 3 3" xfId="4956" xr:uid="{00000000-0005-0000-0000-0000EA020000}"/>
    <cellStyle name="20% - Accent5 3 3 3 2" xfId="13398" xr:uid="{9BF5EB66-4FF8-4BF1-B6CA-F624DC793B60}"/>
    <cellStyle name="20% - Accent5 3 3 3 3" xfId="21844" xr:uid="{03AEC7A8-BA99-4503-AF2F-F377A068B239}"/>
    <cellStyle name="20% - Accent5 3 3 4" xfId="9180" xr:uid="{6E09E25E-C7C8-4B01-95F1-D8C7773ECE1A}"/>
    <cellStyle name="20% - Accent5 3 3 5" xfId="17625" xr:uid="{690D39C2-737D-4FC0-A859-09B9DDDB6F73}"/>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D8A1544C-8502-4928-BB29-044722F90B5B}"/>
    <cellStyle name="20% - Accent5 3 4 2 2 3" xfId="24402" xr:uid="{388A5129-A3FA-41AE-A2FD-9B4E9CE29B3F}"/>
    <cellStyle name="20% - Accent5 3 4 2 3" xfId="11738" xr:uid="{525F4B70-2866-4514-B1EC-B0A7030C2F5B}"/>
    <cellStyle name="20% - Accent5 3 4 2 4" xfId="20185" xr:uid="{A3B8D1C5-AC2F-4B59-8FA1-1D0F7DEBA02B}"/>
    <cellStyle name="20% - Accent5 3 4 3" xfId="5369" xr:uid="{00000000-0005-0000-0000-0000EE020000}"/>
    <cellStyle name="20% - Accent5 3 4 3 2" xfId="13811" xr:uid="{FD838C27-D9E0-4748-9B13-E715E91FAD99}"/>
    <cellStyle name="20% - Accent5 3 4 3 3" xfId="22257" xr:uid="{238D1048-C088-47AC-BB44-F7C9465217DE}"/>
    <cellStyle name="20% - Accent5 3 4 4" xfId="9593" xr:uid="{8B4F33A1-46EA-483F-8BB1-1C0344A7230F}"/>
    <cellStyle name="20% - Accent5 3 4 5" xfId="18038" xr:uid="{0CDE1F08-8A68-46CC-AB83-8FFD442CBAA0}"/>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27E81837-67FE-44D7-921B-53AF77D3BA2D}"/>
    <cellStyle name="20% - Accent5 3 5 2 2 3" xfId="24815" xr:uid="{E9E0ED96-F984-46F3-A612-7E58B49B9BA5}"/>
    <cellStyle name="20% - Accent5 3 5 2 3" xfId="12151" xr:uid="{DD406990-CCAB-47B3-8048-D7524B235957}"/>
    <cellStyle name="20% - Accent5 3 5 2 4" xfId="20598" xr:uid="{DCB227FA-B68C-4958-9AFB-7F4A45B4BFB4}"/>
    <cellStyle name="20% - Accent5 3 5 3" xfId="5782" xr:uid="{00000000-0005-0000-0000-0000F2020000}"/>
    <cellStyle name="20% - Accent5 3 5 3 2" xfId="14224" xr:uid="{EB420173-763E-4172-A9DB-A88EE754B94A}"/>
    <cellStyle name="20% - Accent5 3 5 3 3" xfId="22670" xr:uid="{C4B8E9D0-D972-41B7-955A-336D6A219B9B}"/>
    <cellStyle name="20% - Accent5 3 5 4" xfId="10006" xr:uid="{89306D5B-BF53-4B51-8AFA-CFD031AA3B11}"/>
    <cellStyle name="20% - Accent5 3 5 5" xfId="18451" xr:uid="{5F03A248-724A-4870-A1C2-9B5978D5F493}"/>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6A2457EB-CE7A-4F62-B5DD-A535478A8B83}"/>
    <cellStyle name="20% - Accent5 3 6 2 2 3" xfId="25228" xr:uid="{3AEFB6B8-A088-44EA-90D4-CD8655413A3B}"/>
    <cellStyle name="20% - Accent5 3 6 2 3" xfId="12564" xr:uid="{CFCDCA2C-84A2-412B-80F7-BA164611ACCC}"/>
    <cellStyle name="20% - Accent5 3 6 2 4" xfId="21011" xr:uid="{FF4981E6-7B89-4C16-A618-34DE3CE40DA1}"/>
    <cellStyle name="20% - Accent5 3 6 3" xfId="6195" xr:uid="{00000000-0005-0000-0000-0000F6020000}"/>
    <cellStyle name="20% - Accent5 3 6 3 2" xfId="14637" xr:uid="{943A1DA6-6CFA-4A39-8551-CE98D6F9F40D}"/>
    <cellStyle name="20% - Accent5 3 6 3 3" xfId="23083" xr:uid="{EFA5F5FE-8F6B-4BD7-975E-A72CA77BEBD0}"/>
    <cellStyle name="20% - Accent5 3 6 4" xfId="10419" xr:uid="{67390163-26EA-4EB0-BA86-65F35DCF4980}"/>
    <cellStyle name="20% - Accent5 3 6 5" xfId="18864" xr:uid="{365F35D0-3E09-4689-88AD-7220C8F99E18}"/>
    <cellStyle name="20% - Accent5 3 7" xfId="2301" xr:uid="{00000000-0005-0000-0000-0000F7020000}"/>
    <cellStyle name="20% - Accent5 3 7 2" xfId="6608" xr:uid="{00000000-0005-0000-0000-0000F8020000}"/>
    <cellStyle name="20% - Accent5 3 7 2 2" xfId="15050" xr:uid="{5C06B9D9-3296-42FA-B00E-E1D4CE4CEA80}"/>
    <cellStyle name="20% - Accent5 3 7 2 3" xfId="23496" xr:uid="{BEC97CAE-0EE2-4ED0-852B-69BD1EEBCA18}"/>
    <cellStyle name="20% - Accent5 3 7 3" xfId="10832" xr:uid="{8A22F4DF-91C7-4F17-B572-8ED224D8299D}"/>
    <cellStyle name="20% - Accent5 3 7 4" xfId="19277" xr:uid="{F3914FE4-CDE2-4157-B22C-7C6DE79C7B46}"/>
    <cellStyle name="20% - Accent5 3 8" xfId="4542" xr:uid="{00000000-0005-0000-0000-0000F9020000}"/>
    <cellStyle name="20% - Accent5 3 8 2" xfId="12984" xr:uid="{004281AF-9D62-473B-910E-0D8FF4C53F62}"/>
    <cellStyle name="20% - Accent5 3 8 3" xfId="21430" xr:uid="{ACA480A0-5949-4379-B93C-25E7638C5ED7}"/>
    <cellStyle name="20% - Accent5 3 9" xfId="8766" xr:uid="{FA5FCDCD-9A91-4755-8C5F-274D76294DD3}"/>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01D1CCE2-09F9-4E23-AB5C-2825731DDE67}"/>
    <cellStyle name="20% - Accent5 4 2 2 2 3" xfId="23991" xr:uid="{F3853B14-2BD2-45E9-BF1E-F4F9EBC9F639}"/>
    <cellStyle name="20% - Accent5 4 2 2 3" xfId="11327" xr:uid="{F672803C-F0A9-4275-B489-BF6A48B1BCAF}"/>
    <cellStyle name="20% - Accent5 4 2 2 4" xfId="19774" xr:uid="{67FE66C8-B5CA-4E28-B014-89E386B79BE8}"/>
    <cellStyle name="20% - Accent5 4 2 3" xfId="4958" xr:uid="{00000000-0005-0000-0000-0000FE020000}"/>
    <cellStyle name="20% - Accent5 4 2 3 2" xfId="13400" xr:uid="{28E4212C-05DF-4AF9-A37D-358180864DD2}"/>
    <cellStyle name="20% - Accent5 4 2 3 3" xfId="21846" xr:uid="{BE618360-DE4B-4E22-8E60-3280DA8AA105}"/>
    <cellStyle name="20% - Accent5 4 2 4" xfId="9182" xr:uid="{F0E8626D-3409-47C5-80F6-6D96A36C9C92}"/>
    <cellStyle name="20% - Accent5 4 2 5" xfId="17627" xr:uid="{9AF860B5-6068-4408-84A3-5D2C589DAE66}"/>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35825CE0-659C-43D1-A99C-3CDD46CB61CA}"/>
    <cellStyle name="20% - Accent5 4 3 2 2 3" xfId="24404" xr:uid="{C177583F-3521-4CAC-AB3D-0491761B5F84}"/>
    <cellStyle name="20% - Accent5 4 3 2 3" xfId="11740" xr:uid="{AB1FF35C-F88C-4F7F-9B7B-A65455103D25}"/>
    <cellStyle name="20% - Accent5 4 3 2 4" xfId="20187" xr:uid="{BEBAB312-A1C6-486D-972B-E1D50B0372FB}"/>
    <cellStyle name="20% - Accent5 4 3 3" xfId="5371" xr:uid="{00000000-0005-0000-0000-000002030000}"/>
    <cellStyle name="20% - Accent5 4 3 3 2" xfId="13813" xr:uid="{FD84941C-CC99-4A01-BB4C-7803917EDB8D}"/>
    <cellStyle name="20% - Accent5 4 3 3 3" xfId="22259" xr:uid="{A039F927-9BB7-4A53-921C-DE12FD59A1E3}"/>
    <cellStyle name="20% - Accent5 4 3 4" xfId="9595" xr:uid="{1AFEC0AC-088F-44BC-9B0C-6EDBB6C530F0}"/>
    <cellStyle name="20% - Accent5 4 3 5" xfId="18040" xr:uid="{DFD44F30-E244-4851-846C-514888E3CAF7}"/>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D52CA028-6479-46F2-8AC2-2B509B3E06F5}"/>
    <cellStyle name="20% - Accent5 4 4 2 2 3" xfId="24817" xr:uid="{7EA594DE-7EFF-4452-81C4-ABEA0C374FB9}"/>
    <cellStyle name="20% - Accent5 4 4 2 3" xfId="12153" xr:uid="{BA96A2CD-2392-4968-A167-EAE4F964928C}"/>
    <cellStyle name="20% - Accent5 4 4 2 4" xfId="20600" xr:uid="{07024A59-A2AD-4EA0-B2B3-BFC687400097}"/>
    <cellStyle name="20% - Accent5 4 4 3" xfId="5784" xr:uid="{00000000-0005-0000-0000-000006030000}"/>
    <cellStyle name="20% - Accent5 4 4 3 2" xfId="14226" xr:uid="{F1A2313F-D270-487D-8FAB-F8C280C31809}"/>
    <cellStyle name="20% - Accent5 4 4 3 3" xfId="22672" xr:uid="{CB360718-DF0F-43A6-B611-706606F03CAA}"/>
    <cellStyle name="20% - Accent5 4 4 4" xfId="10008" xr:uid="{DD1F4CFB-9CF0-40AF-A249-2B12145676C6}"/>
    <cellStyle name="20% - Accent5 4 4 5" xfId="18453" xr:uid="{CD7B3EB0-1B67-492A-AF2D-30FCEDD58258}"/>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23858870-B88B-401E-925C-D070EA427ED2}"/>
    <cellStyle name="20% - Accent5 4 5 2 2 3" xfId="25230" xr:uid="{6E098F98-EE1A-4A5A-9D6F-66C1DD784E6A}"/>
    <cellStyle name="20% - Accent5 4 5 2 3" xfId="12566" xr:uid="{E911B58B-23B4-4341-96E9-FEF421534463}"/>
    <cellStyle name="20% - Accent5 4 5 2 4" xfId="21013" xr:uid="{ABA49A38-9F63-4CDA-9892-57EFA5943A3D}"/>
    <cellStyle name="20% - Accent5 4 5 3" xfId="6197" xr:uid="{00000000-0005-0000-0000-00000A030000}"/>
    <cellStyle name="20% - Accent5 4 5 3 2" xfId="14639" xr:uid="{F7E3E76B-2290-4323-879D-99BACEFF0D71}"/>
    <cellStyle name="20% - Accent5 4 5 3 3" xfId="23085" xr:uid="{C514C906-885E-4D11-A951-5B4E8CDCE322}"/>
    <cellStyle name="20% - Accent5 4 5 4" xfId="10421" xr:uid="{B2492D9B-1363-4811-88E7-14130905D4ED}"/>
    <cellStyle name="20% - Accent5 4 5 5" xfId="18866" xr:uid="{FA5C17F7-4425-4D23-AEA0-BBE904E3DE0A}"/>
    <cellStyle name="20% - Accent5 4 6" xfId="2303" xr:uid="{00000000-0005-0000-0000-00000B030000}"/>
    <cellStyle name="20% - Accent5 4 6 2" xfId="6610" xr:uid="{00000000-0005-0000-0000-00000C030000}"/>
    <cellStyle name="20% - Accent5 4 6 2 2" xfId="15052" xr:uid="{6088B797-77FE-4CE0-B4DC-91316CF35711}"/>
    <cellStyle name="20% - Accent5 4 6 2 3" xfId="23498" xr:uid="{4845F161-9B8D-48AE-8F63-D38B3C5E1AEF}"/>
    <cellStyle name="20% - Accent5 4 6 3" xfId="10834" xr:uid="{6E57B29F-4764-49C2-A2B8-A097669ED19E}"/>
    <cellStyle name="20% - Accent5 4 6 4" xfId="19279" xr:uid="{C84FED6E-9DB2-4AC6-ABFC-4DB6FA1DA2BB}"/>
    <cellStyle name="20% - Accent5 4 7" xfId="4544" xr:uid="{00000000-0005-0000-0000-00000D030000}"/>
    <cellStyle name="20% - Accent5 4 7 2" xfId="12986" xr:uid="{888BA04B-20A5-4778-8F09-2674F36D5186}"/>
    <cellStyle name="20% - Accent5 4 7 3" xfId="21432" xr:uid="{22E2D3DF-57F8-462C-8A4C-069AF007765F}"/>
    <cellStyle name="20% - Accent5 4 8" xfId="8768" xr:uid="{AAE683EC-9C78-402C-AFA5-D7F3C260474F}"/>
    <cellStyle name="20% - Accent5 4 9" xfId="17210" xr:uid="{21D72B9D-3519-4618-809C-C43EA7D21653}"/>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DC96CF29-582C-40D4-B67F-DA89D6E4FFEC}"/>
    <cellStyle name="20% - Accent5 5 2 2 3" xfId="23984" xr:uid="{3F5F74D5-9ECD-418B-BA17-E6B5280C0A6B}"/>
    <cellStyle name="20% - Accent5 5 2 3" xfId="11320" xr:uid="{7FA8C4C9-92CF-4AD8-BD28-0CA37684DFA7}"/>
    <cellStyle name="20% - Accent5 5 2 4" xfId="19767" xr:uid="{56523395-FF3E-4D12-B460-5B0502410508}"/>
    <cellStyle name="20% - Accent5 5 3" xfId="4951" xr:uid="{00000000-0005-0000-0000-000011030000}"/>
    <cellStyle name="20% - Accent5 5 3 2" xfId="13393" xr:uid="{D1225FFB-D673-4BFF-98DB-291ED11E8FF9}"/>
    <cellStyle name="20% - Accent5 5 3 3" xfId="21839" xr:uid="{F7A41B45-278F-47F5-90B5-306CFCE558F0}"/>
    <cellStyle name="20% - Accent5 5 4" xfId="9175" xr:uid="{58589488-19A2-44DF-9051-26E7CF1F1EDA}"/>
    <cellStyle name="20% - Accent5 5 5" xfId="17620" xr:uid="{80CFB2BD-46FE-4553-9808-428D14A2E632}"/>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F072683C-6BF9-4180-A73C-0AAF08DDD35C}"/>
    <cellStyle name="20% - Accent5 6 2 2 3" xfId="24397" xr:uid="{9F497A55-2944-4442-AB90-D0B36EAAE3EF}"/>
    <cellStyle name="20% - Accent5 6 2 3" xfId="11733" xr:uid="{59F68D2D-93F2-4C6F-9DC2-4BD43AB75D28}"/>
    <cellStyle name="20% - Accent5 6 2 4" xfId="20180" xr:uid="{56B3E14C-9A1C-4D9F-9987-6D1586856B58}"/>
    <cellStyle name="20% - Accent5 6 3" xfId="5364" xr:uid="{00000000-0005-0000-0000-000015030000}"/>
    <cellStyle name="20% - Accent5 6 3 2" xfId="13806" xr:uid="{796D6554-F6E5-4343-8F09-431204DF29D3}"/>
    <cellStyle name="20% - Accent5 6 3 3" xfId="22252" xr:uid="{6289B1B8-FECD-44A4-91FD-576239D2617E}"/>
    <cellStyle name="20% - Accent5 6 4" xfId="9588" xr:uid="{3ED691C4-4B43-4220-8904-D0BA955CA737}"/>
    <cellStyle name="20% - Accent5 6 5" xfId="18033" xr:uid="{218D49B1-C555-43FF-867D-1966B0B14BA5}"/>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6477F40C-F18D-4949-85EF-56DBC7B46B5C}"/>
    <cellStyle name="20% - Accent5 7 2 2 3" xfId="24810" xr:uid="{37260756-F511-4E30-A2DB-8817D3F1AF24}"/>
    <cellStyle name="20% - Accent5 7 2 3" xfId="12146" xr:uid="{776AD417-7443-4CD7-98D3-C34E04F16825}"/>
    <cellStyle name="20% - Accent5 7 2 4" xfId="20593" xr:uid="{AB27793A-445C-4AB7-BD34-705C3CE5B5EC}"/>
    <cellStyle name="20% - Accent5 7 3" xfId="5777" xr:uid="{00000000-0005-0000-0000-000019030000}"/>
    <cellStyle name="20% - Accent5 7 3 2" xfId="14219" xr:uid="{7224F9F7-DCCE-4537-A1D6-CA97114491F1}"/>
    <cellStyle name="20% - Accent5 7 3 3" xfId="22665" xr:uid="{6F34DF3B-26D1-44D3-BF01-4E47E4975EB1}"/>
    <cellStyle name="20% - Accent5 7 4" xfId="10001" xr:uid="{5571EAC2-9BAB-4E53-885A-6CDC9640E32C}"/>
    <cellStyle name="20% - Accent5 7 5" xfId="18446" xr:uid="{44E5B8F2-0FCE-4569-B834-377E6CB9578D}"/>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5AB98019-E400-4E8F-9BED-31D978CA254B}"/>
    <cellStyle name="20% - Accent5 8 2 2 3" xfId="25223" xr:uid="{BDBA3920-13D3-4FA2-8500-A6D8596B10AB}"/>
    <cellStyle name="20% - Accent5 8 2 3" xfId="12559" xr:uid="{421FD733-BB8D-492A-83C1-C42C3019EA79}"/>
    <cellStyle name="20% - Accent5 8 2 4" xfId="21006" xr:uid="{E60185E0-359B-4D6C-B18C-CED6876D04DF}"/>
    <cellStyle name="20% - Accent5 8 3" xfId="6190" xr:uid="{00000000-0005-0000-0000-00001D030000}"/>
    <cellStyle name="20% - Accent5 8 3 2" xfId="14632" xr:uid="{B9AF980A-C708-4081-A52C-12E6B7871C2F}"/>
    <cellStyle name="20% - Accent5 8 3 3" xfId="23078" xr:uid="{F4423307-9ADF-4894-8127-F23D8FB2CD17}"/>
    <cellStyle name="20% - Accent5 8 4" xfId="10414" xr:uid="{E85F3C85-4AC7-4916-978C-95310F82E41D}"/>
    <cellStyle name="20% - Accent5 8 5" xfId="18859" xr:uid="{29E343EB-3C33-4676-8ED9-43654273E81F}"/>
    <cellStyle name="20% - Accent5 9" xfId="2296" xr:uid="{00000000-0005-0000-0000-00001E030000}"/>
    <cellStyle name="20% - Accent5 9 2" xfId="6603" xr:uid="{00000000-0005-0000-0000-00001F030000}"/>
    <cellStyle name="20% - Accent5 9 2 2" xfId="15045" xr:uid="{AA26C5B2-B6A0-4C00-BA81-DE846B25FD78}"/>
    <cellStyle name="20% - Accent5 9 2 3" xfId="23491" xr:uid="{61A2758D-9FFE-412A-AF3A-74491D889B0E}"/>
    <cellStyle name="20% - Accent5 9 3" xfId="10827" xr:uid="{5F3723DD-0DDB-41D5-B44C-91F4D536A371}"/>
    <cellStyle name="20% - Accent5 9 4" xfId="19272" xr:uid="{B22781DD-AA8E-4558-BBB1-1FF9C6E6272E}"/>
    <cellStyle name="20% - Accent6" xfId="41" builtinId="50" customBuiltin="1"/>
    <cellStyle name="20% - Accent6 10" xfId="4545" xr:uid="{00000000-0005-0000-0000-000021030000}"/>
    <cellStyle name="20% - Accent6 10 2" xfId="12987" xr:uid="{8386FA8A-9938-4D70-AF92-C07F6093825F}"/>
    <cellStyle name="20% - Accent6 10 3" xfId="21433" xr:uid="{CA06F237-56C8-4A70-A6DE-7E1CFFB783C2}"/>
    <cellStyle name="20% - Accent6 11" xfId="8769" xr:uid="{66247F6A-0CD3-4E47-9CB0-4920763ADBD1}"/>
    <cellStyle name="20% - Accent6 12" xfId="17211" xr:uid="{D76E3B6F-F613-4AC8-90AD-6988F7A1749C}"/>
    <cellStyle name="20% - Accent6 2" xfId="42" xr:uid="{00000000-0005-0000-0000-000022030000}"/>
    <cellStyle name="20% - Accent6 2 10" xfId="8770" xr:uid="{4F7B1049-E11C-4A4A-A2A4-6186EC4257CE}"/>
    <cellStyle name="20% - Accent6 2 11" xfId="17212" xr:uid="{D3D5EA23-7C34-4562-A706-9464FFE1D07F}"/>
    <cellStyle name="20% - Accent6 2 2" xfId="43" xr:uid="{00000000-0005-0000-0000-000023030000}"/>
    <cellStyle name="20% - Accent6 2 2 10" xfId="17213" xr:uid="{50FFC5B9-AC6D-4614-943E-5245F6C4038F}"/>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21F944C8-9770-4DA6-B397-97A8B0D4620B}"/>
    <cellStyle name="20% - Accent6 2 2 2 2 2 2 3" xfId="23995" xr:uid="{BCBA051B-4B78-4661-9E73-F6CC09397B38}"/>
    <cellStyle name="20% - Accent6 2 2 2 2 2 3" xfId="11331" xr:uid="{D186690D-E4F6-4B71-B328-AB755716DBA4}"/>
    <cellStyle name="20% - Accent6 2 2 2 2 2 4" xfId="19778" xr:uid="{9F9D59E5-E03E-4957-B524-BB0DB11B7653}"/>
    <cellStyle name="20% - Accent6 2 2 2 2 3" xfId="4962" xr:uid="{00000000-0005-0000-0000-000028030000}"/>
    <cellStyle name="20% - Accent6 2 2 2 2 3 2" xfId="13404" xr:uid="{767126AF-5537-48EC-92F3-74D7CD169F77}"/>
    <cellStyle name="20% - Accent6 2 2 2 2 3 3" xfId="21850" xr:uid="{6DE84768-1539-493B-B237-D4D13676AD37}"/>
    <cellStyle name="20% - Accent6 2 2 2 2 4" xfId="9186" xr:uid="{602C79C2-7C04-4AE1-88D6-A4539467CFB3}"/>
    <cellStyle name="20% - Accent6 2 2 2 2 5" xfId="17631" xr:uid="{72653E76-7861-4B74-966F-3135F1C95D47}"/>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FA1428B0-0797-45C0-A250-BB7A8889AE5F}"/>
    <cellStyle name="20% - Accent6 2 2 2 3 2 2 3" xfId="24408" xr:uid="{F7016938-C30B-4D0A-9277-CDE916E627B8}"/>
    <cellStyle name="20% - Accent6 2 2 2 3 2 3" xfId="11744" xr:uid="{9EFE43C0-4278-4654-A8BF-625A87CE3CA8}"/>
    <cellStyle name="20% - Accent6 2 2 2 3 2 4" xfId="20191" xr:uid="{9CFC9B52-B458-4870-9EBF-A714CE9CBA0D}"/>
    <cellStyle name="20% - Accent6 2 2 2 3 3" xfId="5375" xr:uid="{00000000-0005-0000-0000-00002C030000}"/>
    <cellStyle name="20% - Accent6 2 2 2 3 3 2" xfId="13817" xr:uid="{2DD81FBB-CAF4-4066-8C1C-A887DD182E76}"/>
    <cellStyle name="20% - Accent6 2 2 2 3 3 3" xfId="22263" xr:uid="{209489F1-3A1E-4D0B-9B9F-2184C6ECA3BB}"/>
    <cellStyle name="20% - Accent6 2 2 2 3 4" xfId="9599" xr:uid="{B1FD1066-C75C-42FE-B9CC-BA3610AF8E5F}"/>
    <cellStyle name="20% - Accent6 2 2 2 3 5" xfId="18044" xr:uid="{10BDB941-5AE3-4BD3-A949-45CCD7E60A0D}"/>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03A3DDFF-175B-4C20-A850-DCCA9886AB16}"/>
    <cellStyle name="20% - Accent6 2 2 2 4 2 2 3" xfId="24821" xr:uid="{DA432E7C-59FC-4223-90C5-523D7ED21DDB}"/>
    <cellStyle name="20% - Accent6 2 2 2 4 2 3" xfId="12157" xr:uid="{0701106B-4E29-412B-BAA6-E30DFAFDB67F}"/>
    <cellStyle name="20% - Accent6 2 2 2 4 2 4" xfId="20604" xr:uid="{FC6D7383-20E6-45A9-B45B-F47B0661FB34}"/>
    <cellStyle name="20% - Accent6 2 2 2 4 3" xfId="5788" xr:uid="{00000000-0005-0000-0000-000030030000}"/>
    <cellStyle name="20% - Accent6 2 2 2 4 3 2" xfId="14230" xr:uid="{7B3BBD52-B010-4B6C-A17A-D6244BFA1171}"/>
    <cellStyle name="20% - Accent6 2 2 2 4 3 3" xfId="22676" xr:uid="{025104B4-AEC6-44E7-839A-24B13E757548}"/>
    <cellStyle name="20% - Accent6 2 2 2 4 4" xfId="10012" xr:uid="{B02C6F6F-E712-4119-B05F-563BD8CF048F}"/>
    <cellStyle name="20% - Accent6 2 2 2 4 5" xfId="18457" xr:uid="{A5BF22C5-3DB3-4B46-A29D-ECB1D281FD43}"/>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18DD4586-0E19-49EE-82E9-25DD1D93ECA0}"/>
    <cellStyle name="20% - Accent6 2 2 2 5 2 2 3" xfId="25234" xr:uid="{9CF19B9F-199F-4AD6-887B-252DC310CBDB}"/>
    <cellStyle name="20% - Accent6 2 2 2 5 2 3" xfId="12570" xr:uid="{6562DC77-7DF6-4A3C-9080-1D8BB4642FC8}"/>
    <cellStyle name="20% - Accent6 2 2 2 5 2 4" xfId="21017" xr:uid="{A01DB4A4-E2DD-49EF-9645-529CF7748206}"/>
    <cellStyle name="20% - Accent6 2 2 2 5 3" xfId="6201" xr:uid="{00000000-0005-0000-0000-000034030000}"/>
    <cellStyle name="20% - Accent6 2 2 2 5 3 2" xfId="14643" xr:uid="{31BCF166-B2E2-4E58-B557-AC976D613E88}"/>
    <cellStyle name="20% - Accent6 2 2 2 5 3 3" xfId="23089" xr:uid="{87E86851-A4B0-4C4E-A370-E308E618EDF3}"/>
    <cellStyle name="20% - Accent6 2 2 2 5 4" xfId="10425" xr:uid="{D017AF0A-8F88-400D-B995-55BBE7B93DC9}"/>
    <cellStyle name="20% - Accent6 2 2 2 5 5" xfId="18870" xr:uid="{7806F739-02B2-46E8-977B-2A43BA14BD14}"/>
    <cellStyle name="20% - Accent6 2 2 2 6" xfId="2307" xr:uid="{00000000-0005-0000-0000-000035030000}"/>
    <cellStyle name="20% - Accent6 2 2 2 6 2" xfId="6614" xr:uid="{00000000-0005-0000-0000-000036030000}"/>
    <cellStyle name="20% - Accent6 2 2 2 6 2 2" xfId="15056" xr:uid="{F52BBF71-0AB4-48D0-85F5-50CEDFDE116B}"/>
    <cellStyle name="20% - Accent6 2 2 2 6 2 3" xfId="23502" xr:uid="{5DF6FACD-B6D3-4C37-AF1B-C311325B634E}"/>
    <cellStyle name="20% - Accent6 2 2 2 6 3" xfId="10838" xr:uid="{E93D7C1A-B4C6-42B5-99E5-D2F0D91E46F7}"/>
    <cellStyle name="20% - Accent6 2 2 2 6 4" xfId="19283" xr:uid="{B75891C5-5809-4AEB-8C07-B86EEE7BF220}"/>
    <cellStyle name="20% - Accent6 2 2 2 7" xfId="4548" xr:uid="{00000000-0005-0000-0000-000037030000}"/>
    <cellStyle name="20% - Accent6 2 2 2 7 2" xfId="12990" xr:uid="{23F9FD6D-1C29-4EBC-A367-1EEED609B64D}"/>
    <cellStyle name="20% - Accent6 2 2 2 7 3" xfId="21436" xr:uid="{91B1F0A1-4F26-4F41-B35A-F5B39D8763A3}"/>
    <cellStyle name="20% - Accent6 2 2 2 8" xfId="8772" xr:uid="{AFE5FFBE-8D93-4977-BF2B-6B73162E083F}"/>
    <cellStyle name="20% - Accent6 2 2 2 9" xfId="17214" xr:uid="{1331BFE5-874A-4665-BD61-ABA541916343}"/>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156EF7CE-EDD6-48B7-AAB9-94151C344D7A}"/>
    <cellStyle name="20% - Accent6 2 2 3 2 2 3" xfId="23994" xr:uid="{726CD07C-CECC-4AD7-833C-1841AC8C8FB7}"/>
    <cellStyle name="20% - Accent6 2 2 3 2 3" xfId="11330" xr:uid="{4C96DD5C-9BC9-47DF-9C59-0EBC70C3A018}"/>
    <cellStyle name="20% - Accent6 2 2 3 2 4" xfId="19777" xr:uid="{C9BDCF77-0F3D-42C3-AC69-ABD48A9D6689}"/>
    <cellStyle name="20% - Accent6 2 2 3 3" xfId="4961" xr:uid="{00000000-0005-0000-0000-00003B030000}"/>
    <cellStyle name="20% - Accent6 2 2 3 3 2" xfId="13403" xr:uid="{0C88E8BF-7CB5-407B-85B3-7A5BAF89C64F}"/>
    <cellStyle name="20% - Accent6 2 2 3 3 3" xfId="21849" xr:uid="{DC6ED9B7-C921-4609-B7AD-F8E4082E75E8}"/>
    <cellStyle name="20% - Accent6 2 2 3 4" xfId="9185" xr:uid="{2EF43EF4-F0E2-4F8D-8D95-E3B32A6DE430}"/>
    <cellStyle name="20% - Accent6 2 2 3 5" xfId="17630" xr:uid="{600DC6D1-930A-40D9-A48D-448482CA1835}"/>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9AAF06FA-2F17-4781-86A8-6248DB437DB9}"/>
    <cellStyle name="20% - Accent6 2 2 4 2 2 3" xfId="24407" xr:uid="{D154FF52-D4C4-4BAF-9606-7372B7F6E95B}"/>
    <cellStyle name="20% - Accent6 2 2 4 2 3" xfId="11743" xr:uid="{C1EEB23E-64C4-46B2-B38F-DFD1CADBF866}"/>
    <cellStyle name="20% - Accent6 2 2 4 2 4" xfId="20190" xr:uid="{BDAE8A66-C982-4065-A95E-1D4858C352D5}"/>
    <cellStyle name="20% - Accent6 2 2 4 3" xfId="5374" xr:uid="{00000000-0005-0000-0000-00003F030000}"/>
    <cellStyle name="20% - Accent6 2 2 4 3 2" xfId="13816" xr:uid="{467FAD5E-EB67-4789-8E93-FAC527572DF9}"/>
    <cellStyle name="20% - Accent6 2 2 4 3 3" xfId="22262" xr:uid="{3A3F0454-89A9-401D-9E99-7126DA6EA75C}"/>
    <cellStyle name="20% - Accent6 2 2 4 4" xfId="9598" xr:uid="{9051D929-8AA6-4E99-A320-73B5D6898356}"/>
    <cellStyle name="20% - Accent6 2 2 4 5" xfId="18043" xr:uid="{00D024CF-395F-4DB4-9968-1ED63CBBDCF7}"/>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39812767-D8F3-49A7-B329-709E4DC9DAB0}"/>
    <cellStyle name="20% - Accent6 2 2 5 2 2 3" xfId="24820" xr:uid="{CF64B76D-D81F-4C24-B33A-AB073DF97316}"/>
    <cellStyle name="20% - Accent6 2 2 5 2 3" xfId="12156" xr:uid="{F7F87E3B-FFA5-4E1B-9C4F-B744E1FEC0FD}"/>
    <cellStyle name="20% - Accent6 2 2 5 2 4" xfId="20603" xr:uid="{5FFCF604-D208-46BC-99BD-CEA5DB1BCDB0}"/>
    <cellStyle name="20% - Accent6 2 2 5 3" xfId="5787" xr:uid="{00000000-0005-0000-0000-000043030000}"/>
    <cellStyle name="20% - Accent6 2 2 5 3 2" xfId="14229" xr:uid="{15C5BA50-CAC9-48E0-8B77-0DF67474B83B}"/>
    <cellStyle name="20% - Accent6 2 2 5 3 3" xfId="22675" xr:uid="{D9E15FE8-2C51-42AD-9762-7C9CDDA54035}"/>
    <cellStyle name="20% - Accent6 2 2 5 4" xfId="10011" xr:uid="{43486239-DC6B-4E02-B123-1D8D723109D9}"/>
    <cellStyle name="20% - Accent6 2 2 5 5" xfId="18456" xr:uid="{7D6F167C-5BBD-460B-A4C9-2A311F5D5D5D}"/>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FEFACC52-7EC1-4D59-B4AF-7C363A8F874F}"/>
    <cellStyle name="20% - Accent6 2 2 6 2 2 3" xfId="25233" xr:uid="{41E2FE74-4D16-4BEF-8E12-C331A553906D}"/>
    <cellStyle name="20% - Accent6 2 2 6 2 3" xfId="12569" xr:uid="{7A4E4835-69BE-443D-B727-818E687220C3}"/>
    <cellStyle name="20% - Accent6 2 2 6 2 4" xfId="21016" xr:uid="{D6651EFB-A730-4418-9DDC-33E79B633C9A}"/>
    <cellStyle name="20% - Accent6 2 2 6 3" xfId="6200" xr:uid="{00000000-0005-0000-0000-000047030000}"/>
    <cellStyle name="20% - Accent6 2 2 6 3 2" xfId="14642" xr:uid="{130B4850-821C-4BCB-A9EA-E83D10C39C54}"/>
    <cellStyle name="20% - Accent6 2 2 6 3 3" xfId="23088" xr:uid="{7C87412D-076F-450F-A126-A4AC6F7E33F9}"/>
    <cellStyle name="20% - Accent6 2 2 6 4" xfId="10424" xr:uid="{4A31E1D0-D195-42B8-BFAA-347FF9E1AFB7}"/>
    <cellStyle name="20% - Accent6 2 2 6 5" xfId="18869" xr:uid="{09F72E63-338A-4EA9-AD9D-F8E9132EA898}"/>
    <cellStyle name="20% - Accent6 2 2 7" xfId="2306" xr:uid="{00000000-0005-0000-0000-000048030000}"/>
    <cellStyle name="20% - Accent6 2 2 7 2" xfId="6613" xr:uid="{00000000-0005-0000-0000-000049030000}"/>
    <cellStyle name="20% - Accent6 2 2 7 2 2" xfId="15055" xr:uid="{584A5618-0A39-4642-9B35-52B903BB56EA}"/>
    <cellStyle name="20% - Accent6 2 2 7 2 3" xfId="23501" xr:uid="{F6BC6092-B7E2-4A48-9ACB-C9728103DC79}"/>
    <cellStyle name="20% - Accent6 2 2 7 3" xfId="10837" xr:uid="{D52FB721-3C5B-4D2A-9302-5ACF57B69757}"/>
    <cellStyle name="20% - Accent6 2 2 7 4" xfId="19282" xr:uid="{C49321C2-021E-48E5-B8FC-BD1828527E87}"/>
    <cellStyle name="20% - Accent6 2 2 8" xfId="4547" xr:uid="{00000000-0005-0000-0000-00004A030000}"/>
    <cellStyle name="20% - Accent6 2 2 8 2" xfId="12989" xr:uid="{8212D4E3-E3E3-41B4-B495-491894853E67}"/>
    <cellStyle name="20% - Accent6 2 2 8 3" xfId="21435" xr:uid="{CA2344A3-EC37-46A6-8313-245EF78D1D48}"/>
    <cellStyle name="20% - Accent6 2 2 9" xfId="8771" xr:uid="{7B5E42F1-D95E-4CF6-95D4-25B5F71A41DB}"/>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8A5212CA-E760-42B3-BC7A-D02F62255D5B}"/>
    <cellStyle name="20% - Accent6 2 3 2 2 2 3" xfId="23996" xr:uid="{00B5DBB8-C84E-4981-B6AA-F3F83DF6D971}"/>
    <cellStyle name="20% - Accent6 2 3 2 2 3" xfId="11332" xr:uid="{A8C14805-1EAD-4A0D-A0DD-C22D72134B28}"/>
    <cellStyle name="20% - Accent6 2 3 2 2 4" xfId="19779" xr:uid="{4A3B62C7-679B-4FFD-BBF2-A7C8CD9EB0CD}"/>
    <cellStyle name="20% - Accent6 2 3 2 3" xfId="4963" xr:uid="{00000000-0005-0000-0000-00004F030000}"/>
    <cellStyle name="20% - Accent6 2 3 2 3 2" xfId="13405" xr:uid="{11798B95-FE1B-43BA-B7AD-07DDBCFA8D1D}"/>
    <cellStyle name="20% - Accent6 2 3 2 3 3" xfId="21851" xr:uid="{59EBF509-A861-47A4-8CD6-FA438FC61232}"/>
    <cellStyle name="20% - Accent6 2 3 2 4" xfId="9187" xr:uid="{A2F3D7C0-8EA1-4393-8619-DEB04EFC4BA2}"/>
    <cellStyle name="20% - Accent6 2 3 2 5" xfId="17632" xr:uid="{59A05301-E1FF-40BA-8F89-54704BF0657E}"/>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53CD246C-E50B-4205-8301-FBA159B39449}"/>
    <cellStyle name="20% - Accent6 2 3 3 2 2 3" xfId="24409" xr:uid="{8A4A1956-53C4-4EB3-8946-11BDBC71E37A}"/>
    <cellStyle name="20% - Accent6 2 3 3 2 3" xfId="11745" xr:uid="{E2B37181-E9C3-41D7-980F-C5A49315B18F}"/>
    <cellStyle name="20% - Accent6 2 3 3 2 4" xfId="20192" xr:uid="{8474833F-F402-4164-A960-E48F7293CE4E}"/>
    <cellStyle name="20% - Accent6 2 3 3 3" xfId="5376" xr:uid="{00000000-0005-0000-0000-000053030000}"/>
    <cellStyle name="20% - Accent6 2 3 3 3 2" xfId="13818" xr:uid="{94C6F5F8-C84F-49EA-9187-A627CB6011C2}"/>
    <cellStyle name="20% - Accent6 2 3 3 3 3" xfId="22264" xr:uid="{655F3C62-F656-467F-A1C6-F299A254245A}"/>
    <cellStyle name="20% - Accent6 2 3 3 4" xfId="9600" xr:uid="{F63AAD83-D46C-4F0D-B3E9-98E7A6D24B85}"/>
    <cellStyle name="20% - Accent6 2 3 3 5" xfId="18045" xr:uid="{82A3406D-691B-4BBB-9BDE-AA481D41A536}"/>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9AEA61A5-61DF-406B-A9BF-D8867D0250B2}"/>
    <cellStyle name="20% - Accent6 2 3 4 2 2 3" xfId="24822" xr:uid="{81EAB3B6-3D69-47EF-8561-C0C972BEAFBE}"/>
    <cellStyle name="20% - Accent6 2 3 4 2 3" xfId="12158" xr:uid="{E6D1E745-D573-4F12-8680-60DB01958975}"/>
    <cellStyle name="20% - Accent6 2 3 4 2 4" xfId="20605" xr:uid="{73F59D2E-7921-4CBC-A7C6-347356BF348F}"/>
    <cellStyle name="20% - Accent6 2 3 4 3" xfId="5789" xr:uid="{00000000-0005-0000-0000-000057030000}"/>
    <cellStyle name="20% - Accent6 2 3 4 3 2" xfId="14231" xr:uid="{CB4AECF0-BE9C-45C7-AE90-FE9575FC5B63}"/>
    <cellStyle name="20% - Accent6 2 3 4 3 3" xfId="22677" xr:uid="{49368C43-3F07-49A1-B754-BEDA1303D004}"/>
    <cellStyle name="20% - Accent6 2 3 4 4" xfId="10013" xr:uid="{30D0AEFC-C636-4D87-9867-65480A15624E}"/>
    <cellStyle name="20% - Accent6 2 3 4 5" xfId="18458" xr:uid="{B2BE3918-16F9-45DB-9B5C-50A65C6A9F28}"/>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DA10BB9E-A694-4B98-AB17-19DBC1847C44}"/>
    <cellStyle name="20% - Accent6 2 3 5 2 2 3" xfId="25235" xr:uid="{0CC393D0-DCF3-48B3-8521-14D329B1207E}"/>
    <cellStyle name="20% - Accent6 2 3 5 2 3" xfId="12571" xr:uid="{39699CCF-A3E9-4514-9267-2387EF45AA5E}"/>
    <cellStyle name="20% - Accent6 2 3 5 2 4" xfId="21018" xr:uid="{1C9396FF-241A-4A8A-B590-4E4E697BABE5}"/>
    <cellStyle name="20% - Accent6 2 3 5 3" xfId="6202" xr:uid="{00000000-0005-0000-0000-00005B030000}"/>
    <cellStyle name="20% - Accent6 2 3 5 3 2" xfId="14644" xr:uid="{B319779F-EC59-45D3-AEEE-482B90740BD4}"/>
    <cellStyle name="20% - Accent6 2 3 5 3 3" xfId="23090" xr:uid="{CC587EF5-CECA-4042-8D33-ED82159577B3}"/>
    <cellStyle name="20% - Accent6 2 3 5 4" xfId="10426" xr:uid="{8BC678BA-0CFB-4279-BE5D-C004A19189D6}"/>
    <cellStyle name="20% - Accent6 2 3 5 5" xfId="18871" xr:uid="{4E170222-48C2-4772-A440-544E67A9E83C}"/>
    <cellStyle name="20% - Accent6 2 3 6" xfId="2308" xr:uid="{00000000-0005-0000-0000-00005C030000}"/>
    <cellStyle name="20% - Accent6 2 3 6 2" xfId="6615" xr:uid="{00000000-0005-0000-0000-00005D030000}"/>
    <cellStyle name="20% - Accent6 2 3 6 2 2" xfId="15057" xr:uid="{3F8C78E6-2392-4AB7-B071-35DD0150D18E}"/>
    <cellStyle name="20% - Accent6 2 3 6 2 3" xfId="23503" xr:uid="{4029676F-5385-4E3B-915C-15E5244A328A}"/>
    <cellStyle name="20% - Accent6 2 3 6 3" xfId="10839" xr:uid="{CB913ADC-0CA3-44BE-A342-30CB860F0E48}"/>
    <cellStyle name="20% - Accent6 2 3 6 4" xfId="19284" xr:uid="{0A70C66C-2F9E-42EC-8CC4-4D8249DA4FB7}"/>
    <cellStyle name="20% - Accent6 2 3 7" xfId="4549" xr:uid="{00000000-0005-0000-0000-00005E030000}"/>
    <cellStyle name="20% - Accent6 2 3 7 2" xfId="12991" xr:uid="{7ACA5036-57BE-4014-94D2-97B88E19989F}"/>
    <cellStyle name="20% - Accent6 2 3 7 3" xfId="21437" xr:uid="{FE3A75B3-6572-4B37-B9FD-292E2532EF6C}"/>
    <cellStyle name="20% - Accent6 2 3 8" xfId="8773" xr:uid="{12C2E4AC-3750-4BCC-A40A-6AC48B239FD3}"/>
    <cellStyle name="20% - Accent6 2 3 9" xfId="17215" xr:uid="{4C05F136-937C-46AF-972B-CF4D306FE2FB}"/>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CA28F7B3-85D2-4DB1-9DD7-E6A00CB38971}"/>
    <cellStyle name="20% - Accent6 2 4 2 2 3" xfId="23993" xr:uid="{74686E74-AA43-4750-8105-09FC1D830853}"/>
    <cellStyle name="20% - Accent6 2 4 2 3" xfId="11329" xr:uid="{EB3252F3-9868-470A-B5B2-C027E8927A1B}"/>
    <cellStyle name="20% - Accent6 2 4 2 4" xfId="19776" xr:uid="{D4E5020A-FE6F-4FFF-955C-EA31C8E4C75B}"/>
    <cellStyle name="20% - Accent6 2 4 3" xfId="4960" xr:uid="{00000000-0005-0000-0000-000062030000}"/>
    <cellStyle name="20% - Accent6 2 4 3 2" xfId="13402" xr:uid="{9D6281B3-FE06-4880-9DCF-2BCB3D163680}"/>
    <cellStyle name="20% - Accent6 2 4 3 3" xfId="21848" xr:uid="{F0F31EF9-437E-46A5-93C0-88DF6D505F02}"/>
    <cellStyle name="20% - Accent6 2 4 4" xfId="9184" xr:uid="{E0C1A7BD-0182-4254-B11C-5E8FFEFC058B}"/>
    <cellStyle name="20% - Accent6 2 4 5" xfId="17629" xr:uid="{CF197F4E-1155-40A9-94CA-5883D0690283}"/>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1735BD0D-CB7F-4104-9841-8422CAE70D8C}"/>
    <cellStyle name="20% - Accent6 2 5 2 2 3" xfId="24406" xr:uid="{6C77C7FB-BAC7-4793-8AE6-D85786791DBC}"/>
    <cellStyle name="20% - Accent6 2 5 2 3" xfId="11742" xr:uid="{0837C157-9901-47A8-B26F-1CF84C119D20}"/>
    <cellStyle name="20% - Accent6 2 5 2 4" xfId="20189" xr:uid="{EA89A5A9-E876-4B20-9DD0-6D4B8878BA15}"/>
    <cellStyle name="20% - Accent6 2 5 3" xfId="5373" xr:uid="{00000000-0005-0000-0000-000066030000}"/>
    <cellStyle name="20% - Accent6 2 5 3 2" xfId="13815" xr:uid="{3DB27DF1-7348-4646-944E-4AE6D38426F0}"/>
    <cellStyle name="20% - Accent6 2 5 3 3" xfId="22261" xr:uid="{AABE1CBD-D14B-4A43-A9FE-8D372483B7E4}"/>
    <cellStyle name="20% - Accent6 2 5 4" xfId="9597" xr:uid="{0230030D-96F1-4C43-890B-E25ABB3F4E6B}"/>
    <cellStyle name="20% - Accent6 2 5 5" xfId="18042" xr:uid="{E216CAB2-8E38-4090-9AE5-8214B1ED0429}"/>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45B93E56-DD1E-4A67-80B9-4860911FF175}"/>
    <cellStyle name="20% - Accent6 2 6 2 2 3" xfId="24819" xr:uid="{E49E38F2-5E61-4203-BDE9-66A13A795156}"/>
    <cellStyle name="20% - Accent6 2 6 2 3" xfId="12155" xr:uid="{71813CAD-11BC-4B42-ACC7-6A2D82471EAA}"/>
    <cellStyle name="20% - Accent6 2 6 2 4" xfId="20602" xr:uid="{9F982A14-4797-4D57-B2EE-4FF0C8068390}"/>
    <cellStyle name="20% - Accent6 2 6 3" xfId="5786" xr:uid="{00000000-0005-0000-0000-00006A030000}"/>
    <cellStyle name="20% - Accent6 2 6 3 2" xfId="14228" xr:uid="{1692730C-FAD9-4AC8-8314-1C76F0977D96}"/>
    <cellStyle name="20% - Accent6 2 6 3 3" xfId="22674" xr:uid="{360E0062-73FF-4B28-9E05-2A0DE2F990A9}"/>
    <cellStyle name="20% - Accent6 2 6 4" xfId="10010" xr:uid="{958FF537-95D7-479A-92A0-E8B4B15AEC2F}"/>
    <cellStyle name="20% - Accent6 2 6 5" xfId="18455" xr:uid="{F1ABEB89-C23D-4DBB-A753-5B612A627E0A}"/>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AEC1F2BF-13F2-44CE-9AB8-942F568E1F8F}"/>
    <cellStyle name="20% - Accent6 2 7 2 2 3" xfId="25232" xr:uid="{C7FC3783-4727-4A99-B712-D7462CA0BD06}"/>
    <cellStyle name="20% - Accent6 2 7 2 3" xfId="12568" xr:uid="{AD48BF58-419B-4385-AEC4-1B682F22CB0D}"/>
    <cellStyle name="20% - Accent6 2 7 2 4" xfId="21015" xr:uid="{7B9D07AB-AA04-4204-927F-0B8861AC00A7}"/>
    <cellStyle name="20% - Accent6 2 7 3" xfId="6199" xr:uid="{00000000-0005-0000-0000-00006E030000}"/>
    <cellStyle name="20% - Accent6 2 7 3 2" xfId="14641" xr:uid="{C8703824-266B-4AE7-904A-BB5610AE6632}"/>
    <cellStyle name="20% - Accent6 2 7 3 3" xfId="23087" xr:uid="{DF88E94B-0658-4CC8-B570-8B9A90856DDD}"/>
    <cellStyle name="20% - Accent6 2 7 4" xfId="10423" xr:uid="{407D0E00-CFFE-422B-AE39-90B6FC6F509C}"/>
    <cellStyle name="20% - Accent6 2 7 5" xfId="18868" xr:uid="{D7C3A228-8BF0-426E-A6F3-BC093AEAFCEE}"/>
    <cellStyle name="20% - Accent6 2 8" xfId="2305" xr:uid="{00000000-0005-0000-0000-00006F030000}"/>
    <cellStyle name="20% - Accent6 2 8 2" xfId="6612" xr:uid="{00000000-0005-0000-0000-000070030000}"/>
    <cellStyle name="20% - Accent6 2 8 2 2" xfId="15054" xr:uid="{4E131C54-0987-4A92-A8F6-5E25440A05F0}"/>
    <cellStyle name="20% - Accent6 2 8 2 3" xfId="23500" xr:uid="{CBABA545-867E-441E-826F-4ED9C39E3A89}"/>
    <cellStyle name="20% - Accent6 2 8 3" xfId="10836" xr:uid="{F578A6A7-5131-4165-96F2-A2137F846067}"/>
    <cellStyle name="20% - Accent6 2 8 4" xfId="19281" xr:uid="{845B75AC-AEFE-4450-B134-8AE91EFE7126}"/>
    <cellStyle name="20% - Accent6 2 9" xfId="4546" xr:uid="{00000000-0005-0000-0000-000071030000}"/>
    <cellStyle name="20% - Accent6 2 9 2" xfId="12988" xr:uid="{2A56438E-78F8-437F-9610-2BC65B88F81A}"/>
    <cellStyle name="20% - Accent6 2 9 3" xfId="21434" xr:uid="{9250A254-3E3E-4E3A-A261-7C22F9D461B7}"/>
    <cellStyle name="20% - Accent6 3" xfId="46" xr:uid="{00000000-0005-0000-0000-000072030000}"/>
    <cellStyle name="20% - Accent6 3 10" xfId="17216" xr:uid="{BF24401E-508E-444E-AA7E-4AB0FE0094FA}"/>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DFB44EA1-2C11-439A-92F4-A816E6331E21}"/>
    <cellStyle name="20% - Accent6 3 2 2 2 2 3" xfId="23998" xr:uid="{686407D1-1CE8-4A2E-A7E4-83F13D740471}"/>
    <cellStyle name="20% - Accent6 3 2 2 2 3" xfId="11334" xr:uid="{5531C20B-3749-44F7-AF2F-9ABF0277FE1B}"/>
    <cellStyle name="20% - Accent6 3 2 2 2 4" xfId="19781" xr:uid="{E5AD1E43-63F8-4091-B316-7CA880C19461}"/>
    <cellStyle name="20% - Accent6 3 2 2 3" xfId="4965" xr:uid="{00000000-0005-0000-0000-000077030000}"/>
    <cellStyle name="20% - Accent6 3 2 2 3 2" xfId="13407" xr:uid="{C93291E0-AFD9-45A2-BE17-96F0D0D5A8AA}"/>
    <cellStyle name="20% - Accent6 3 2 2 3 3" xfId="21853" xr:uid="{28F10837-E170-496A-BA60-B6464EBFB10D}"/>
    <cellStyle name="20% - Accent6 3 2 2 4" xfId="9189" xr:uid="{23ED0C56-CC89-43BC-816E-63C47E90427B}"/>
    <cellStyle name="20% - Accent6 3 2 2 5" xfId="17634" xr:uid="{0C6E154E-D1D2-4CFE-8577-306F91847C1A}"/>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5EB1395E-8276-4CD5-90F4-D79F393EF2D7}"/>
    <cellStyle name="20% - Accent6 3 2 3 2 2 3" xfId="24411" xr:uid="{2299E97B-4063-4B4E-B5D6-D8AE9C3813F5}"/>
    <cellStyle name="20% - Accent6 3 2 3 2 3" xfId="11747" xr:uid="{8DBC95CF-50EA-420E-9343-025B4666AC29}"/>
    <cellStyle name="20% - Accent6 3 2 3 2 4" xfId="20194" xr:uid="{74FE7C23-B98C-4E20-9A93-AB9B53E57AB3}"/>
    <cellStyle name="20% - Accent6 3 2 3 3" xfId="5378" xr:uid="{00000000-0005-0000-0000-00007B030000}"/>
    <cellStyle name="20% - Accent6 3 2 3 3 2" xfId="13820" xr:uid="{F4A340A4-AEA1-4118-AE1F-E4535350099F}"/>
    <cellStyle name="20% - Accent6 3 2 3 3 3" xfId="22266" xr:uid="{B8B11C7C-C38C-4C1A-8AE3-ED3E5F995C04}"/>
    <cellStyle name="20% - Accent6 3 2 3 4" xfId="9602" xr:uid="{79AE7FF4-615A-4EDA-A68B-CB4170034010}"/>
    <cellStyle name="20% - Accent6 3 2 3 5" xfId="18047" xr:uid="{E16AE2A9-D6EB-4470-B7AE-2424CBA6ABA5}"/>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320B1914-7393-4FAA-A276-8018443F905D}"/>
    <cellStyle name="20% - Accent6 3 2 4 2 2 3" xfId="24824" xr:uid="{9344909F-805A-4592-9B22-EB7125733F94}"/>
    <cellStyle name="20% - Accent6 3 2 4 2 3" xfId="12160" xr:uid="{DE3566AE-AF59-48CE-B292-C00BEECC7207}"/>
    <cellStyle name="20% - Accent6 3 2 4 2 4" xfId="20607" xr:uid="{D3326AC0-E581-4E30-9D32-D70702A269BD}"/>
    <cellStyle name="20% - Accent6 3 2 4 3" xfId="5791" xr:uid="{00000000-0005-0000-0000-00007F030000}"/>
    <cellStyle name="20% - Accent6 3 2 4 3 2" xfId="14233" xr:uid="{703FCFB6-5A89-4C96-8A5D-30D1A314D442}"/>
    <cellStyle name="20% - Accent6 3 2 4 3 3" xfId="22679" xr:uid="{2A23F691-8A4D-4B99-87EF-0806ADA6D9ED}"/>
    <cellStyle name="20% - Accent6 3 2 4 4" xfId="10015" xr:uid="{89B69487-BEFD-4D3C-B349-A564DD29C699}"/>
    <cellStyle name="20% - Accent6 3 2 4 5" xfId="18460" xr:uid="{72CFB6DB-75BB-4EAE-9093-5140D79C3A88}"/>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BFB4C209-89ED-44BA-81DD-E7676629CB5F}"/>
    <cellStyle name="20% - Accent6 3 2 5 2 2 3" xfId="25237" xr:uid="{9D663AAF-7E34-4A6E-BBDC-5B3F3C0D70DD}"/>
    <cellStyle name="20% - Accent6 3 2 5 2 3" xfId="12573" xr:uid="{5AA2F3FF-F6E1-4EE5-8893-4E81117611AD}"/>
    <cellStyle name="20% - Accent6 3 2 5 2 4" xfId="21020" xr:uid="{63B89F36-A6B1-45A7-91E1-89653A3D5264}"/>
    <cellStyle name="20% - Accent6 3 2 5 3" xfId="6204" xr:uid="{00000000-0005-0000-0000-000083030000}"/>
    <cellStyle name="20% - Accent6 3 2 5 3 2" xfId="14646" xr:uid="{EC782BE5-D868-4412-89B2-C37FDBE50B0D}"/>
    <cellStyle name="20% - Accent6 3 2 5 3 3" xfId="23092" xr:uid="{0CA1C58D-E415-4CA8-92F6-1385B7695665}"/>
    <cellStyle name="20% - Accent6 3 2 5 4" xfId="10428" xr:uid="{A3C240B2-6883-43AF-9FF3-C72064D35B4D}"/>
    <cellStyle name="20% - Accent6 3 2 5 5" xfId="18873" xr:uid="{35E782B9-54B0-401D-A0E3-614B93861C8C}"/>
    <cellStyle name="20% - Accent6 3 2 6" xfId="2310" xr:uid="{00000000-0005-0000-0000-000084030000}"/>
    <cellStyle name="20% - Accent6 3 2 6 2" xfId="6617" xr:uid="{00000000-0005-0000-0000-000085030000}"/>
    <cellStyle name="20% - Accent6 3 2 6 2 2" xfId="15059" xr:uid="{15092DBE-A5C5-4E69-AEFF-16F2EBF0BDBE}"/>
    <cellStyle name="20% - Accent6 3 2 6 2 3" xfId="23505" xr:uid="{52E4E78A-D038-4D65-BBBD-196F79D01D53}"/>
    <cellStyle name="20% - Accent6 3 2 6 3" xfId="10841" xr:uid="{D5C20ED1-90E2-42C1-993D-698500D6AC71}"/>
    <cellStyle name="20% - Accent6 3 2 6 4" xfId="19286" xr:uid="{499A39C3-8DBB-4646-9110-76B31508B3C7}"/>
    <cellStyle name="20% - Accent6 3 2 7" xfId="4551" xr:uid="{00000000-0005-0000-0000-000086030000}"/>
    <cellStyle name="20% - Accent6 3 2 7 2" xfId="12993" xr:uid="{32C8E89C-3C5D-4A6E-AA20-07EA18F73AA5}"/>
    <cellStyle name="20% - Accent6 3 2 7 3" xfId="21439" xr:uid="{E72C7A2A-B44E-4061-9AB5-2532F752AAD4}"/>
    <cellStyle name="20% - Accent6 3 2 8" xfId="8775" xr:uid="{29EABE29-329D-4F55-B16B-859813A1DCA2}"/>
    <cellStyle name="20% - Accent6 3 2 9" xfId="17217" xr:uid="{E7F29C91-ADCD-40CF-8A5F-AF5186354A27}"/>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7E2A8930-47FE-49ED-879A-D98389D67235}"/>
    <cellStyle name="20% - Accent6 3 3 2 2 3" xfId="23997" xr:uid="{C3405F21-9F41-49BD-BEB8-F7E2CD0D303D}"/>
    <cellStyle name="20% - Accent6 3 3 2 3" xfId="11333" xr:uid="{8851EDA8-65AF-4F44-814B-D846F55ADCBE}"/>
    <cellStyle name="20% - Accent6 3 3 2 4" xfId="19780" xr:uid="{E65F4A46-BFD2-44AB-A0A7-DDA64A43B9EF}"/>
    <cellStyle name="20% - Accent6 3 3 3" xfId="4964" xr:uid="{00000000-0005-0000-0000-00008A030000}"/>
    <cellStyle name="20% - Accent6 3 3 3 2" xfId="13406" xr:uid="{E545DF69-8205-4643-B8EA-31BD2E3501DB}"/>
    <cellStyle name="20% - Accent6 3 3 3 3" xfId="21852" xr:uid="{6B837F91-6883-42C7-8591-1ACBBA2A0B36}"/>
    <cellStyle name="20% - Accent6 3 3 4" xfId="9188" xr:uid="{184D89E9-991D-46E7-9942-418D448D1689}"/>
    <cellStyle name="20% - Accent6 3 3 5" xfId="17633" xr:uid="{D5A922B7-A85B-4CFD-86AE-4402917E3824}"/>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3D9BE477-CA6F-4D96-8C79-79E5F46F875B}"/>
    <cellStyle name="20% - Accent6 3 4 2 2 3" xfId="24410" xr:uid="{F3DBCA14-CEF4-4048-B42D-9F110ABEB4C8}"/>
    <cellStyle name="20% - Accent6 3 4 2 3" xfId="11746" xr:uid="{CB4FC915-8334-46B1-8E7A-49195B532D22}"/>
    <cellStyle name="20% - Accent6 3 4 2 4" xfId="20193" xr:uid="{169BBFD2-704C-42AA-8E68-029A6B07D214}"/>
    <cellStyle name="20% - Accent6 3 4 3" xfId="5377" xr:uid="{00000000-0005-0000-0000-00008E030000}"/>
    <cellStyle name="20% - Accent6 3 4 3 2" xfId="13819" xr:uid="{1DCE870A-0790-4FFE-AA29-C7CBE7CB519D}"/>
    <cellStyle name="20% - Accent6 3 4 3 3" xfId="22265" xr:uid="{110ECA5A-4B7D-469D-B541-7AC3393CA8EF}"/>
    <cellStyle name="20% - Accent6 3 4 4" xfId="9601" xr:uid="{6C227228-E93F-4525-906B-F846B72EC806}"/>
    <cellStyle name="20% - Accent6 3 4 5" xfId="18046" xr:uid="{4B64E444-1BB4-45DD-942B-C4861C59DC92}"/>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EFD28D5B-D0AD-42D8-8753-3012DA772EB7}"/>
    <cellStyle name="20% - Accent6 3 5 2 2 3" xfId="24823" xr:uid="{D0F05738-D476-4651-9872-BC2C8CF82511}"/>
    <cellStyle name="20% - Accent6 3 5 2 3" xfId="12159" xr:uid="{947EAA5D-FF13-4CCF-BED9-0A511859724C}"/>
    <cellStyle name="20% - Accent6 3 5 2 4" xfId="20606" xr:uid="{FA8BD4FF-C6DE-47C1-AAB6-45B63438F0DA}"/>
    <cellStyle name="20% - Accent6 3 5 3" xfId="5790" xr:uid="{00000000-0005-0000-0000-000092030000}"/>
    <cellStyle name="20% - Accent6 3 5 3 2" xfId="14232" xr:uid="{7DA80095-E052-401D-A869-49721215CE63}"/>
    <cellStyle name="20% - Accent6 3 5 3 3" xfId="22678" xr:uid="{2AD2F9D8-DE3A-43AD-89F6-2929D0208D9A}"/>
    <cellStyle name="20% - Accent6 3 5 4" xfId="10014" xr:uid="{7210C9C5-0F30-47F7-B7A4-CB294BF135F4}"/>
    <cellStyle name="20% - Accent6 3 5 5" xfId="18459" xr:uid="{98191F0E-25EC-480A-B2B7-F6AAACD88FA0}"/>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BEC1AF70-EB21-4164-946B-DEAA8A3215F2}"/>
    <cellStyle name="20% - Accent6 3 6 2 2 3" xfId="25236" xr:uid="{9BA9A37E-BEC4-4C7B-8D56-1341EAE58CAB}"/>
    <cellStyle name="20% - Accent6 3 6 2 3" xfId="12572" xr:uid="{2331BB2C-CD1B-4FE2-85CF-71010CFA2EB1}"/>
    <cellStyle name="20% - Accent6 3 6 2 4" xfId="21019" xr:uid="{F076CC63-F1E2-45A5-B9A4-6BFB12631DC2}"/>
    <cellStyle name="20% - Accent6 3 6 3" xfId="6203" xr:uid="{00000000-0005-0000-0000-000096030000}"/>
    <cellStyle name="20% - Accent6 3 6 3 2" xfId="14645" xr:uid="{23618E39-DC96-4DA0-873A-F8FA4861BD6F}"/>
    <cellStyle name="20% - Accent6 3 6 3 3" xfId="23091" xr:uid="{BE07A7E9-05F0-45BB-BB63-4AF18B709E6D}"/>
    <cellStyle name="20% - Accent6 3 6 4" xfId="10427" xr:uid="{D517389B-85D9-4A15-BDAF-F234E52077C4}"/>
    <cellStyle name="20% - Accent6 3 6 5" xfId="18872" xr:uid="{E8024879-D187-4AED-8C44-2A4FC5EF0F11}"/>
    <cellStyle name="20% - Accent6 3 7" xfId="2309" xr:uid="{00000000-0005-0000-0000-000097030000}"/>
    <cellStyle name="20% - Accent6 3 7 2" xfId="6616" xr:uid="{00000000-0005-0000-0000-000098030000}"/>
    <cellStyle name="20% - Accent6 3 7 2 2" xfId="15058" xr:uid="{75B526C3-2FA8-49E6-823B-C5AF69EC14B0}"/>
    <cellStyle name="20% - Accent6 3 7 2 3" xfId="23504" xr:uid="{5CCD6F63-12C9-48C9-A458-6383780956C6}"/>
    <cellStyle name="20% - Accent6 3 7 3" xfId="10840" xr:uid="{8B042C78-9B60-4C5A-AD7D-7E1D42932EA3}"/>
    <cellStyle name="20% - Accent6 3 7 4" xfId="19285" xr:uid="{417628B8-2E9D-4AED-B5D6-8E1A7250EA1B}"/>
    <cellStyle name="20% - Accent6 3 8" xfId="4550" xr:uid="{00000000-0005-0000-0000-000099030000}"/>
    <cellStyle name="20% - Accent6 3 8 2" xfId="12992" xr:uid="{AFFFA488-865C-46D7-AAD1-88C98953C572}"/>
    <cellStyle name="20% - Accent6 3 8 3" xfId="21438" xr:uid="{4B4523F9-3C1E-42E1-82DF-FDA06F192452}"/>
    <cellStyle name="20% - Accent6 3 9" xfId="8774" xr:uid="{B7A8D0DC-DBF9-4657-BEF4-C86F80E81ED6}"/>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D52131D9-551E-414F-B25C-FBC358D6C6F4}"/>
    <cellStyle name="20% - Accent6 4 2 2 2 3" xfId="23999" xr:uid="{91EAABF5-D1EC-457F-8328-713EEE6143E8}"/>
    <cellStyle name="20% - Accent6 4 2 2 3" xfId="11335" xr:uid="{AF7FBA8D-FC4A-4556-B859-56845AB9D3B6}"/>
    <cellStyle name="20% - Accent6 4 2 2 4" xfId="19782" xr:uid="{BC0B009B-5361-4599-8067-B5D1C696CBE3}"/>
    <cellStyle name="20% - Accent6 4 2 3" xfId="4966" xr:uid="{00000000-0005-0000-0000-00009E030000}"/>
    <cellStyle name="20% - Accent6 4 2 3 2" xfId="13408" xr:uid="{54D1AFB9-5948-4563-99D3-B2FF5E6E6BC4}"/>
    <cellStyle name="20% - Accent6 4 2 3 3" xfId="21854" xr:uid="{F1358351-A2E4-498F-B968-12DCFBC665E8}"/>
    <cellStyle name="20% - Accent6 4 2 4" xfId="9190" xr:uid="{8DE9E9E3-13B0-42ED-AEA2-D0105C01E9FF}"/>
    <cellStyle name="20% - Accent6 4 2 5" xfId="17635" xr:uid="{DD25A224-4228-44E8-BF8B-0EB7B029D832}"/>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1A6B0F85-3A5F-4B5B-937D-EC8EB6FBA1DF}"/>
    <cellStyle name="20% - Accent6 4 3 2 2 3" xfId="24412" xr:uid="{F27B89BC-4162-40AF-BF70-B2FF57F0DF6B}"/>
    <cellStyle name="20% - Accent6 4 3 2 3" xfId="11748" xr:uid="{9F3D619A-C341-46B5-86D5-7692B6C8AFA6}"/>
    <cellStyle name="20% - Accent6 4 3 2 4" xfId="20195" xr:uid="{0F68F3B8-4A79-4CFB-95A3-770E38D12075}"/>
    <cellStyle name="20% - Accent6 4 3 3" xfId="5379" xr:uid="{00000000-0005-0000-0000-0000A2030000}"/>
    <cellStyle name="20% - Accent6 4 3 3 2" xfId="13821" xr:uid="{FA36E7FB-7149-4CC1-A50E-C9249EC416C1}"/>
    <cellStyle name="20% - Accent6 4 3 3 3" xfId="22267" xr:uid="{70EA6DBC-16E5-459B-99F8-042FE8953841}"/>
    <cellStyle name="20% - Accent6 4 3 4" xfId="9603" xr:uid="{AA460147-CFC5-44B5-812A-FFDE71F73D5E}"/>
    <cellStyle name="20% - Accent6 4 3 5" xfId="18048" xr:uid="{FCE44E2D-1D5A-495E-AC2C-C0D9338959E1}"/>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344D9208-F2A3-4B2B-9D78-6E9200F1DE98}"/>
    <cellStyle name="20% - Accent6 4 4 2 2 3" xfId="24825" xr:uid="{8B4F4D39-F3B7-4DCE-B549-40A36CD1D752}"/>
    <cellStyle name="20% - Accent6 4 4 2 3" xfId="12161" xr:uid="{68AB49D7-D8BD-4A31-BC59-03BC659C3382}"/>
    <cellStyle name="20% - Accent6 4 4 2 4" xfId="20608" xr:uid="{75BF1206-9C73-47B9-A91E-F14ECEF1B6F4}"/>
    <cellStyle name="20% - Accent6 4 4 3" xfId="5792" xr:uid="{00000000-0005-0000-0000-0000A6030000}"/>
    <cellStyle name="20% - Accent6 4 4 3 2" xfId="14234" xr:uid="{D45D6996-0035-41D8-8025-D5E85472CFA6}"/>
    <cellStyle name="20% - Accent6 4 4 3 3" xfId="22680" xr:uid="{956D295B-F054-4FD0-B261-6F90E01ED3B2}"/>
    <cellStyle name="20% - Accent6 4 4 4" xfId="10016" xr:uid="{D92EDE7A-EDEF-460D-B0B7-7BFC28C45746}"/>
    <cellStyle name="20% - Accent6 4 4 5" xfId="18461" xr:uid="{BB79F0C7-C7FE-4D1D-A697-97B7A54C77A0}"/>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067B978A-8DC2-436A-8969-72182E156C2A}"/>
    <cellStyle name="20% - Accent6 4 5 2 2 3" xfId="25238" xr:uid="{4AFD60A3-28FC-4C4D-9D3D-4FF1EB996ED8}"/>
    <cellStyle name="20% - Accent6 4 5 2 3" xfId="12574" xr:uid="{B2A42258-4375-4EF3-95A1-48329BC6F5AE}"/>
    <cellStyle name="20% - Accent6 4 5 2 4" xfId="21021" xr:uid="{B6BBB374-7AA4-45AE-B90E-DCEC09FD178E}"/>
    <cellStyle name="20% - Accent6 4 5 3" xfId="6205" xr:uid="{00000000-0005-0000-0000-0000AA030000}"/>
    <cellStyle name="20% - Accent6 4 5 3 2" xfId="14647" xr:uid="{2876A9F1-DDC8-428F-8343-4B4BF094D685}"/>
    <cellStyle name="20% - Accent6 4 5 3 3" xfId="23093" xr:uid="{B295D90B-F747-4140-A946-9F43801C7040}"/>
    <cellStyle name="20% - Accent6 4 5 4" xfId="10429" xr:uid="{D0932199-72BB-4AC2-BD4F-D9271A5FE5D9}"/>
    <cellStyle name="20% - Accent6 4 5 5" xfId="18874" xr:uid="{49F22366-7102-4697-83FA-05E4C779D9BB}"/>
    <cellStyle name="20% - Accent6 4 6" xfId="2311" xr:uid="{00000000-0005-0000-0000-0000AB030000}"/>
    <cellStyle name="20% - Accent6 4 6 2" xfId="6618" xr:uid="{00000000-0005-0000-0000-0000AC030000}"/>
    <cellStyle name="20% - Accent6 4 6 2 2" xfId="15060" xr:uid="{26A4FAAB-59F2-4B95-9821-D8C01A29D6CF}"/>
    <cellStyle name="20% - Accent6 4 6 2 3" xfId="23506" xr:uid="{9D508BA0-1D7A-4CBA-8B35-DA495D9143FD}"/>
    <cellStyle name="20% - Accent6 4 6 3" xfId="10842" xr:uid="{8C4980E5-0CB1-482D-A6CE-5F5C29FFCA87}"/>
    <cellStyle name="20% - Accent6 4 6 4" xfId="19287" xr:uid="{9C72E11A-3CC0-480B-9896-57669F65A65F}"/>
    <cellStyle name="20% - Accent6 4 7" xfId="4552" xr:uid="{00000000-0005-0000-0000-0000AD030000}"/>
    <cellStyle name="20% - Accent6 4 7 2" xfId="12994" xr:uid="{A196DB39-3A71-4D33-BB31-15018C6DC28B}"/>
    <cellStyle name="20% - Accent6 4 7 3" xfId="21440" xr:uid="{55DF5896-EF7D-4E95-BA0D-EFA60B9AA25A}"/>
    <cellStyle name="20% - Accent6 4 8" xfId="8776" xr:uid="{D4969AA0-8A71-46D7-8C12-C12286451097}"/>
    <cellStyle name="20% - Accent6 4 9" xfId="17218" xr:uid="{D42D40E7-C9D1-4766-A6D5-F8411183FB2C}"/>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1E4F6DF2-B591-4ECE-BFE5-2BC69AA9911E}"/>
    <cellStyle name="20% - Accent6 5 2 2 3" xfId="23992" xr:uid="{3656E0DD-8751-4CE2-9400-62911EEF2F9F}"/>
    <cellStyle name="20% - Accent6 5 2 3" xfId="11328" xr:uid="{05FDC75F-BC23-462E-B4E9-C11014AA7AD7}"/>
    <cellStyle name="20% - Accent6 5 2 4" xfId="19775" xr:uid="{81DF5652-4334-491D-ADD0-C2A0A3A63D24}"/>
    <cellStyle name="20% - Accent6 5 3" xfId="4959" xr:uid="{00000000-0005-0000-0000-0000B1030000}"/>
    <cellStyle name="20% - Accent6 5 3 2" xfId="13401" xr:uid="{ACDB7FC4-0DAE-4B73-949A-717732220C9A}"/>
    <cellStyle name="20% - Accent6 5 3 3" xfId="21847" xr:uid="{FF627C11-7B94-4B66-913A-898133E74565}"/>
    <cellStyle name="20% - Accent6 5 4" xfId="9183" xr:uid="{2A236750-2603-4473-8390-B95C44987FA1}"/>
    <cellStyle name="20% - Accent6 5 5" xfId="17628" xr:uid="{0786EE58-D36D-48B8-BC86-FE90E0B40695}"/>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56404906-46DA-4457-9AEB-E3E3AFD18726}"/>
    <cellStyle name="20% - Accent6 6 2 2 3" xfId="24405" xr:uid="{C90046DE-5558-4B77-9EC9-FD3D88E30DC1}"/>
    <cellStyle name="20% - Accent6 6 2 3" xfId="11741" xr:uid="{AE63751F-E259-4E12-A674-D29C62D5CBF9}"/>
    <cellStyle name="20% - Accent6 6 2 4" xfId="20188" xr:uid="{DC37CD58-92BB-41A6-9972-0E7A2B2F2DDE}"/>
    <cellStyle name="20% - Accent6 6 3" xfId="5372" xr:uid="{00000000-0005-0000-0000-0000B5030000}"/>
    <cellStyle name="20% - Accent6 6 3 2" xfId="13814" xr:uid="{91935D05-D9C8-4493-9017-E01EF232A142}"/>
    <cellStyle name="20% - Accent6 6 3 3" xfId="22260" xr:uid="{AE610C50-AF21-4BB2-8640-C869768B5AC2}"/>
    <cellStyle name="20% - Accent6 6 4" xfId="9596" xr:uid="{15954427-AB23-4CC3-A6B1-425FB1DDFBEA}"/>
    <cellStyle name="20% - Accent6 6 5" xfId="18041" xr:uid="{97D26CDE-15D1-4E7F-B93F-65C3C0DE0011}"/>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01063951-96D1-4478-A5EA-29BBD24C7972}"/>
    <cellStyle name="20% - Accent6 7 2 2 3" xfId="24818" xr:uid="{A42D10B3-951F-415A-B24A-7C04AE2604F6}"/>
    <cellStyle name="20% - Accent6 7 2 3" xfId="12154" xr:uid="{CEAA8F4C-7D77-4685-82A5-8635142E391E}"/>
    <cellStyle name="20% - Accent6 7 2 4" xfId="20601" xr:uid="{A93364EF-3180-4DD3-8BC5-224E69A0CA6D}"/>
    <cellStyle name="20% - Accent6 7 3" xfId="5785" xr:uid="{00000000-0005-0000-0000-0000B9030000}"/>
    <cellStyle name="20% - Accent6 7 3 2" xfId="14227" xr:uid="{D2EB2175-0E28-4118-B495-43FF4BBF3CB1}"/>
    <cellStyle name="20% - Accent6 7 3 3" xfId="22673" xr:uid="{3FFBF979-79DB-4BE3-801D-146CF52A97B0}"/>
    <cellStyle name="20% - Accent6 7 4" xfId="10009" xr:uid="{52A8F94F-CBB6-406D-919A-67A513D51530}"/>
    <cellStyle name="20% - Accent6 7 5" xfId="18454" xr:uid="{004428AE-7BD5-4B11-9E3B-4143319A453E}"/>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873822FA-AEB0-4EB1-A5DA-58F9F34D35F2}"/>
    <cellStyle name="20% - Accent6 8 2 2 3" xfId="25231" xr:uid="{A1D56B52-E385-4DEC-A8F8-13FE93B760E2}"/>
    <cellStyle name="20% - Accent6 8 2 3" xfId="12567" xr:uid="{BE96AA72-D30C-4804-8257-60790675531E}"/>
    <cellStyle name="20% - Accent6 8 2 4" xfId="21014" xr:uid="{31E3077A-7C6E-4AFC-B73B-FED10F4C1273}"/>
    <cellStyle name="20% - Accent6 8 3" xfId="6198" xr:uid="{00000000-0005-0000-0000-0000BD030000}"/>
    <cellStyle name="20% - Accent6 8 3 2" xfId="14640" xr:uid="{F668FFE1-92B6-4882-B510-434F4D86B09C}"/>
    <cellStyle name="20% - Accent6 8 3 3" xfId="23086" xr:uid="{AFAA722F-B1D8-401A-8164-1589CE68ADBB}"/>
    <cellStyle name="20% - Accent6 8 4" xfId="10422" xr:uid="{612E08D1-DCCD-4F7D-98F2-7FE114127375}"/>
    <cellStyle name="20% - Accent6 8 5" xfId="18867" xr:uid="{A8826601-F2F5-48A1-9DDE-917C18AB6715}"/>
    <cellStyle name="20% - Accent6 9" xfId="2304" xr:uid="{00000000-0005-0000-0000-0000BE030000}"/>
    <cellStyle name="20% - Accent6 9 2" xfId="6611" xr:uid="{00000000-0005-0000-0000-0000BF030000}"/>
    <cellStyle name="20% - Accent6 9 2 2" xfId="15053" xr:uid="{716FBD3C-EDB4-45A9-96FC-99DCA0259AB3}"/>
    <cellStyle name="20% - Accent6 9 2 3" xfId="23499" xr:uid="{334F8DC2-F38B-4BC2-B5CE-B472D14420F1}"/>
    <cellStyle name="20% - Accent6 9 3" xfId="10835" xr:uid="{F79798B9-8042-4FC6-8997-D7B541620C51}"/>
    <cellStyle name="20% - Accent6 9 4" xfId="19280" xr:uid="{45C7D8F8-67A8-40F7-AEEE-3E8C2D2BB678}"/>
    <cellStyle name="40% - Accent1" xfId="49" builtinId="31" customBuiltin="1"/>
    <cellStyle name="40% - Accent1 10" xfId="4553" xr:uid="{00000000-0005-0000-0000-0000C1030000}"/>
    <cellStyle name="40% - Accent1 10 2" xfId="12995" xr:uid="{AAA3A9A0-F323-4279-9D72-2AD7C486E434}"/>
    <cellStyle name="40% - Accent1 10 3" xfId="21441" xr:uid="{662D210D-69DD-4615-9BE0-BF95C3C865C0}"/>
    <cellStyle name="40% - Accent1 11" xfId="8777" xr:uid="{773C5668-495A-43EE-BD45-C21F302F62A3}"/>
    <cellStyle name="40% - Accent1 12" xfId="17219" xr:uid="{4EF9AC19-4B0E-4442-8454-46371DB79B25}"/>
    <cellStyle name="40% - Accent1 2" xfId="50" xr:uid="{00000000-0005-0000-0000-0000C2030000}"/>
    <cellStyle name="40% - Accent1 2 10" xfId="8778" xr:uid="{67032496-D802-4C60-B510-63F849828E50}"/>
    <cellStyle name="40% - Accent1 2 11" xfId="17220" xr:uid="{82DB35D4-175A-4935-AC13-55BF86753F85}"/>
    <cellStyle name="40% - Accent1 2 2" xfId="51" xr:uid="{00000000-0005-0000-0000-0000C3030000}"/>
    <cellStyle name="40% - Accent1 2 2 10" xfId="17221" xr:uid="{ADE95546-622E-4ECA-9842-3880989EF1C3}"/>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C182A4BD-15E6-4CA9-8B15-D88E151EB4AC}"/>
    <cellStyle name="40% - Accent1 2 2 2 2 2 2 3" xfId="24003" xr:uid="{EF49BAE9-110E-4621-B60E-74C279A9BBC4}"/>
    <cellStyle name="40% - Accent1 2 2 2 2 2 3" xfId="11339" xr:uid="{761F4AE8-5196-42BD-B860-07FABC4889E2}"/>
    <cellStyle name="40% - Accent1 2 2 2 2 2 4" xfId="19786" xr:uid="{05B2BD79-18FD-47B2-B0C4-89C7E38313A8}"/>
    <cellStyle name="40% - Accent1 2 2 2 2 3" xfId="4970" xr:uid="{00000000-0005-0000-0000-0000C8030000}"/>
    <cellStyle name="40% - Accent1 2 2 2 2 3 2" xfId="13412" xr:uid="{11AC2E3A-07BB-4DD7-9ECD-99081CF8237B}"/>
    <cellStyle name="40% - Accent1 2 2 2 2 3 3" xfId="21858" xr:uid="{D1550EEC-CE61-47EE-860F-CC561AFBF5A6}"/>
    <cellStyle name="40% - Accent1 2 2 2 2 4" xfId="9194" xr:uid="{F77B60B6-2CF3-4CC7-9085-3C3E8F91FE99}"/>
    <cellStyle name="40% - Accent1 2 2 2 2 5" xfId="17639" xr:uid="{D22BF386-51F9-43A8-8291-BB1C562C87F3}"/>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A5CEF77C-8957-4740-9BEC-48AB6EFBB968}"/>
    <cellStyle name="40% - Accent1 2 2 2 3 2 2 3" xfId="24416" xr:uid="{EB7E2F92-19ED-481A-85C1-C579FD55B254}"/>
    <cellStyle name="40% - Accent1 2 2 2 3 2 3" xfId="11752" xr:uid="{9F8717F6-7ABD-499F-9ED4-FBE9C03EC541}"/>
    <cellStyle name="40% - Accent1 2 2 2 3 2 4" xfId="20199" xr:uid="{420374BD-E4CA-43C3-B65F-3FCD23BDA5B8}"/>
    <cellStyle name="40% - Accent1 2 2 2 3 3" xfId="5383" xr:uid="{00000000-0005-0000-0000-0000CC030000}"/>
    <cellStyle name="40% - Accent1 2 2 2 3 3 2" xfId="13825" xr:uid="{2EAF5863-151D-4014-B3F8-F92C95460D03}"/>
    <cellStyle name="40% - Accent1 2 2 2 3 3 3" xfId="22271" xr:uid="{6DCAE5D5-B1A4-4D25-A674-CBCB5C8A6ED7}"/>
    <cellStyle name="40% - Accent1 2 2 2 3 4" xfId="9607" xr:uid="{53B0082B-65FD-4B1B-824C-1BEC0386131B}"/>
    <cellStyle name="40% - Accent1 2 2 2 3 5" xfId="18052" xr:uid="{21EB31D8-1285-4EA4-8262-1129FED3992C}"/>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94E2F40E-E5E7-489B-BC19-84AE13428960}"/>
    <cellStyle name="40% - Accent1 2 2 2 4 2 2 3" xfId="24829" xr:uid="{1441C2EA-48EE-485E-A335-9DE659AF0F85}"/>
    <cellStyle name="40% - Accent1 2 2 2 4 2 3" xfId="12165" xr:uid="{1C20E2E6-8478-44DE-AD91-F31319C7DA8F}"/>
    <cellStyle name="40% - Accent1 2 2 2 4 2 4" xfId="20612" xr:uid="{28FEC1D0-DC8A-4CCB-B663-DC99CE3C2B64}"/>
    <cellStyle name="40% - Accent1 2 2 2 4 3" xfId="5796" xr:uid="{00000000-0005-0000-0000-0000D0030000}"/>
    <cellStyle name="40% - Accent1 2 2 2 4 3 2" xfId="14238" xr:uid="{49C6AA8A-4B0A-4423-8F5F-CD93BEAC030C}"/>
    <cellStyle name="40% - Accent1 2 2 2 4 3 3" xfId="22684" xr:uid="{7133DCD6-011F-4E38-827B-BCAFECC2A731}"/>
    <cellStyle name="40% - Accent1 2 2 2 4 4" xfId="10020" xr:uid="{E359D3D7-4EA8-49A7-9E95-6B1FE0E53DF7}"/>
    <cellStyle name="40% - Accent1 2 2 2 4 5" xfId="18465" xr:uid="{66A024A8-FDFD-4FC7-A94A-8A34B81F03CD}"/>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5703F7BE-0C2D-4372-AA06-CAC4B9420151}"/>
    <cellStyle name="40% - Accent1 2 2 2 5 2 2 3" xfId="25242" xr:uid="{87780E40-4A3A-4A77-B1BB-74340E3C8806}"/>
    <cellStyle name="40% - Accent1 2 2 2 5 2 3" xfId="12578" xr:uid="{8E80B3EC-BB8F-46B8-A7C2-1D5BE337B4CA}"/>
    <cellStyle name="40% - Accent1 2 2 2 5 2 4" xfId="21025" xr:uid="{E9340714-4EF0-44F9-826E-1A70F5902FE2}"/>
    <cellStyle name="40% - Accent1 2 2 2 5 3" xfId="6209" xr:uid="{00000000-0005-0000-0000-0000D4030000}"/>
    <cellStyle name="40% - Accent1 2 2 2 5 3 2" xfId="14651" xr:uid="{15400F23-3D52-4A83-8575-8CC92B7CA183}"/>
    <cellStyle name="40% - Accent1 2 2 2 5 3 3" xfId="23097" xr:uid="{3F4965DB-5E8A-47A1-AF25-7A422A381E1A}"/>
    <cellStyle name="40% - Accent1 2 2 2 5 4" xfId="10433" xr:uid="{6CF963FA-2A54-4F72-BEA4-BC0EBBD0F8B2}"/>
    <cellStyle name="40% - Accent1 2 2 2 5 5" xfId="18878" xr:uid="{9236ACA3-52DB-4F1D-9D88-96CD4827EDCC}"/>
    <cellStyle name="40% - Accent1 2 2 2 6" xfId="2315" xr:uid="{00000000-0005-0000-0000-0000D5030000}"/>
    <cellStyle name="40% - Accent1 2 2 2 6 2" xfId="6622" xr:uid="{00000000-0005-0000-0000-0000D6030000}"/>
    <cellStyle name="40% - Accent1 2 2 2 6 2 2" xfId="15064" xr:uid="{B7E7CA5B-F5D2-44B0-9C06-AD9394F9C6C9}"/>
    <cellStyle name="40% - Accent1 2 2 2 6 2 3" xfId="23510" xr:uid="{199DE60A-92AF-4744-BB52-036997BC4C96}"/>
    <cellStyle name="40% - Accent1 2 2 2 6 3" xfId="10846" xr:uid="{55378AAD-7A0D-49C5-9F87-76579166FACA}"/>
    <cellStyle name="40% - Accent1 2 2 2 6 4" xfId="19291" xr:uid="{73B52CDA-6B6F-4C72-A2A8-E381D905C2FE}"/>
    <cellStyle name="40% - Accent1 2 2 2 7" xfId="4556" xr:uid="{00000000-0005-0000-0000-0000D7030000}"/>
    <cellStyle name="40% - Accent1 2 2 2 7 2" xfId="12998" xr:uid="{CED99C75-708E-41E4-B84A-EBDF4B31F20E}"/>
    <cellStyle name="40% - Accent1 2 2 2 7 3" xfId="21444" xr:uid="{0AF06CD6-FC1D-4431-BFA4-6DB21F1551CA}"/>
    <cellStyle name="40% - Accent1 2 2 2 8" xfId="8780" xr:uid="{F6D1A451-A0B7-4E77-B775-2D063F5BF68B}"/>
    <cellStyle name="40% - Accent1 2 2 2 9" xfId="17222" xr:uid="{4D955AF7-1C5B-447A-94CE-DE471BBAA46B}"/>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2FA894C5-04BC-4CA0-89F8-3686A2916154}"/>
    <cellStyle name="40% - Accent1 2 2 3 2 2 3" xfId="24002" xr:uid="{94D19583-8CF9-4E74-B200-E81E480724E2}"/>
    <cellStyle name="40% - Accent1 2 2 3 2 3" xfId="11338" xr:uid="{4464C9AD-D977-4924-AB4D-A8974FF69366}"/>
    <cellStyle name="40% - Accent1 2 2 3 2 4" xfId="19785" xr:uid="{7336F63B-FDB6-4F92-83EC-EAA62C070F70}"/>
    <cellStyle name="40% - Accent1 2 2 3 3" xfId="4969" xr:uid="{00000000-0005-0000-0000-0000DB030000}"/>
    <cellStyle name="40% - Accent1 2 2 3 3 2" xfId="13411" xr:uid="{3CB695D9-D961-4C0D-B3BD-079B212BA6D5}"/>
    <cellStyle name="40% - Accent1 2 2 3 3 3" xfId="21857" xr:uid="{B1A44E5D-674B-4860-B49F-7AE5782F5174}"/>
    <cellStyle name="40% - Accent1 2 2 3 4" xfId="9193" xr:uid="{4CD3E076-39FE-4C55-8F34-9BD72AC5BF60}"/>
    <cellStyle name="40% - Accent1 2 2 3 5" xfId="17638" xr:uid="{1FB2B34F-5E8C-4554-B432-CA625DB473F0}"/>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B4A10D2A-6678-4CC0-94C0-5D9E1B18331D}"/>
    <cellStyle name="40% - Accent1 2 2 4 2 2 3" xfId="24415" xr:uid="{2E155A8A-BA65-4855-ADAD-6D05A8D9180E}"/>
    <cellStyle name="40% - Accent1 2 2 4 2 3" xfId="11751" xr:uid="{B4295D9F-83CD-4B48-8561-E813EA2C8791}"/>
    <cellStyle name="40% - Accent1 2 2 4 2 4" xfId="20198" xr:uid="{2CC9E1A6-3888-47B2-9789-61AA4F9DB901}"/>
    <cellStyle name="40% - Accent1 2 2 4 3" xfId="5382" xr:uid="{00000000-0005-0000-0000-0000DF030000}"/>
    <cellStyle name="40% - Accent1 2 2 4 3 2" xfId="13824" xr:uid="{051201C7-FD48-4D08-A054-02E722AE138A}"/>
    <cellStyle name="40% - Accent1 2 2 4 3 3" xfId="22270" xr:uid="{60E37B07-A48E-4DBD-9587-E4BA09DB6B61}"/>
    <cellStyle name="40% - Accent1 2 2 4 4" xfId="9606" xr:uid="{22D0738F-9EC6-4BDD-90E0-84F65768201C}"/>
    <cellStyle name="40% - Accent1 2 2 4 5" xfId="18051" xr:uid="{D9697E68-303E-4219-A30C-E0AE1A2160DB}"/>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1FB2DA96-2CC8-45D4-A86A-1E4551BC81A5}"/>
    <cellStyle name="40% - Accent1 2 2 5 2 2 3" xfId="24828" xr:uid="{737670CA-55CE-40BE-9E50-C5860C2029E1}"/>
    <cellStyle name="40% - Accent1 2 2 5 2 3" xfId="12164" xr:uid="{36CD9E4E-28A1-4E54-9F82-2C891C5F93A0}"/>
    <cellStyle name="40% - Accent1 2 2 5 2 4" xfId="20611" xr:uid="{9A7E94C4-DB46-42C1-A5A5-A0C43EAE13EF}"/>
    <cellStyle name="40% - Accent1 2 2 5 3" xfId="5795" xr:uid="{00000000-0005-0000-0000-0000E3030000}"/>
    <cellStyle name="40% - Accent1 2 2 5 3 2" xfId="14237" xr:uid="{F2F9E059-7572-481B-AE64-8D545D0DCDA6}"/>
    <cellStyle name="40% - Accent1 2 2 5 3 3" xfId="22683" xr:uid="{472CAF5C-7907-4365-B180-B483DAA38E5C}"/>
    <cellStyle name="40% - Accent1 2 2 5 4" xfId="10019" xr:uid="{02453023-8FA4-4043-B964-D1CCDD90C0F8}"/>
    <cellStyle name="40% - Accent1 2 2 5 5" xfId="18464" xr:uid="{06EB208A-C8AA-4C62-A030-DC83805BD5CF}"/>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84135C02-D238-49AA-9013-90A9FC3528A6}"/>
    <cellStyle name="40% - Accent1 2 2 6 2 2 3" xfId="25241" xr:uid="{018BE505-8478-4BD4-8BB9-6EC05AE17FA9}"/>
    <cellStyle name="40% - Accent1 2 2 6 2 3" xfId="12577" xr:uid="{8BCFB5AD-8B9A-48CA-A673-2927F6418EA1}"/>
    <cellStyle name="40% - Accent1 2 2 6 2 4" xfId="21024" xr:uid="{86E97323-69EF-4690-B9D1-28A95168D6F9}"/>
    <cellStyle name="40% - Accent1 2 2 6 3" xfId="6208" xr:uid="{00000000-0005-0000-0000-0000E7030000}"/>
    <cellStyle name="40% - Accent1 2 2 6 3 2" xfId="14650" xr:uid="{CB2F6CAF-8FB9-4E55-9F0D-E00DAE71F795}"/>
    <cellStyle name="40% - Accent1 2 2 6 3 3" xfId="23096" xr:uid="{6F86ECF2-B77A-403C-9311-E932AB3BEEAC}"/>
    <cellStyle name="40% - Accent1 2 2 6 4" xfId="10432" xr:uid="{377431FB-FBE4-42A0-987F-1D5D10B4C7C8}"/>
    <cellStyle name="40% - Accent1 2 2 6 5" xfId="18877" xr:uid="{9BB900C9-81E5-4FBD-AB55-B7177675503F}"/>
    <cellStyle name="40% - Accent1 2 2 7" xfId="2314" xr:uid="{00000000-0005-0000-0000-0000E8030000}"/>
    <cellStyle name="40% - Accent1 2 2 7 2" xfId="6621" xr:uid="{00000000-0005-0000-0000-0000E9030000}"/>
    <cellStyle name="40% - Accent1 2 2 7 2 2" xfId="15063" xr:uid="{6799E23C-9E9A-4A31-A4C6-0FF79EEF78C6}"/>
    <cellStyle name="40% - Accent1 2 2 7 2 3" xfId="23509" xr:uid="{819DE166-3D1F-4CAC-B8D8-842B882C9AEA}"/>
    <cellStyle name="40% - Accent1 2 2 7 3" xfId="10845" xr:uid="{E36DE8F5-4D62-4C89-BE08-0ACD32602DA4}"/>
    <cellStyle name="40% - Accent1 2 2 7 4" xfId="19290" xr:uid="{EBEB6FF1-29C0-4013-86E6-04DEB6003231}"/>
    <cellStyle name="40% - Accent1 2 2 8" xfId="4555" xr:uid="{00000000-0005-0000-0000-0000EA030000}"/>
    <cellStyle name="40% - Accent1 2 2 8 2" xfId="12997" xr:uid="{FABD06B9-F17D-4A70-A9B8-5D31EDD1E452}"/>
    <cellStyle name="40% - Accent1 2 2 8 3" xfId="21443" xr:uid="{4351A294-2D6E-4E7C-BC2B-86DDD140812E}"/>
    <cellStyle name="40% - Accent1 2 2 9" xfId="8779" xr:uid="{BEFC97F5-155C-4787-844C-4DDFE00EA52A}"/>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94BE9BD8-E5CC-420A-9850-163380E83869}"/>
    <cellStyle name="40% - Accent1 2 3 2 2 2 3" xfId="24004" xr:uid="{0BDC8FEA-35C3-4A1A-A568-650539048B5D}"/>
    <cellStyle name="40% - Accent1 2 3 2 2 3" xfId="11340" xr:uid="{E44F5294-C664-4289-BF5A-DFFEBB081B2A}"/>
    <cellStyle name="40% - Accent1 2 3 2 2 4" xfId="19787" xr:uid="{69F9ADCF-01A2-4874-9B7D-9894BA7E23CA}"/>
    <cellStyle name="40% - Accent1 2 3 2 3" xfId="4971" xr:uid="{00000000-0005-0000-0000-0000EF030000}"/>
    <cellStyle name="40% - Accent1 2 3 2 3 2" xfId="13413" xr:uid="{FC3D6C70-02C8-4618-8639-7BAB92D5C360}"/>
    <cellStyle name="40% - Accent1 2 3 2 3 3" xfId="21859" xr:uid="{2F585DA7-A98D-4593-8791-7C0AF9F63DB8}"/>
    <cellStyle name="40% - Accent1 2 3 2 4" xfId="9195" xr:uid="{0ED5DE10-3E20-4601-9BD8-C6BDB2E3DFD2}"/>
    <cellStyle name="40% - Accent1 2 3 2 5" xfId="17640" xr:uid="{E4A604D0-7526-4F40-AACF-60ADF5BDBED5}"/>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C7C8FE49-D75B-4ED8-99A9-130FFE96D5E8}"/>
    <cellStyle name="40% - Accent1 2 3 3 2 2 3" xfId="24417" xr:uid="{4C414E81-1011-48CC-8BBF-6EC3E512CEFB}"/>
    <cellStyle name="40% - Accent1 2 3 3 2 3" xfId="11753" xr:uid="{4EF92D92-C138-4E69-8DAE-7492FE4166ED}"/>
    <cellStyle name="40% - Accent1 2 3 3 2 4" xfId="20200" xr:uid="{C961E7FC-D39A-4752-913E-1F9655107708}"/>
    <cellStyle name="40% - Accent1 2 3 3 3" xfId="5384" xr:uid="{00000000-0005-0000-0000-0000F3030000}"/>
    <cellStyle name="40% - Accent1 2 3 3 3 2" xfId="13826" xr:uid="{ABB99133-7A3C-4CE5-91D0-DD95C4D2F336}"/>
    <cellStyle name="40% - Accent1 2 3 3 3 3" xfId="22272" xr:uid="{F8D022AA-B06E-4CE3-B755-095C1548739B}"/>
    <cellStyle name="40% - Accent1 2 3 3 4" xfId="9608" xr:uid="{912A30CD-5641-42A2-8F46-6E294F3243A8}"/>
    <cellStyle name="40% - Accent1 2 3 3 5" xfId="18053" xr:uid="{60C08288-1A65-4293-9D63-430C2E410D12}"/>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82625EAE-F44E-4408-A971-D2D0E71394D3}"/>
    <cellStyle name="40% - Accent1 2 3 4 2 2 3" xfId="24830" xr:uid="{F5DEE164-9930-4EFE-83D5-5F2AD6CDACD5}"/>
    <cellStyle name="40% - Accent1 2 3 4 2 3" xfId="12166" xr:uid="{DAEF0AED-D7B2-415A-8800-DB9897E923C4}"/>
    <cellStyle name="40% - Accent1 2 3 4 2 4" xfId="20613" xr:uid="{8C15D3A0-C94C-4D21-8343-675A9084672A}"/>
    <cellStyle name="40% - Accent1 2 3 4 3" xfId="5797" xr:uid="{00000000-0005-0000-0000-0000F7030000}"/>
    <cellStyle name="40% - Accent1 2 3 4 3 2" xfId="14239" xr:uid="{5217DF06-A68D-43AD-806A-8A541DF16070}"/>
    <cellStyle name="40% - Accent1 2 3 4 3 3" xfId="22685" xr:uid="{86F2B334-428A-4CDE-9515-538FCDC21D80}"/>
    <cellStyle name="40% - Accent1 2 3 4 4" xfId="10021" xr:uid="{574DCA81-1D88-4830-8B64-402E669452E4}"/>
    <cellStyle name="40% - Accent1 2 3 4 5" xfId="18466" xr:uid="{F12595A9-1D44-4095-825D-8210430A5826}"/>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C8172929-E682-4371-8CB1-6FACC7EC01C2}"/>
    <cellStyle name="40% - Accent1 2 3 5 2 2 3" xfId="25243" xr:uid="{E4FAC845-2B2F-4AAB-A45C-4073E4072977}"/>
    <cellStyle name="40% - Accent1 2 3 5 2 3" xfId="12579" xr:uid="{4034191B-1C3D-4E11-9664-E5511CBDC2EB}"/>
    <cellStyle name="40% - Accent1 2 3 5 2 4" xfId="21026" xr:uid="{BFE682D6-BE8A-4125-839D-45DACEB790B9}"/>
    <cellStyle name="40% - Accent1 2 3 5 3" xfId="6210" xr:uid="{00000000-0005-0000-0000-0000FB030000}"/>
    <cellStyle name="40% - Accent1 2 3 5 3 2" xfId="14652" xr:uid="{EEA5C910-4034-4740-AC86-9C25A58BF83A}"/>
    <cellStyle name="40% - Accent1 2 3 5 3 3" xfId="23098" xr:uid="{F60F2EE7-FDC2-41F6-80AC-5F860F458D5F}"/>
    <cellStyle name="40% - Accent1 2 3 5 4" xfId="10434" xr:uid="{B746256C-6272-4527-BEAF-3BF354C78BE9}"/>
    <cellStyle name="40% - Accent1 2 3 5 5" xfId="18879" xr:uid="{0F4FEE99-C97B-47F1-8985-3845FF5A5A58}"/>
    <cellStyle name="40% - Accent1 2 3 6" xfId="2316" xr:uid="{00000000-0005-0000-0000-0000FC030000}"/>
    <cellStyle name="40% - Accent1 2 3 6 2" xfId="6623" xr:uid="{00000000-0005-0000-0000-0000FD030000}"/>
    <cellStyle name="40% - Accent1 2 3 6 2 2" xfId="15065" xr:uid="{03670893-713A-4E05-83BD-99434008F669}"/>
    <cellStyle name="40% - Accent1 2 3 6 2 3" xfId="23511" xr:uid="{4915F0B6-237E-404F-A62D-2413FBFECE7A}"/>
    <cellStyle name="40% - Accent1 2 3 6 3" xfId="10847" xr:uid="{BAA66E71-7D3B-4720-BB9C-EB1C6E716945}"/>
    <cellStyle name="40% - Accent1 2 3 6 4" xfId="19292" xr:uid="{6F2C1BC0-F682-47BE-832A-16FEAEAD2711}"/>
    <cellStyle name="40% - Accent1 2 3 7" xfId="4557" xr:uid="{00000000-0005-0000-0000-0000FE030000}"/>
    <cellStyle name="40% - Accent1 2 3 7 2" xfId="12999" xr:uid="{79923A9C-0465-4C07-B0D2-EA257F90D431}"/>
    <cellStyle name="40% - Accent1 2 3 7 3" xfId="21445" xr:uid="{A62FE4DA-29BC-4848-96DC-04F1C317EFCC}"/>
    <cellStyle name="40% - Accent1 2 3 8" xfId="8781" xr:uid="{9FF519B7-EFF3-46E4-96A5-4F4D1ADA32C2}"/>
    <cellStyle name="40% - Accent1 2 3 9" xfId="17223" xr:uid="{84AD024E-8D67-43B5-AC90-2C7835C8772C}"/>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68812386-9997-4BFA-8168-54E105EEAD81}"/>
    <cellStyle name="40% - Accent1 2 4 2 2 3" xfId="24001" xr:uid="{846BF6E7-37FA-46BD-A88F-751665D13320}"/>
    <cellStyle name="40% - Accent1 2 4 2 3" xfId="11337" xr:uid="{48F71462-9D44-4BAD-9843-46AD26FC3FBE}"/>
    <cellStyle name="40% - Accent1 2 4 2 4" xfId="19784" xr:uid="{C162596D-5DFB-4099-8A24-37C6FAB98405}"/>
    <cellStyle name="40% - Accent1 2 4 3" xfId="4968" xr:uid="{00000000-0005-0000-0000-000002040000}"/>
    <cellStyle name="40% - Accent1 2 4 3 2" xfId="13410" xr:uid="{A2454823-2E5D-435B-B880-73F8FF48B752}"/>
    <cellStyle name="40% - Accent1 2 4 3 3" xfId="21856" xr:uid="{9755D63C-93EF-497B-A55F-095F56623343}"/>
    <cellStyle name="40% - Accent1 2 4 4" xfId="9192" xr:uid="{728AFF6D-2E8C-490C-8B0A-3AFDFC8268F1}"/>
    <cellStyle name="40% - Accent1 2 4 5" xfId="17637" xr:uid="{07D5A46C-A5FA-4925-84F5-304CA69D9A1C}"/>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40F799F6-89CE-4FC8-8BE2-B47E192280AF}"/>
    <cellStyle name="40% - Accent1 2 5 2 2 3" xfId="24414" xr:uid="{B1BC1615-8F6B-4737-B679-153A1B408A61}"/>
    <cellStyle name="40% - Accent1 2 5 2 3" xfId="11750" xr:uid="{F25E5FB5-28DB-46C7-88D7-B1A8DAA724A0}"/>
    <cellStyle name="40% - Accent1 2 5 2 4" xfId="20197" xr:uid="{B9896BDE-021F-4DDF-B194-C941DFF2021B}"/>
    <cellStyle name="40% - Accent1 2 5 3" xfId="5381" xr:uid="{00000000-0005-0000-0000-000006040000}"/>
    <cellStyle name="40% - Accent1 2 5 3 2" xfId="13823" xr:uid="{8F726309-ED3F-4AD8-B0FA-D92434216922}"/>
    <cellStyle name="40% - Accent1 2 5 3 3" xfId="22269" xr:uid="{17F58174-FD85-493B-99AB-7C0F5547AA38}"/>
    <cellStyle name="40% - Accent1 2 5 4" xfId="9605" xr:uid="{8687BCA1-F69B-4B25-A912-4FB1D6C4EF9A}"/>
    <cellStyle name="40% - Accent1 2 5 5" xfId="18050" xr:uid="{C85E09B2-E15E-4157-91E1-263F0A0D0C43}"/>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51F393EA-89AB-44AB-A1BE-F340D984CD3C}"/>
    <cellStyle name="40% - Accent1 2 6 2 2 3" xfId="24827" xr:uid="{13ADEE89-9376-48C6-8FCF-EECE8BA65C81}"/>
    <cellStyle name="40% - Accent1 2 6 2 3" xfId="12163" xr:uid="{305802AB-6494-48D2-9CBB-B383CE796598}"/>
    <cellStyle name="40% - Accent1 2 6 2 4" xfId="20610" xr:uid="{2771C218-82C4-4AF0-B48D-674B18A6415A}"/>
    <cellStyle name="40% - Accent1 2 6 3" xfId="5794" xr:uid="{00000000-0005-0000-0000-00000A040000}"/>
    <cellStyle name="40% - Accent1 2 6 3 2" xfId="14236" xr:uid="{DD3FFFDD-6661-4435-9894-68E1FC1E1E10}"/>
    <cellStyle name="40% - Accent1 2 6 3 3" xfId="22682" xr:uid="{682D16C8-ABDD-459A-AA56-50727A8FBB45}"/>
    <cellStyle name="40% - Accent1 2 6 4" xfId="10018" xr:uid="{FE711318-ECAA-417A-925E-4F2CFDE84043}"/>
    <cellStyle name="40% - Accent1 2 6 5" xfId="18463" xr:uid="{2562249B-038D-4800-9E60-45C42B324C89}"/>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C543F5E5-7B17-4288-B0B6-1080F17FA273}"/>
    <cellStyle name="40% - Accent1 2 7 2 2 3" xfId="25240" xr:uid="{C02D011D-0625-4FE1-8552-5CAD52C177AD}"/>
    <cellStyle name="40% - Accent1 2 7 2 3" xfId="12576" xr:uid="{A27AA528-73BF-43BF-AEB0-0044481EB90A}"/>
    <cellStyle name="40% - Accent1 2 7 2 4" xfId="21023" xr:uid="{CF41DD52-6EA4-4EB0-8AC4-2073AFD03C29}"/>
    <cellStyle name="40% - Accent1 2 7 3" xfId="6207" xr:uid="{00000000-0005-0000-0000-00000E040000}"/>
    <cellStyle name="40% - Accent1 2 7 3 2" xfId="14649" xr:uid="{D0F5A688-A25F-444C-A69B-15048195EECA}"/>
    <cellStyle name="40% - Accent1 2 7 3 3" xfId="23095" xr:uid="{CB45CBB7-D07B-46F5-AEEA-38CD0245AC39}"/>
    <cellStyle name="40% - Accent1 2 7 4" xfId="10431" xr:uid="{0C9A2E84-5EB9-4A2C-9E88-4C04D92B1E76}"/>
    <cellStyle name="40% - Accent1 2 7 5" xfId="18876" xr:uid="{6D56EA6F-1A17-41D6-8C6F-81DA39210C85}"/>
    <cellStyle name="40% - Accent1 2 8" xfId="2313" xr:uid="{00000000-0005-0000-0000-00000F040000}"/>
    <cellStyle name="40% - Accent1 2 8 2" xfId="6620" xr:uid="{00000000-0005-0000-0000-000010040000}"/>
    <cellStyle name="40% - Accent1 2 8 2 2" xfId="15062" xr:uid="{358E58FD-E4DF-439C-86C7-D718541EE8EC}"/>
    <cellStyle name="40% - Accent1 2 8 2 3" xfId="23508" xr:uid="{A28472B1-61FC-479B-AEC6-BC2785D92B8D}"/>
    <cellStyle name="40% - Accent1 2 8 3" xfId="10844" xr:uid="{3BDF2A19-DE6E-4061-9FA4-C47B89858207}"/>
    <cellStyle name="40% - Accent1 2 8 4" xfId="19289" xr:uid="{B3396305-7BDA-4664-B8B2-11D5E204C305}"/>
    <cellStyle name="40% - Accent1 2 9" xfId="4554" xr:uid="{00000000-0005-0000-0000-000011040000}"/>
    <cellStyle name="40% - Accent1 2 9 2" xfId="12996" xr:uid="{B9CB7618-8B7A-4823-8042-FCBC2F791843}"/>
    <cellStyle name="40% - Accent1 2 9 3" xfId="21442" xr:uid="{8357FFF2-C811-408C-93A0-47C89C149038}"/>
    <cellStyle name="40% - Accent1 3" xfId="54" xr:uid="{00000000-0005-0000-0000-000012040000}"/>
    <cellStyle name="40% - Accent1 3 10" xfId="17224" xr:uid="{EADD452B-5443-4A75-932A-6CCAFCF69C9C}"/>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4DB17D2F-1467-46F7-B95A-F83104CFA5E5}"/>
    <cellStyle name="40% - Accent1 3 2 2 2 2 3" xfId="24006" xr:uid="{AA232F47-5750-4C1D-B564-70042399BCB2}"/>
    <cellStyle name="40% - Accent1 3 2 2 2 3" xfId="11342" xr:uid="{581A3EAB-BE7F-4065-B2D7-7945EB61F86E}"/>
    <cellStyle name="40% - Accent1 3 2 2 2 4" xfId="19789" xr:uid="{5BA837DD-9121-4ECD-89BD-F044A41ED559}"/>
    <cellStyle name="40% - Accent1 3 2 2 3" xfId="4973" xr:uid="{00000000-0005-0000-0000-000017040000}"/>
    <cellStyle name="40% - Accent1 3 2 2 3 2" xfId="13415" xr:uid="{1FCDADB0-2F40-4109-839D-8D06CA38525D}"/>
    <cellStyle name="40% - Accent1 3 2 2 3 3" xfId="21861" xr:uid="{2EC39027-3A70-4A73-B485-2791A11B9249}"/>
    <cellStyle name="40% - Accent1 3 2 2 4" xfId="9197" xr:uid="{9C47C5D5-3975-44B6-888B-1CB88D06DAFF}"/>
    <cellStyle name="40% - Accent1 3 2 2 5" xfId="17642" xr:uid="{D50474F3-EB83-4D15-9444-E3844EFFB282}"/>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C65A902A-93B2-468E-8850-86AB17FAB947}"/>
    <cellStyle name="40% - Accent1 3 2 3 2 2 3" xfId="24419" xr:uid="{B0D0F83D-4B7F-4717-9455-A3B9DC8F5FB5}"/>
    <cellStyle name="40% - Accent1 3 2 3 2 3" xfId="11755" xr:uid="{E181DC5B-AE53-4984-83DA-F80AB9CD1E8F}"/>
    <cellStyle name="40% - Accent1 3 2 3 2 4" xfId="20202" xr:uid="{65833960-2C91-48EB-B82A-08F01C817532}"/>
    <cellStyle name="40% - Accent1 3 2 3 3" xfId="5386" xr:uid="{00000000-0005-0000-0000-00001B040000}"/>
    <cellStyle name="40% - Accent1 3 2 3 3 2" xfId="13828" xr:uid="{3C0794BD-4AEF-4F0C-A66C-FD6D172F42F4}"/>
    <cellStyle name="40% - Accent1 3 2 3 3 3" xfId="22274" xr:uid="{7B6B2B7F-E3F7-4962-ABC2-222776DAA936}"/>
    <cellStyle name="40% - Accent1 3 2 3 4" xfId="9610" xr:uid="{6D698B49-FA93-49A1-B128-42AE3AE8D373}"/>
    <cellStyle name="40% - Accent1 3 2 3 5" xfId="18055" xr:uid="{01849EB3-654E-4303-A432-CB0F9CFC462F}"/>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62422503-88DC-4616-B377-C69D6723AE68}"/>
    <cellStyle name="40% - Accent1 3 2 4 2 2 3" xfId="24832" xr:uid="{CE32C0F1-E54F-4A0A-88C8-2A0322D4FD31}"/>
    <cellStyle name="40% - Accent1 3 2 4 2 3" xfId="12168" xr:uid="{EE68E683-C38E-49BA-8B37-B203D0097822}"/>
    <cellStyle name="40% - Accent1 3 2 4 2 4" xfId="20615" xr:uid="{2869E452-C3A5-46A6-8F4D-8379212F9B7F}"/>
    <cellStyle name="40% - Accent1 3 2 4 3" xfId="5799" xr:uid="{00000000-0005-0000-0000-00001F040000}"/>
    <cellStyle name="40% - Accent1 3 2 4 3 2" xfId="14241" xr:uid="{3B776883-4340-44E6-B3CB-455DC79656D3}"/>
    <cellStyle name="40% - Accent1 3 2 4 3 3" xfId="22687" xr:uid="{0EF57BAC-A6FF-49CF-A3FD-7C3B8B7A3774}"/>
    <cellStyle name="40% - Accent1 3 2 4 4" xfId="10023" xr:uid="{70642836-7C17-4D3F-9FEF-7A875AEBBD31}"/>
    <cellStyle name="40% - Accent1 3 2 4 5" xfId="18468" xr:uid="{F29C0143-0EB7-49B6-B7C7-E2251C712D25}"/>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6EBDC1A5-9AF4-4825-938A-B62215E4DCEA}"/>
    <cellStyle name="40% - Accent1 3 2 5 2 2 3" xfId="25245" xr:uid="{8A0FCA2C-C55F-4C46-A9BA-57FEF3F797AB}"/>
    <cellStyle name="40% - Accent1 3 2 5 2 3" xfId="12581" xr:uid="{A61FD507-C347-4D38-9A3C-AC8C672A5EFE}"/>
    <cellStyle name="40% - Accent1 3 2 5 2 4" xfId="21028" xr:uid="{07F385B9-F4BF-40B6-BA06-3C803282F90F}"/>
    <cellStyle name="40% - Accent1 3 2 5 3" xfId="6212" xr:uid="{00000000-0005-0000-0000-000023040000}"/>
    <cellStyle name="40% - Accent1 3 2 5 3 2" xfId="14654" xr:uid="{DBA8365A-33AD-43FE-BD22-535C245471A2}"/>
    <cellStyle name="40% - Accent1 3 2 5 3 3" xfId="23100" xr:uid="{2D1CD2A7-395C-44A6-8A19-6AD61E1DDC60}"/>
    <cellStyle name="40% - Accent1 3 2 5 4" xfId="10436" xr:uid="{1858EB02-3489-4487-ADB2-EF951A846144}"/>
    <cellStyle name="40% - Accent1 3 2 5 5" xfId="18881" xr:uid="{12CF25A2-1616-42D7-9CDA-FC7E5512E2B1}"/>
    <cellStyle name="40% - Accent1 3 2 6" xfId="2318" xr:uid="{00000000-0005-0000-0000-000024040000}"/>
    <cellStyle name="40% - Accent1 3 2 6 2" xfId="6625" xr:uid="{00000000-0005-0000-0000-000025040000}"/>
    <cellStyle name="40% - Accent1 3 2 6 2 2" xfId="15067" xr:uid="{939C9B7A-67DF-46E5-8F97-3FF4C9F38B6F}"/>
    <cellStyle name="40% - Accent1 3 2 6 2 3" xfId="23513" xr:uid="{51CFDD7C-9B3F-46AC-B84E-F6A88A394833}"/>
    <cellStyle name="40% - Accent1 3 2 6 3" xfId="10849" xr:uid="{B856CF13-9C46-4CDE-8928-7421F02D01F3}"/>
    <cellStyle name="40% - Accent1 3 2 6 4" xfId="19294" xr:uid="{9BF9F67D-4280-47C8-840D-7F1F1BD2746D}"/>
    <cellStyle name="40% - Accent1 3 2 7" xfId="4559" xr:uid="{00000000-0005-0000-0000-000026040000}"/>
    <cellStyle name="40% - Accent1 3 2 7 2" xfId="13001" xr:uid="{5AA66D1D-C7AC-4E20-8A72-01BABAEF196B}"/>
    <cellStyle name="40% - Accent1 3 2 7 3" xfId="21447" xr:uid="{9D2951AE-607A-4536-AB98-664CC1E53CB0}"/>
    <cellStyle name="40% - Accent1 3 2 8" xfId="8783" xr:uid="{D42A852A-E45E-4D95-A27B-0751F4EA0150}"/>
    <cellStyle name="40% - Accent1 3 2 9" xfId="17225" xr:uid="{D3031ED0-E053-4244-B3FE-A25E54129E99}"/>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4CBE095B-D5B1-46D7-B05F-753707D25599}"/>
    <cellStyle name="40% - Accent1 3 3 2 2 3" xfId="24005" xr:uid="{0116CB5E-58FA-4DC2-8D45-2E3178ED8564}"/>
    <cellStyle name="40% - Accent1 3 3 2 3" xfId="11341" xr:uid="{E9EB196B-5D15-4B55-8A56-8F7545CFB56B}"/>
    <cellStyle name="40% - Accent1 3 3 2 4" xfId="19788" xr:uid="{30101AF4-68F1-4B43-A5AD-901702983A3C}"/>
    <cellStyle name="40% - Accent1 3 3 3" xfId="4972" xr:uid="{00000000-0005-0000-0000-00002A040000}"/>
    <cellStyle name="40% - Accent1 3 3 3 2" xfId="13414" xr:uid="{22D318E8-046D-4CF5-AC1D-1D64A784D567}"/>
    <cellStyle name="40% - Accent1 3 3 3 3" xfId="21860" xr:uid="{F67920E7-C432-410D-A69F-E291E2D467C9}"/>
    <cellStyle name="40% - Accent1 3 3 4" xfId="9196" xr:uid="{CE537CA9-EE2F-4C76-8C91-CD255A6C5A22}"/>
    <cellStyle name="40% - Accent1 3 3 5" xfId="17641" xr:uid="{D18DA439-90A0-4460-802F-E8FF745D032E}"/>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A9F22E70-07EE-42A4-96AD-0E558939DE17}"/>
    <cellStyle name="40% - Accent1 3 4 2 2 3" xfId="24418" xr:uid="{65E67649-B452-455A-A909-DA3A7DBC5497}"/>
    <cellStyle name="40% - Accent1 3 4 2 3" xfId="11754" xr:uid="{27B87454-C5C2-44A9-88F5-82B0CE2CA2CA}"/>
    <cellStyle name="40% - Accent1 3 4 2 4" xfId="20201" xr:uid="{786F84BF-3541-4B7D-8921-0A5FC18C61F8}"/>
    <cellStyle name="40% - Accent1 3 4 3" xfId="5385" xr:uid="{00000000-0005-0000-0000-00002E040000}"/>
    <cellStyle name="40% - Accent1 3 4 3 2" xfId="13827" xr:uid="{3EC1963D-B29C-4CDE-8AB7-524764D22428}"/>
    <cellStyle name="40% - Accent1 3 4 3 3" xfId="22273" xr:uid="{9606036D-7085-4F6C-B21D-CEDAE92AC1AD}"/>
    <cellStyle name="40% - Accent1 3 4 4" xfId="9609" xr:uid="{051B9852-B546-4773-AEFB-55772E6B7863}"/>
    <cellStyle name="40% - Accent1 3 4 5" xfId="18054" xr:uid="{940AF24D-462B-477D-B397-762A261BE63C}"/>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BFD41531-9A11-48BD-8DF3-9B95A3980815}"/>
    <cellStyle name="40% - Accent1 3 5 2 2 3" xfId="24831" xr:uid="{B859487B-4599-425C-B643-328C5B2AB88D}"/>
    <cellStyle name="40% - Accent1 3 5 2 3" xfId="12167" xr:uid="{F255113E-D334-4AE8-A1D4-54AF90E4B5A3}"/>
    <cellStyle name="40% - Accent1 3 5 2 4" xfId="20614" xr:uid="{4F501FB9-4C8E-41F5-88BE-AABC5F0306C7}"/>
    <cellStyle name="40% - Accent1 3 5 3" xfId="5798" xr:uid="{00000000-0005-0000-0000-000032040000}"/>
    <cellStyle name="40% - Accent1 3 5 3 2" xfId="14240" xr:uid="{1B3F9371-0C17-49C2-897A-21E7E89D1132}"/>
    <cellStyle name="40% - Accent1 3 5 3 3" xfId="22686" xr:uid="{11D1D751-9B07-4991-BE80-C493525CC8B3}"/>
    <cellStyle name="40% - Accent1 3 5 4" xfId="10022" xr:uid="{5603C046-A289-4291-9430-AA0E095CB617}"/>
    <cellStyle name="40% - Accent1 3 5 5" xfId="18467" xr:uid="{5F95D173-09A5-4B26-953E-1EDE515C80D0}"/>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A9D0E1BA-A148-492D-B713-899352EA1B50}"/>
    <cellStyle name="40% - Accent1 3 6 2 2 3" xfId="25244" xr:uid="{FFEDC86D-EC11-4CC8-9990-FF7E70771020}"/>
    <cellStyle name="40% - Accent1 3 6 2 3" xfId="12580" xr:uid="{AC4C5C4E-FFEF-4ED0-9352-B432BEEDD379}"/>
    <cellStyle name="40% - Accent1 3 6 2 4" xfId="21027" xr:uid="{FB5266C1-A0D9-4C5B-9FFD-44BFA2F23456}"/>
    <cellStyle name="40% - Accent1 3 6 3" xfId="6211" xr:uid="{00000000-0005-0000-0000-000036040000}"/>
    <cellStyle name="40% - Accent1 3 6 3 2" xfId="14653" xr:uid="{86307987-8EE8-4870-8A03-C8F6319403AA}"/>
    <cellStyle name="40% - Accent1 3 6 3 3" xfId="23099" xr:uid="{65DD2D9C-2E2B-4FA1-A535-3783FB99608C}"/>
    <cellStyle name="40% - Accent1 3 6 4" xfId="10435" xr:uid="{F12ED714-DC4D-4B13-91F4-BDCFC5029908}"/>
    <cellStyle name="40% - Accent1 3 6 5" xfId="18880" xr:uid="{62E9C13D-C2B1-4171-8BE0-447713735C81}"/>
    <cellStyle name="40% - Accent1 3 7" xfId="2317" xr:uid="{00000000-0005-0000-0000-000037040000}"/>
    <cellStyle name="40% - Accent1 3 7 2" xfId="6624" xr:uid="{00000000-0005-0000-0000-000038040000}"/>
    <cellStyle name="40% - Accent1 3 7 2 2" xfId="15066" xr:uid="{D49F4E6D-4E7A-47CD-AE4F-99CEA3023EFE}"/>
    <cellStyle name="40% - Accent1 3 7 2 3" xfId="23512" xr:uid="{1E2DA5A6-4CA8-47A4-BCD6-2897C2173F59}"/>
    <cellStyle name="40% - Accent1 3 7 3" xfId="10848" xr:uid="{BEB95BCF-B941-4295-A582-562153148F1B}"/>
    <cellStyle name="40% - Accent1 3 7 4" xfId="19293" xr:uid="{E846399C-7A93-4825-B1A5-C1EC913779CC}"/>
    <cellStyle name="40% - Accent1 3 8" xfId="4558" xr:uid="{00000000-0005-0000-0000-000039040000}"/>
    <cellStyle name="40% - Accent1 3 8 2" xfId="13000" xr:uid="{CD537ED4-CE45-44F3-BB92-96EE95CAD84B}"/>
    <cellStyle name="40% - Accent1 3 8 3" xfId="21446" xr:uid="{BF2C5D04-82D2-4D98-A9C3-3D747068F562}"/>
    <cellStyle name="40% - Accent1 3 9" xfId="8782" xr:uid="{1670BFEA-4C81-40D9-A543-684E0BE29FE4}"/>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73030843-3371-44A4-A362-46EA1011342E}"/>
    <cellStyle name="40% - Accent1 4 2 2 2 3" xfId="24007" xr:uid="{9F6AD9C7-461C-4064-889E-B932FF0D1E9C}"/>
    <cellStyle name="40% - Accent1 4 2 2 3" xfId="11343" xr:uid="{42179744-6DF7-4113-A631-2C2DFBF12B40}"/>
    <cellStyle name="40% - Accent1 4 2 2 4" xfId="19790" xr:uid="{60736A10-9142-4B95-B324-A9B7DB8AFD6A}"/>
    <cellStyle name="40% - Accent1 4 2 3" xfId="4974" xr:uid="{00000000-0005-0000-0000-00003E040000}"/>
    <cellStyle name="40% - Accent1 4 2 3 2" xfId="13416" xr:uid="{4237510E-006A-4C9B-8306-D6417BB2A4CF}"/>
    <cellStyle name="40% - Accent1 4 2 3 3" xfId="21862" xr:uid="{5177F705-DAE0-4BFF-B56D-38DEC2FB3D09}"/>
    <cellStyle name="40% - Accent1 4 2 4" xfId="9198" xr:uid="{A1E37565-F0CB-4B12-8137-5DABB95576CC}"/>
    <cellStyle name="40% - Accent1 4 2 5" xfId="17643" xr:uid="{337BAF51-2FB4-46A6-B73E-70FB25DB3230}"/>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58D40D0E-D23B-42BB-A0AD-79F3B7021633}"/>
    <cellStyle name="40% - Accent1 4 3 2 2 3" xfId="24420" xr:uid="{144DCDE6-BA2F-49D9-8EBD-FE4828F3AD27}"/>
    <cellStyle name="40% - Accent1 4 3 2 3" xfId="11756" xr:uid="{65F1F982-B54D-426F-8AD4-27132411586E}"/>
    <cellStyle name="40% - Accent1 4 3 2 4" xfId="20203" xr:uid="{0EF23992-6787-48CE-A141-959C6DBF0E8E}"/>
    <cellStyle name="40% - Accent1 4 3 3" xfId="5387" xr:uid="{00000000-0005-0000-0000-000042040000}"/>
    <cellStyle name="40% - Accent1 4 3 3 2" xfId="13829" xr:uid="{AA795324-3046-4026-ACDC-173D838C5F1C}"/>
    <cellStyle name="40% - Accent1 4 3 3 3" xfId="22275" xr:uid="{42B663F2-95B0-4386-928C-514A176E6608}"/>
    <cellStyle name="40% - Accent1 4 3 4" xfId="9611" xr:uid="{933918E2-0B31-49F1-8FD6-CE01C2E331E6}"/>
    <cellStyle name="40% - Accent1 4 3 5" xfId="18056" xr:uid="{2C33D7A1-3D6E-4C6C-B39D-5861ECFCD292}"/>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EDF78F96-704E-48D3-900C-66E8DF57CB17}"/>
    <cellStyle name="40% - Accent1 4 4 2 2 3" xfId="24833" xr:uid="{11310628-3970-4D8C-8297-6CFFEB73896B}"/>
    <cellStyle name="40% - Accent1 4 4 2 3" xfId="12169" xr:uid="{D734DF24-978B-4871-9EC5-BED6B474A339}"/>
    <cellStyle name="40% - Accent1 4 4 2 4" xfId="20616" xr:uid="{42764021-0777-4997-AE3F-80FDACB92AC4}"/>
    <cellStyle name="40% - Accent1 4 4 3" xfId="5800" xr:uid="{00000000-0005-0000-0000-000046040000}"/>
    <cellStyle name="40% - Accent1 4 4 3 2" xfId="14242" xr:uid="{875986B0-7C31-4369-B7B0-3CE168D0EC3E}"/>
    <cellStyle name="40% - Accent1 4 4 3 3" xfId="22688" xr:uid="{F5A2422F-E8E3-41B4-8BFF-C8ED20002838}"/>
    <cellStyle name="40% - Accent1 4 4 4" xfId="10024" xr:uid="{86D34319-85E6-47DE-B2F2-C43CF0F9D552}"/>
    <cellStyle name="40% - Accent1 4 4 5" xfId="18469" xr:uid="{C879C2FF-08D2-4766-89EF-930CB500A60F}"/>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4892D7E8-9B1D-4654-BC33-9D3DA43E0469}"/>
    <cellStyle name="40% - Accent1 4 5 2 2 3" xfId="25246" xr:uid="{7847B51C-9062-46CD-8912-DAF860F549D1}"/>
    <cellStyle name="40% - Accent1 4 5 2 3" xfId="12582" xr:uid="{F103DE45-AA02-4D83-8C39-688B5690668E}"/>
    <cellStyle name="40% - Accent1 4 5 2 4" xfId="21029" xr:uid="{611CE09D-4370-4664-8D83-34A6CE69D130}"/>
    <cellStyle name="40% - Accent1 4 5 3" xfId="6213" xr:uid="{00000000-0005-0000-0000-00004A040000}"/>
    <cellStyle name="40% - Accent1 4 5 3 2" xfId="14655" xr:uid="{00F28287-8234-461C-B107-FF6E3F3752D7}"/>
    <cellStyle name="40% - Accent1 4 5 3 3" xfId="23101" xr:uid="{6ED65928-9025-4902-91D2-A13F85EF2A0C}"/>
    <cellStyle name="40% - Accent1 4 5 4" xfId="10437" xr:uid="{50A38BF9-6A54-4BC6-81A4-A2848544A9F9}"/>
    <cellStyle name="40% - Accent1 4 5 5" xfId="18882" xr:uid="{DB16C181-8DD9-442A-83B3-B1C62DADB279}"/>
    <cellStyle name="40% - Accent1 4 6" xfId="2319" xr:uid="{00000000-0005-0000-0000-00004B040000}"/>
    <cellStyle name="40% - Accent1 4 6 2" xfId="6626" xr:uid="{00000000-0005-0000-0000-00004C040000}"/>
    <cellStyle name="40% - Accent1 4 6 2 2" xfId="15068" xr:uid="{BD8C00B0-BFA6-43A4-B9CD-3D7F48699DA1}"/>
    <cellStyle name="40% - Accent1 4 6 2 3" xfId="23514" xr:uid="{086FEAA4-E62B-4C84-A0ED-DB2117F76319}"/>
    <cellStyle name="40% - Accent1 4 6 3" xfId="10850" xr:uid="{69FA2A78-D431-49DE-B897-CC7E6DE99CDF}"/>
    <cellStyle name="40% - Accent1 4 6 4" xfId="19295" xr:uid="{40271FED-8780-44BB-8C66-7A9B58FC7058}"/>
    <cellStyle name="40% - Accent1 4 7" xfId="4560" xr:uid="{00000000-0005-0000-0000-00004D040000}"/>
    <cellStyle name="40% - Accent1 4 7 2" xfId="13002" xr:uid="{9C9BF9C6-BFE2-484B-B70B-F296E80A75E6}"/>
    <cellStyle name="40% - Accent1 4 7 3" xfId="21448" xr:uid="{76C260D5-CE7B-4FAC-8645-A70BBBEE282F}"/>
    <cellStyle name="40% - Accent1 4 8" xfId="8784" xr:uid="{4B264E7B-4045-4CA7-9B97-303FC2F7D57A}"/>
    <cellStyle name="40% - Accent1 4 9" xfId="17226" xr:uid="{04A66DFB-D5B5-405C-99B1-B9E97C48DBF0}"/>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29A9E1BC-EC29-4E38-967F-A1E42CBC3FA8}"/>
    <cellStyle name="40% - Accent1 5 2 2 3" xfId="24000" xr:uid="{0AC64177-41A9-4FA3-AC5D-C31224920A4C}"/>
    <cellStyle name="40% - Accent1 5 2 3" xfId="11336" xr:uid="{8E126609-12A0-4058-88A4-B4EF4AEC0F8E}"/>
    <cellStyle name="40% - Accent1 5 2 4" xfId="19783" xr:uid="{272167FE-7275-4D92-9374-764B2EC70F64}"/>
    <cellStyle name="40% - Accent1 5 3" xfId="4967" xr:uid="{00000000-0005-0000-0000-000051040000}"/>
    <cellStyle name="40% - Accent1 5 3 2" xfId="13409" xr:uid="{F4A901D1-868B-4FA9-9AF6-BEAC608DCDBA}"/>
    <cellStyle name="40% - Accent1 5 3 3" xfId="21855" xr:uid="{9CDC9785-A33B-44FB-8E21-E1810C03226E}"/>
    <cellStyle name="40% - Accent1 5 4" xfId="9191" xr:uid="{FD5F46A1-1C5F-44F8-9637-647CDC089140}"/>
    <cellStyle name="40% - Accent1 5 5" xfId="17636" xr:uid="{8F700B79-A1E2-4E6F-9506-2D8509767813}"/>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EFB1899B-CE4E-4B17-AF32-0234F4499AA0}"/>
    <cellStyle name="40% - Accent1 6 2 2 3" xfId="24413" xr:uid="{3156C310-C865-4DEA-8098-285BBCC42BFC}"/>
    <cellStyle name="40% - Accent1 6 2 3" xfId="11749" xr:uid="{B8787306-D584-47D0-9791-BF54D5886C8A}"/>
    <cellStyle name="40% - Accent1 6 2 4" xfId="20196" xr:uid="{61133BCA-C9B7-4BD4-BB8B-AF32E52C06A9}"/>
    <cellStyle name="40% - Accent1 6 3" xfId="5380" xr:uid="{00000000-0005-0000-0000-000055040000}"/>
    <cellStyle name="40% - Accent1 6 3 2" xfId="13822" xr:uid="{29FD37B7-29BE-4C7F-ABA3-38659FDF397F}"/>
    <cellStyle name="40% - Accent1 6 3 3" xfId="22268" xr:uid="{CA703A87-BCEC-42FF-9787-1859870542E8}"/>
    <cellStyle name="40% - Accent1 6 4" xfId="9604" xr:uid="{DC8E9DED-909F-4FD9-B65E-CEF18EDED06F}"/>
    <cellStyle name="40% - Accent1 6 5" xfId="18049" xr:uid="{619BE257-6BAA-4947-A619-5C15BB350C68}"/>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58631356-E5D9-43ED-930A-57896E5E1C23}"/>
    <cellStyle name="40% - Accent1 7 2 2 3" xfId="24826" xr:uid="{B609EE07-0690-4110-943A-661BA45BE63D}"/>
    <cellStyle name="40% - Accent1 7 2 3" xfId="12162" xr:uid="{935AAAE7-6C79-487E-ACAC-7C4EBC0C2947}"/>
    <cellStyle name="40% - Accent1 7 2 4" xfId="20609" xr:uid="{D1427405-4EFB-465D-8B33-109ABE5B18FB}"/>
    <cellStyle name="40% - Accent1 7 3" xfId="5793" xr:uid="{00000000-0005-0000-0000-000059040000}"/>
    <cellStyle name="40% - Accent1 7 3 2" xfId="14235" xr:uid="{8A4AAA38-D6DA-417E-BA7D-E5B7BBD341F0}"/>
    <cellStyle name="40% - Accent1 7 3 3" xfId="22681" xr:uid="{C2753526-E5CF-4161-8C15-C9E7FC44E32C}"/>
    <cellStyle name="40% - Accent1 7 4" xfId="10017" xr:uid="{4CE2E9EF-F632-4D7C-89BE-C400BE3A6D46}"/>
    <cellStyle name="40% - Accent1 7 5" xfId="18462" xr:uid="{7BAD4C61-E181-4FA5-8140-7131F4978B4F}"/>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2CD92D09-DBD0-4A65-9D30-29DD7E795F70}"/>
    <cellStyle name="40% - Accent1 8 2 2 3" xfId="25239" xr:uid="{F72B7CD7-7D0F-4CF4-8A85-D31448CCEF03}"/>
    <cellStyle name="40% - Accent1 8 2 3" xfId="12575" xr:uid="{DF6298B6-87D0-4BC9-B005-DEBA79E69B80}"/>
    <cellStyle name="40% - Accent1 8 2 4" xfId="21022" xr:uid="{D93F7DB3-7202-475E-B244-6D4ECC029B9C}"/>
    <cellStyle name="40% - Accent1 8 3" xfId="6206" xr:uid="{00000000-0005-0000-0000-00005D040000}"/>
    <cellStyle name="40% - Accent1 8 3 2" xfId="14648" xr:uid="{3AB249D7-F265-4FFD-B33A-94936CA1C2CC}"/>
    <cellStyle name="40% - Accent1 8 3 3" xfId="23094" xr:uid="{E1DD27DF-B1A4-43FB-BB19-CD92A6F17793}"/>
    <cellStyle name="40% - Accent1 8 4" xfId="10430" xr:uid="{B56242DF-278D-47CE-92B6-04FB02B2C840}"/>
    <cellStyle name="40% - Accent1 8 5" xfId="18875" xr:uid="{C29FEDD4-D55B-41C7-A119-45E3547851FE}"/>
    <cellStyle name="40% - Accent1 9" xfId="2312" xr:uid="{00000000-0005-0000-0000-00005E040000}"/>
    <cellStyle name="40% - Accent1 9 2" xfId="6619" xr:uid="{00000000-0005-0000-0000-00005F040000}"/>
    <cellStyle name="40% - Accent1 9 2 2" xfId="15061" xr:uid="{89633598-1A59-4D60-8983-139BA77780A3}"/>
    <cellStyle name="40% - Accent1 9 2 3" xfId="23507" xr:uid="{E06C893B-F9C4-42C0-A076-BC877DC72F53}"/>
    <cellStyle name="40% - Accent1 9 3" xfId="10843" xr:uid="{5B7E5F16-A22C-4092-9241-996E6EBAB212}"/>
    <cellStyle name="40% - Accent1 9 4" xfId="19288" xr:uid="{32F8FB0D-EA43-4C6C-A556-F0251064E538}"/>
    <cellStyle name="40% - Accent2" xfId="57" builtinId="35" customBuiltin="1"/>
    <cellStyle name="40% - Accent2 10" xfId="4561" xr:uid="{00000000-0005-0000-0000-000061040000}"/>
    <cellStyle name="40% - Accent2 10 2" xfId="13003" xr:uid="{05653A94-7C02-4E02-99DC-E5EDCD514044}"/>
    <cellStyle name="40% - Accent2 10 3" xfId="21449" xr:uid="{DB460FDD-AFAC-4B68-9200-DE6782220B8B}"/>
    <cellStyle name="40% - Accent2 11" xfId="8785" xr:uid="{090E2ADE-1C8A-43ED-A091-E2580AA9DDDA}"/>
    <cellStyle name="40% - Accent2 12" xfId="17227" xr:uid="{8F443706-B9AE-4A69-B5BD-C45DF946A9C5}"/>
    <cellStyle name="40% - Accent2 2" xfId="58" xr:uid="{00000000-0005-0000-0000-000062040000}"/>
    <cellStyle name="40% - Accent2 2 10" xfId="8786" xr:uid="{5E4AF3FE-7D96-4DAB-8FAA-7604E6B7B0E7}"/>
    <cellStyle name="40% - Accent2 2 11" xfId="17228" xr:uid="{ECDBB1DD-1A71-4D2C-8171-83AA3A8AFBBE}"/>
    <cellStyle name="40% - Accent2 2 2" xfId="59" xr:uid="{00000000-0005-0000-0000-000063040000}"/>
    <cellStyle name="40% - Accent2 2 2 10" xfId="17229" xr:uid="{C6B03AB9-BD11-4A42-B062-70C98F1CBC64}"/>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734CD041-1A27-4669-A5E3-BDFC047AF2B5}"/>
    <cellStyle name="40% - Accent2 2 2 2 2 2 2 3" xfId="24011" xr:uid="{93AACF2E-60E1-468F-8E95-88619FDDCFCF}"/>
    <cellStyle name="40% - Accent2 2 2 2 2 2 3" xfId="11347" xr:uid="{666A1735-5EBB-440B-A931-CE8E669505A9}"/>
    <cellStyle name="40% - Accent2 2 2 2 2 2 4" xfId="19794" xr:uid="{46D3428B-B975-44DA-90FD-80CBBA7FBACF}"/>
    <cellStyle name="40% - Accent2 2 2 2 2 3" xfId="4978" xr:uid="{00000000-0005-0000-0000-000068040000}"/>
    <cellStyle name="40% - Accent2 2 2 2 2 3 2" xfId="13420" xr:uid="{404655E4-2B29-40FB-91AC-4AF33704FBB3}"/>
    <cellStyle name="40% - Accent2 2 2 2 2 3 3" xfId="21866" xr:uid="{06858373-EF0E-4D6B-8673-D0B76263117E}"/>
    <cellStyle name="40% - Accent2 2 2 2 2 4" xfId="9202" xr:uid="{646D6C23-53A6-4CBE-9B5A-E9481C92669F}"/>
    <cellStyle name="40% - Accent2 2 2 2 2 5" xfId="17647" xr:uid="{6A735DBB-AB79-4032-8AFA-0E56AEC5A138}"/>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EDC420CA-3212-426C-A1F6-7CC49A0CAF29}"/>
    <cellStyle name="40% - Accent2 2 2 2 3 2 2 3" xfId="24424" xr:uid="{21A78484-26B9-46E3-B162-AF3820229561}"/>
    <cellStyle name="40% - Accent2 2 2 2 3 2 3" xfId="11760" xr:uid="{2E3993D0-C598-4288-87CD-E88153E02466}"/>
    <cellStyle name="40% - Accent2 2 2 2 3 2 4" xfId="20207" xr:uid="{9A9DA8A5-9F9D-427B-9E77-2A3CBA4945B4}"/>
    <cellStyle name="40% - Accent2 2 2 2 3 3" xfId="5391" xr:uid="{00000000-0005-0000-0000-00006C040000}"/>
    <cellStyle name="40% - Accent2 2 2 2 3 3 2" xfId="13833" xr:uid="{A0DAA1E3-36BD-4E4C-A063-B56288E0EEB6}"/>
    <cellStyle name="40% - Accent2 2 2 2 3 3 3" xfId="22279" xr:uid="{27487A4F-79BA-4A62-B5E3-0D4BB4E9A1C3}"/>
    <cellStyle name="40% - Accent2 2 2 2 3 4" xfId="9615" xr:uid="{2EEF8B0F-3479-427E-B0AC-183354165D12}"/>
    <cellStyle name="40% - Accent2 2 2 2 3 5" xfId="18060" xr:uid="{4A4F850B-864F-44B2-B734-7937EFE744BA}"/>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421125A4-50C9-4355-8517-4A04CA284178}"/>
    <cellStyle name="40% - Accent2 2 2 2 4 2 2 3" xfId="24837" xr:uid="{D50637FE-B3BF-4AD7-A2B5-C32158B2524E}"/>
    <cellStyle name="40% - Accent2 2 2 2 4 2 3" xfId="12173" xr:uid="{7C1B8E57-EA13-4E68-B881-0D2A845BCB8B}"/>
    <cellStyle name="40% - Accent2 2 2 2 4 2 4" xfId="20620" xr:uid="{C362A4B7-207E-4C1B-A809-6906256F3936}"/>
    <cellStyle name="40% - Accent2 2 2 2 4 3" xfId="5804" xr:uid="{00000000-0005-0000-0000-000070040000}"/>
    <cellStyle name="40% - Accent2 2 2 2 4 3 2" xfId="14246" xr:uid="{C2E21549-DFD5-4168-8E9E-23E37385E093}"/>
    <cellStyle name="40% - Accent2 2 2 2 4 3 3" xfId="22692" xr:uid="{06264D2C-8C09-4E3F-B0F4-FC0656233164}"/>
    <cellStyle name="40% - Accent2 2 2 2 4 4" xfId="10028" xr:uid="{D2061F0B-A9C9-417E-8134-D7A5D95AA76A}"/>
    <cellStyle name="40% - Accent2 2 2 2 4 5" xfId="18473" xr:uid="{129C766E-7FD5-4979-BA7A-4A87E4BE999D}"/>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964A3054-8CE9-423B-B644-1F36FECD8AD6}"/>
    <cellStyle name="40% - Accent2 2 2 2 5 2 2 3" xfId="25250" xr:uid="{A7423BAA-F9BE-460E-A774-11611ED33951}"/>
    <cellStyle name="40% - Accent2 2 2 2 5 2 3" xfId="12586" xr:uid="{1F787A22-B6C1-451C-802B-0FF9B6CEF122}"/>
    <cellStyle name="40% - Accent2 2 2 2 5 2 4" xfId="21033" xr:uid="{B12F5F89-3A55-4BCD-B8C4-534FB00AB9B1}"/>
    <cellStyle name="40% - Accent2 2 2 2 5 3" xfId="6217" xr:uid="{00000000-0005-0000-0000-000074040000}"/>
    <cellStyle name="40% - Accent2 2 2 2 5 3 2" xfId="14659" xr:uid="{7B0C9145-B9A6-4787-B7E2-2082427031B6}"/>
    <cellStyle name="40% - Accent2 2 2 2 5 3 3" xfId="23105" xr:uid="{55DCEB2B-33AA-4CC3-8F44-4447966EEFD7}"/>
    <cellStyle name="40% - Accent2 2 2 2 5 4" xfId="10441" xr:uid="{2147A340-6643-4653-BEDD-F6297D994F1D}"/>
    <cellStyle name="40% - Accent2 2 2 2 5 5" xfId="18886" xr:uid="{E6858A1B-1FCC-48C2-8C4A-1B54F2DFE81B}"/>
    <cellStyle name="40% - Accent2 2 2 2 6" xfId="2323" xr:uid="{00000000-0005-0000-0000-000075040000}"/>
    <cellStyle name="40% - Accent2 2 2 2 6 2" xfId="6630" xr:uid="{00000000-0005-0000-0000-000076040000}"/>
    <cellStyle name="40% - Accent2 2 2 2 6 2 2" xfId="15072" xr:uid="{FCCC008B-3F23-4DDB-89E8-F29C13C77862}"/>
    <cellStyle name="40% - Accent2 2 2 2 6 2 3" xfId="23518" xr:uid="{3A045706-C8EE-4495-9E3C-82E00679A6AD}"/>
    <cellStyle name="40% - Accent2 2 2 2 6 3" xfId="10854" xr:uid="{125F7E05-FC0E-49F8-BA11-E6DAF7F53689}"/>
    <cellStyle name="40% - Accent2 2 2 2 6 4" xfId="19299" xr:uid="{30901463-F8DC-4E46-911A-04EFB2BD7248}"/>
    <cellStyle name="40% - Accent2 2 2 2 7" xfId="4564" xr:uid="{00000000-0005-0000-0000-000077040000}"/>
    <cellStyle name="40% - Accent2 2 2 2 7 2" xfId="13006" xr:uid="{D227CDD6-0AD9-451A-92E4-D0B9971B176D}"/>
    <cellStyle name="40% - Accent2 2 2 2 7 3" xfId="21452" xr:uid="{E66646E9-3239-4F0E-8F1D-5142F5A7E8B0}"/>
    <cellStyle name="40% - Accent2 2 2 2 8" xfId="8788" xr:uid="{4B6A0A24-56DD-4ED7-A269-4B11A85E3BAC}"/>
    <cellStyle name="40% - Accent2 2 2 2 9" xfId="17230" xr:uid="{B8BC30F1-9288-49B8-B71B-29D7DCDCE536}"/>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34E45E2B-E19D-4CE2-9AE8-AEE2FD2276A3}"/>
    <cellStyle name="40% - Accent2 2 2 3 2 2 3" xfId="24010" xr:uid="{E1766C91-62CF-41D9-9B37-9310FABA556C}"/>
    <cellStyle name="40% - Accent2 2 2 3 2 3" xfId="11346" xr:uid="{C8E98E13-B8B7-4D90-9B79-01A1EE35FBBE}"/>
    <cellStyle name="40% - Accent2 2 2 3 2 4" xfId="19793" xr:uid="{1CCB32EB-D280-4C0B-BB5F-F41BCC25FAEC}"/>
    <cellStyle name="40% - Accent2 2 2 3 3" xfId="4977" xr:uid="{00000000-0005-0000-0000-00007B040000}"/>
    <cellStyle name="40% - Accent2 2 2 3 3 2" xfId="13419" xr:uid="{D070F5D9-5194-4C6A-B90E-746BEA49245B}"/>
    <cellStyle name="40% - Accent2 2 2 3 3 3" xfId="21865" xr:uid="{F2D2E36F-FA39-4D98-B7BA-BB14F65A3BE5}"/>
    <cellStyle name="40% - Accent2 2 2 3 4" xfId="9201" xr:uid="{6AEEAEB9-1F04-46EB-9B6D-344179AC2DC3}"/>
    <cellStyle name="40% - Accent2 2 2 3 5" xfId="17646" xr:uid="{9123AD40-04C1-497C-94B1-7EDB4E0D69EA}"/>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F45A57DE-BEB7-4CAB-A53E-705CBA304030}"/>
    <cellStyle name="40% - Accent2 2 2 4 2 2 3" xfId="24423" xr:uid="{249E1F42-9B59-4387-B9C3-B57A4C14E11A}"/>
    <cellStyle name="40% - Accent2 2 2 4 2 3" xfId="11759" xr:uid="{10CBBB34-9FD3-4FC4-A57D-FFD1F4153840}"/>
    <cellStyle name="40% - Accent2 2 2 4 2 4" xfId="20206" xr:uid="{003F8016-CB33-4C58-ABF5-2C64612C3BEB}"/>
    <cellStyle name="40% - Accent2 2 2 4 3" xfId="5390" xr:uid="{00000000-0005-0000-0000-00007F040000}"/>
    <cellStyle name="40% - Accent2 2 2 4 3 2" xfId="13832" xr:uid="{EBF6F687-7FD5-486B-8514-17D0DF95F9CD}"/>
    <cellStyle name="40% - Accent2 2 2 4 3 3" xfId="22278" xr:uid="{4E7B8C3A-42DE-493D-9457-22DAA46EE1D2}"/>
    <cellStyle name="40% - Accent2 2 2 4 4" xfId="9614" xr:uid="{8123563B-0DA6-4826-B421-26505E335C54}"/>
    <cellStyle name="40% - Accent2 2 2 4 5" xfId="18059" xr:uid="{7A9E7F72-B814-4F47-A59F-7313F34A99FA}"/>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6C4E73D7-E2C8-4612-B575-DD43FDC8FD5F}"/>
    <cellStyle name="40% - Accent2 2 2 5 2 2 3" xfId="24836" xr:uid="{60340C6D-6FC0-417B-AE84-AE98A71DB1AF}"/>
    <cellStyle name="40% - Accent2 2 2 5 2 3" xfId="12172" xr:uid="{C22AB7C3-B6DC-460A-8391-416ADAA45245}"/>
    <cellStyle name="40% - Accent2 2 2 5 2 4" xfId="20619" xr:uid="{BC3A9DDD-B2F4-4607-9788-E996A9CA296C}"/>
    <cellStyle name="40% - Accent2 2 2 5 3" xfId="5803" xr:uid="{00000000-0005-0000-0000-000083040000}"/>
    <cellStyle name="40% - Accent2 2 2 5 3 2" xfId="14245" xr:uid="{81134ACF-1744-4BB9-8ECC-30D08B80BBCC}"/>
    <cellStyle name="40% - Accent2 2 2 5 3 3" xfId="22691" xr:uid="{CECE79D5-627F-4294-ACF9-B148C7D21C50}"/>
    <cellStyle name="40% - Accent2 2 2 5 4" xfId="10027" xr:uid="{9BE6EDD3-E837-4E16-B187-A41EAFBD0447}"/>
    <cellStyle name="40% - Accent2 2 2 5 5" xfId="18472" xr:uid="{1B2C7C25-7E01-409E-A799-682807530041}"/>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5E9A9F0B-3C03-42AF-AD4D-89B34E3DFD5D}"/>
    <cellStyle name="40% - Accent2 2 2 6 2 2 3" xfId="25249" xr:uid="{056315F2-7048-4FCF-B552-22CAFBA40D17}"/>
    <cellStyle name="40% - Accent2 2 2 6 2 3" xfId="12585" xr:uid="{FE422084-B646-48ED-8374-B3B04D1156C1}"/>
    <cellStyle name="40% - Accent2 2 2 6 2 4" xfId="21032" xr:uid="{46DDA148-17CC-4202-BC9E-3EF52C9B16A4}"/>
    <cellStyle name="40% - Accent2 2 2 6 3" xfId="6216" xr:uid="{00000000-0005-0000-0000-000087040000}"/>
    <cellStyle name="40% - Accent2 2 2 6 3 2" xfId="14658" xr:uid="{E92F5184-45C5-4D80-A08D-92A154116BE6}"/>
    <cellStyle name="40% - Accent2 2 2 6 3 3" xfId="23104" xr:uid="{0976E0FB-56C0-46E2-B416-8B46E9786FEC}"/>
    <cellStyle name="40% - Accent2 2 2 6 4" xfId="10440" xr:uid="{6BA6D78F-9987-42D2-B469-BAD1CED0D8EB}"/>
    <cellStyle name="40% - Accent2 2 2 6 5" xfId="18885" xr:uid="{1D9C9F0B-CC34-40E8-A7F6-343F8E18CDB6}"/>
    <cellStyle name="40% - Accent2 2 2 7" xfId="2322" xr:uid="{00000000-0005-0000-0000-000088040000}"/>
    <cellStyle name="40% - Accent2 2 2 7 2" xfId="6629" xr:uid="{00000000-0005-0000-0000-000089040000}"/>
    <cellStyle name="40% - Accent2 2 2 7 2 2" xfId="15071" xr:uid="{47415853-B9AD-4576-804F-42DA177B23B6}"/>
    <cellStyle name="40% - Accent2 2 2 7 2 3" xfId="23517" xr:uid="{4A6F325C-D925-4531-B608-EDCEB5957F42}"/>
    <cellStyle name="40% - Accent2 2 2 7 3" xfId="10853" xr:uid="{A150CF47-BC21-47FC-AC22-3F95B9470DE9}"/>
    <cellStyle name="40% - Accent2 2 2 7 4" xfId="19298" xr:uid="{E19E9E30-E43E-4C19-85C0-9E50EAABC21B}"/>
    <cellStyle name="40% - Accent2 2 2 8" xfId="4563" xr:uid="{00000000-0005-0000-0000-00008A040000}"/>
    <cellStyle name="40% - Accent2 2 2 8 2" xfId="13005" xr:uid="{0BC8B43D-5A38-40E0-9095-4919E13CFFDD}"/>
    <cellStyle name="40% - Accent2 2 2 8 3" xfId="21451" xr:uid="{2BA8A26A-96AF-419F-B6D7-1006E541A1DD}"/>
    <cellStyle name="40% - Accent2 2 2 9" xfId="8787" xr:uid="{EE92650E-0378-41B2-AEE5-7C47A90A4ED2}"/>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4FD6EA80-17D8-44B8-82F7-5574F1632754}"/>
    <cellStyle name="40% - Accent2 2 3 2 2 2 3" xfId="24012" xr:uid="{D556CC89-CA76-4946-A12E-DEE42CD612D2}"/>
    <cellStyle name="40% - Accent2 2 3 2 2 3" xfId="11348" xr:uid="{789916A4-83E1-4CA3-BD60-775097408D65}"/>
    <cellStyle name="40% - Accent2 2 3 2 2 4" xfId="19795" xr:uid="{703A07C0-17BB-4C83-80E5-C430A6E50E5E}"/>
    <cellStyle name="40% - Accent2 2 3 2 3" xfId="4979" xr:uid="{00000000-0005-0000-0000-00008F040000}"/>
    <cellStyle name="40% - Accent2 2 3 2 3 2" xfId="13421" xr:uid="{2914DF33-61E1-48A4-94D8-5D51D2FBE579}"/>
    <cellStyle name="40% - Accent2 2 3 2 3 3" xfId="21867" xr:uid="{F25033E7-B2FC-4875-ACEC-C57182025555}"/>
    <cellStyle name="40% - Accent2 2 3 2 4" xfId="9203" xr:uid="{6BE648BB-D6A2-4E81-8A01-92F673BE661F}"/>
    <cellStyle name="40% - Accent2 2 3 2 5" xfId="17648" xr:uid="{ED90D600-F750-4E26-8C79-A86390D485FB}"/>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EDFD98BF-F598-46FA-9E7A-EDA7C7EA1045}"/>
    <cellStyle name="40% - Accent2 2 3 3 2 2 3" xfId="24425" xr:uid="{2139F9AF-2480-46A5-9E6D-0D57ADEB5029}"/>
    <cellStyle name="40% - Accent2 2 3 3 2 3" xfId="11761" xr:uid="{ACF64868-6DD9-42DA-9FFD-CE3EDD92557A}"/>
    <cellStyle name="40% - Accent2 2 3 3 2 4" xfId="20208" xr:uid="{222CD7C5-A2ED-4FAB-A963-504A2EF2FDF3}"/>
    <cellStyle name="40% - Accent2 2 3 3 3" xfId="5392" xr:uid="{00000000-0005-0000-0000-000093040000}"/>
    <cellStyle name="40% - Accent2 2 3 3 3 2" xfId="13834" xr:uid="{9DE409DE-1C58-409F-AF2A-7E11F967AF0A}"/>
    <cellStyle name="40% - Accent2 2 3 3 3 3" xfId="22280" xr:uid="{892BC85D-8CFB-427E-9A5C-BB0AE8259396}"/>
    <cellStyle name="40% - Accent2 2 3 3 4" xfId="9616" xr:uid="{176916F7-AA09-4594-B6DE-FDDD98C66EBB}"/>
    <cellStyle name="40% - Accent2 2 3 3 5" xfId="18061" xr:uid="{F20A3E66-F476-4D34-8147-BAB22105F5A5}"/>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BB979D1B-826D-4B03-ABCD-4A8B4B55BF1E}"/>
    <cellStyle name="40% - Accent2 2 3 4 2 2 3" xfId="24838" xr:uid="{1F887474-F28E-4B0A-B0A3-2CA17EE760CC}"/>
    <cellStyle name="40% - Accent2 2 3 4 2 3" xfId="12174" xr:uid="{7F8D9B7D-F8D9-4FBB-AEDF-3AADDDAD9D90}"/>
    <cellStyle name="40% - Accent2 2 3 4 2 4" xfId="20621" xr:uid="{31432E63-5BF6-40E5-8304-1CBE4407ECEC}"/>
    <cellStyle name="40% - Accent2 2 3 4 3" xfId="5805" xr:uid="{00000000-0005-0000-0000-000097040000}"/>
    <cellStyle name="40% - Accent2 2 3 4 3 2" xfId="14247" xr:uid="{59DE0E92-0FC5-4515-BC6D-230165767B38}"/>
    <cellStyle name="40% - Accent2 2 3 4 3 3" xfId="22693" xr:uid="{7284716E-1ED0-47E6-B8AC-F71969244D56}"/>
    <cellStyle name="40% - Accent2 2 3 4 4" xfId="10029" xr:uid="{850B531D-768E-4B24-BF41-A06DF26CD957}"/>
    <cellStyle name="40% - Accent2 2 3 4 5" xfId="18474" xr:uid="{9535475A-0A89-4E18-925E-D36ADBA7DAC3}"/>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E7747E22-25D7-4173-B404-EB45E553C00B}"/>
    <cellStyle name="40% - Accent2 2 3 5 2 2 3" xfId="25251" xr:uid="{D70D6294-3452-4086-AF40-E5B1FCEE8866}"/>
    <cellStyle name="40% - Accent2 2 3 5 2 3" xfId="12587" xr:uid="{5CCD5F3D-BEE2-4FBD-9672-03965EE18C3E}"/>
    <cellStyle name="40% - Accent2 2 3 5 2 4" xfId="21034" xr:uid="{641B459C-4026-4060-89A2-7C18CA6B9960}"/>
    <cellStyle name="40% - Accent2 2 3 5 3" xfId="6218" xr:uid="{00000000-0005-0000-0000-00009B040000}"/>
    <cellStyle name="40% - Accent2 2 3 5 3 2" xfId="14660" xr:uid="{437E9418-FA0B-4E0A-B5BF-0453527ECABF}"/>
    <cellStyle name="40% - Accent2 2 3 5 3 3" xfId="23106" xr:uid="{8CC415EF-7E79-4014-809F-3FEE6914C95E}"/>
    <cellStyle name="40% - Accent2 2 3 5 4" xfId="10442" xr:uid="{B8C181F9-F84B-44C6-8B9D-CC0C853945B2}"/>
    <cellStyle name="40% - Accent2 2 3 5 5" xfId="18887" xr:uid="{B25EB87F-9D42-40D5-B592-B95F5DA9374E}"/>
    <cellStyle name="40% - Accent2 2 3 6" xfId="2324" xr:uid="{00000000-0005-0000-0000-00009C040000}"/>
    <cellStyle name="40% - Accent2 2 3 6 2" xfId="6631" xr:uid="{00000000-0005-0000-0000-00009D040000}"/>
    <cellStyle name="40% - Accent2 2 3 6 2 2" xfId="15073" xr:uid="{04A3F071-8CE0-442E-BC21-76D81A91AE16}"/>
    <cellStyle name="40% - Accent2 2 3 6 2 3" xfId="23519" xr:uid="{0058AB70-8F6D-4CEC-80BD-3B9EF787BCA0}"/>
    <cellStyle name="40% - Accent2 2 3 6 3" xfId="10855" xr:uid="{836C8AE2-84D3-4411-8056-FC4F016DADB4}"/>
    <cellStyle name="40% - Accent2 2 3 6 4" xfId="19300" xr:uid="{A5AF56D3-CE63-420A-922B-C60EF7DB9547}"/>
    <cellStyle name="40% - Accent2 2 3 7" xfId="4565" xr:uid="{00000000-0005-0000-0000-00009E040000}"/>
    <cellStyle name="40% - Accent2 2 3 7 2" xfId="13007" xr:uid="{3EF2C990-A040-4DC4-851A-FE27F1A61D1D}"/>
    <cellStyle name="40% - Accent2 2 3 7 3" xfId="21453" xr:uid="{60CB7827-BB77-445E-AB97-45431F57001C}"/>
    <cellStyle name="40% - Accent2 2 3 8" xfId="8789" xr:uid="{2E45430B-3716-4C5D-8687-D2193361BA50}"/>
    <cellStyle name="40% - Accent2 2 3 9" xfId="17231" xr:uid="{A902CD04-BE69-46E2-B3EC-F311F48A7BF4}"/>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45620E97-9025-41EA-B521-F240D37F7897}"/>
    <cellStyle name="40% - Accent2 2 4 2 2 3" xfId="24009" xr:uid="{74F55FC7-41D1-4AD0-B3FE-F985F68D884F}"/>
    <cellStyle name="40% - Accent2 2 4 2 3" xfId="11345" xr:uid="{43D962E4-2353-429A-A564-805F7E460698}"/>
    <cellStyle name="40% - Accent2 2 4 2 4" xfId="19792" xr:uid="{5BD04BE0-9505-4593-A599-B8386B661D9D}"/>
    <cellStyle name="40% - Accent2 2 4 3" xfId="4976" xr:uid="{00000000-0005-0000-0000-0000A2040000}"/>
    <cellStyle name="40% - Accent2 2 4 3 2" xfId="13418" xr:uid="{BF908BE4-8360-47AF-8DB2-7EC7785187FB}"/>
    <cellStyle name="40% - Accent2 2 4 3 3" xfId="21864" xr:uid="{EC1ECA6F-EFDF-401D-8433-702B75A9E387}"/>
    <cellStyle name="40% - Accent2 2 4 4" xfId="9200" xr:uid="{47F59134-D6D2-42EB-87C5-71189B8BA017}"/>
    <cellStyle name="40% - Accent2 2 4 5" xfId="17645" xr:uid="{4C0F1722-C57A-4222-9EA3-A64DDC94C1D1}"/>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BAD39F33-1D1D-4490-B1F5-73BF8C8DB9AB}"/>
    <cellStyle name="40% - Accent2 2 5 2 2 3" xfId="24422" xr:uid="{F075D30B-18A5-4D60-BC73-5C68225752C4}"/>
    <cellStyle name="40% - Accent2 2 5 2 3" xfId="11758" xr:uid="{7123A27A-1C9F-47F8-826F-2132BADF9BAE}"/>
    <cellStyle name="40% - Accent2 2 5 2 4" xfId="20205" xr:uid="{9F028F97-EBB6-48D0-9893-A464DE1A57D4}"/>
    <cellStyle name="40% - Accent2 2 5 3" xfId="5389" xr:uid="{00000000-0005-0000-0000-0000A6040000}"/>
    <cellStyle name="40% - Accent2 2 5 3 2" xfId="13831" xr:uid="{EC1D0AB3-1C86-4503-B821-CF54E3EB6B70}"/>
    <cellStyle name="40% - Accent2 2 5 3 3" xfId="22277" xr:uid="{A939A2A5-0E55-443E-9053-59E85DE9BE88}"/>
    <cellStyle name="40% - Accent2 2 5 4" xfId="9613" xr:uid="{F3A92E24-D2BD-4373-A840-3260AFBBDFF1}"/>
    <cellStyle name="40% - Accent2 2 5 5" xfId="18058" xr:uid="{0F04BB0B-66AA-434C-86CA-AEFFB91CDCE8}"/>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E47BA583-3846-4639-BCE8-F2A0089F9BE5}"/>
    <cellStyle name="40% - Accent2 2 6 2 2 3" xfId="24835" xr:uid="{9321760F-584F-45BB-A797-8C2458EFB177}"/>
    <cellStyle name="40% - Accent2 2 6 2 3" xfId="12171" xr:uid="{5360E813-08F7-4E83-A414-201417C2919B}"/>
    <cellStyle name="40% - Accent2 2 6 2 4" xfId="20618" xr:uid="{076255AD-95CB-49AA-B1A9-23D2DF13733E}"/>
    <cellStyle name="40% - Accent2 2 6 3" xfId="5802" xr:uid="{00000000-0005-0000-0000-0000AA040000}"/>
    <cellStyle name="40% - Accent2 2 6 3 2" xfId="14244" xr:uid="{26801C1F-0F6C-44F8-9931-6491D3A042E4}"/>
    <cellStyle name="40% - Accent2 2 6 3 3" xfId="22690" xr:uid="{F19F6D12-ACFD-40B3-86D4-3F1EEC57FC63}"/>
    <cellStyle name="40% - Accent2 2 6 4" xfId="10026" xr:uid="{3CA77147-80C0-4922-B1BD-9591147DF3E3}"/>
    <cellStyle name="40% - Accent2 2 6 5" xfId="18471" xr:uid="{355699A9-631F-4DA9-811E-BACF1660E18F}"/>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49886D13-EB87-4240-A791-DF62851A9EC2}"/>
    <cellStyle name="40% - Accent2 2 7 2 2 3" xfId="25248" xr:uid="{3E490630-FEB2-4A53-BFED-D3D0E6041387}"/>
    <cellStyle name="40% - Accent2 2 7 2 3" xfId="12584" xr:uid="{134D33BA-9855-4A9E-A931-DD625B8CD50D}"/>
    <cellStyle name="40% - Accent2 2 7 2 4" xfId="21031" xr:uid="{4E46BCDB-4106-427E-B8EE-14C5BBF191FE}"/>
    <cellStyle name="40% - Accent2 2 7 3" xfId="6215" xr:uid="{00000000-0005-0000-0000-0000AE040000}"/>
    <cellStyle name="40% - Accent2 2 7 3 2" xfId="14657" xr:uid="{6C5A985F-09D8-4B57-9B88-E8D30BB6DB78}"/>
    <cellStyle name="40% - Accent2 2 7 3 3" xfId="23103" xr:uid="{128C3FA9-8A47-456F-9D77-B40D303AE82D}"/>
    <cellStyle name="40% - Accent2 2 7 4" xfId="10439" xr:uid="{2CA9CC91-95CA-4D74-9F90-87F469A054B2}"/>
    <cellStyle name="40% - Accent2 2 7 5" xfId="18884" xr:uid="{0DC1D9E6-4556-4FDB-A8B0-47145C0F6631}"/>
    <cellStyle name="40% - Accent2 2 8" xfId="2321" xr:uid="{00000000-0005-0000-0000-0000AF040000}"/>
    <cellStyle name="40% - Accent2 2 8 2" xfId="6628" xr:uid="{00000000-0005-0000-0000-0000B0040000}"/>
    <cellStyle name="40% - Accent2 2 8 2 2" xfId="15070" xr:uid="{35107B7B-BC20-47A1-85E9-2D07F6FFDBAF}"/>
    <cellStyle name="40% - Accent2 2 8 2 3" xfId="23516" xr:uid="{8CF03149-D130-4760-B883-BE4181BF44BE}"/>
    <cellStyle name="40% - Accent2 2 8 3" xfId="10852" xr:uid="{90B4B381-5D2C-4045-8F36-6B18E90B1481}"/>
    <cellStyle name="40% - Accent2 2 8 4" xfId="19297" xr:uid="{7DC760D8-B9D7-4039-8E01-7BC7419D2AB2}"/>
    <cellStyle name="40% - Accent2 2 9" xfId="4562" xr:uid="{00000000-0005-0000-0000-0000B1040000}"/>
    <cellStyle name="40% - Accent2 2 9 2" xfId="13004" xr:uid="{515FE604-56E8-4F93-A5E4-1A05860DC941}"/>
    <cellStyle name="40% - Accent2 2 9 3" xfId="21450" xr:uid="{F86D2382-2A8E-4DE9-9FC8-772B9F8F59B8}"/>
    <cellStyle name="40% - Accent2 3" xfId="62" xr:uid="{00000000-0005-0000-0000-0000B2040000}"/>
    <cellStyle name="40% - Accent2 3 10" xfId="17232" xr:uid="{54609F95-AFB6-432F-82ED-9C6CC602F763}"/>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207FB8D8-FDD4-4616-A85F-8AA37FD7788A}"/>
    <cellStyle name="40% - Accent2 3 2 2 2 2 3" xfId="24014" xr:uid="{4C48424B-D989-4709-B384-1CD85DFEAD7C}"/>
    <cellStyle name="40% - Accent2 3 2 2 2 3" xfId="11350" xr:uid="{28A8D5CC-D3BF-46CD-AB79-253D05A49D1D}"/>
    <cellStyle name="40% - Accent2 3 2 2 2 4" xfId="19797" xr:uid="{E77E34C4-B3E9-4A8B-868D-4016ADCB0B30}"/>
    <cellStyle name="40% - Accent2 3 2 2 3" xfId="4981" xr:uid="{00000000-0005-0000-0000-0000B7040000}"/>
    <cellStyle name="40% - Accent2 3 2 2 3 2" xfId="13423" xr:uid="{36CBC9F4-B86B-4757-BC45-219EC938109D}"/>
    <cellStyle name="40% - Accent2 3 2 2 3 3" xfId="21869" xr:uid="{087DFD81-5BD9-4666-8A67-1C54948F6EE5}"/>
    <cellStyle name="40% - Accent2 3 2 2 4" xfId="9205" xr:uid="{3AC5D685-F02B-4EE3-BB79-643C06CBEF99}"/>
    <cellStyle name="40% - Accent2 3 2 2 5" xfId="17650" xr:uid="{791202CD-21F2-45DE-BD8D-09335E3C2159}"/>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C8AA1173-0A27-496F-83F1-2F944761C812}"/>
    <cellStyle name="40% - Accent2 3 2 3 2 2 3" xfId="24427" xr:uid="{890A7548-E478-46ED-9062-4E73CB4D0140}"/>
    <cellStyle name="40% - Accent2 3 2 3 2 3" xfId="11763" xr:uid="{FDF37E4E-04C6-46B0-9AEA-E77EDCBAB4A9}"/>
    <cellStyle name="40% - Accent2 3 2 3 2 4" xfId="20210" xr:uid="{2B61E4A6-7902-47A9-BE7D-3DAA00CD71EE}"/>
    <cellStyle name="40% - Accent2 3 2 3 3" xfId="5394" xr:uid="{00000000-0005-0000-0000-0000BB040000}"/>
    <cellStyle name="40% - Accent2 3 2 3 3 2" xfId="13836" xr:uid="{11C8333A-8C43-4A2D-8949-75D787E217DC}"/>
    <cellStyle name="40% - Accent2 3 2 3 3 3" xfId="22282" xr:uid="{0BB11EE5-297F-4E31-8507-3046055B61A4}"/>
    <cellStyle name="40% - Accent2 3 2 3 4" xfId="9618" xr:uid="{20C6FFA9-7DEA-43CD-9C3B-F6CB2275202E}"/>
    <cellStyle name="40% - Accent2 3 2 3 5" xfId="18063" xr:uid="{D61980BC-C99A-4875-9976-DA7BE4B582C8}"/>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18B33F95-3588-4E82-9A46-DB6654439A64}"/>
    <cellStyle name="40% - Accent2 3 2 4 2 2 3" xfId="24840" xr:uid="{1F9952AF-E4AE-4BB7-8820-450F6197E9FE}"/>
    <cellStyle name="40% - Accent2 3 2 4 2 3" xfId="12176" xr:uid="{F9479D35-AEDC-4DE0-A2C0-C7D060B14C00}"/>
    <cellStyle name="40% - Accent2 3 2 4 2 4" xfId="20623" xr:uid="{E4576540-2700-41D9-8CEE-D80AF7475A61}"/>
    <cellStyle name="40% - Accent2 3 2 4 3" xfId="5807" xr:uid="{00000000-0005-0000-0000-0000BF040000}"/>
    <cellStyle name="40% - Accent2 3 2 4 3 2" xfId="14249" xr:uid="{608EE452-492F-4B7E-B6A9-D2374CF719AF}"/>
    <cellStyle name="40% - Accent2 3 2 4 3 3" xfId="22695" xr:uid="{B7BF9FE3-DC5D-4994-8975-08D5690983CD}"/>
    <cellStyle name="40% - Accent2 3 2 4 4" xfId="10031" xr:uid="{E49D1E75-61E7-4F8B-A723-BA8462309202}"/>
    <cellStyle name="40% - Accent2 3 2 4 5" xfId="18476" xr:uid="{C85AD45D-C019-4270-AB93-7D092D0EA256}"/>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F3B8CFDC-F591-4B13-9C94-1AD606D39B49}"/>
    <cellStyle name="40% - Accent2 3 2 5 2 2 3" xfId="25253" xr:uid="{82D12466-184E-490B-A8FD-0382A3659663}"/>
    <cellStyle name="40% - Accent2 3 2 5 2 3" xfId="12589" xr:uid="{CDDD1707-AC4D-42FE-9C7F-B5BDA41D2362}"/>
    <cellStyle name="40% - Accent2 3 2 5 2 4" xfId="21036" xr:uid="{FCF7B4A3-7A7E-4055-9C54-E0E9172FF0B2}"/>
    <cellStyle name="40% - Accent2 3 2 5 3" xfId="6220" xr:uid="{00000000-0005-0000-0000-0000C3040000}"/>
    <cellStyle name="40% - Accent2 3 2 5 3 2" xfId="14662" xr:uid="{6BFB3CFC-5D26-48DC-B344-D4613FC1B5AC}"/>
    <cellStyle name="40% - Accent2 3 2 5 3 3" xfId="23108" xr:uid="{654798EF-021F-401C-AD1C-6CC5319D06FC}"/>
    <cellStyle name="40% - Accent2 3 2 5 4" xfId="10444" xr:uid="{FFD75AA4-FC99-4846-8C81-CF648D0226F8}"/>
    <cellStyle name="40% - Accent2 3 2 5 5" xfId="18889" xr:uid="{2FE2D33A-A08C-47E6-AED5-4B51C63B64C7}"/>
    <cellStyle name="40% - Accent2 3 2 6" xfId="2326" xr:uid="{00000000-0005-0000-0000-0000C4040000}"/>
    <cellStyle name="40% - Accent2 3 2 6 2" xfId="6633" xr:uid="{00000000-0005-0000-0000-0000C5040000}"/>
    <cellStyle name="40% - Accent2 3 2 6 2 2" xfId="15075" xr:uid="{4A9C3231-F812-45D4-BB37-8E5C2DC33679}"/>
    <cellStyle name="40% - Accent2 3 2 6 2 3" xfId="23521" xr:uid="{35D01376-773F-4D3B-9C6C-7C049FBA8E22}"/>
    <cellStyle name="40% - Accent2 3 2 6 3" xfId="10857" xr:uid="{8B5DD2D4-3A78-4750-BE8D-77268A392B36}"/>
    <cellStyle name="40% - Accent2 3 2 6 4" xfId="19302" xr:uid="{8E15D457-D184-4F0D-91B6-CC5FFA8A9C87}"/>
    <cellStyle name="40% - Accent2 3 2 7" xfId="4567" xr:uid="{00000000-0005-0000-0000-0000C6040000}"/>
    <cellStyle name="40% - Accent2 3 2 7 2" xfId="13009" xr:uid="{90D6EBA7-C6D3-4A86-8D97-47980B39BC5B}"/>
    <cellStyle name="40% - Accent2 3 2 7 3" xfId="21455" xr:uid="{45290654-21EA-482F-BEE5-EE76179CC5FD}"/>
    <cellStyle name="40% - Accent2 3 2 8" xfId="8791" xr:uid="{3C4F9A72-1147-4B6C-B0BB-9874D530F19E}"/>
    <cellStyle name="40% - Accent2 3 2 9" xfId="17233" xr:uid="{95211133-E81D-4585-9073-C73C6CBB2BF0}"/>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19A63EF4-ED44-436C-B606-3A1A33C5639D}"/>
    <cellStyle name="40% - Accent2 3 3 2 2 3" xfId="24013" xr:uid="{717AD96A-5018-4C28-9EBF-D77094FE5E46}"/>
    <cellStyle name="40% - Accent2 3 3 2 3" xfId="11349" xr:uid="{6857F07A-D692-451F-A24C-CE4DA52F2730}"/>
    <cellStyle name="40% - Accent2 3 3 2 4" xfId="19796" xr:uid="{99DF0113-3A0F-4F7A-B2B2-3428DD7DAA84}"/>
    <cellStyle name="40% - Accent2 3 3 3" xfId="4980" xr:uid="{00000000-0005-0000-0000-0000CA040000}"/>
    <cellStyle name="40% - Accent2 3 3 3 2" xfId="13422" xr:uid="{17932B94-3DD9-47C7-81CA-E6579834D494}"/>
    <cellStyle name="40% - Accent2 3 3 3 3" xfId="21868" xr:uid="{1DAB6334-E73B-4890-872A-0D3233C13288}"/>
    <cellStyle name="40% - Accent2 3 3 4" xfId="9204" xr:uid="{2BCEAA37-B2E7-4E8E-BD48-FCEECB342A29}"/>
    <cellStyle name="40% - Accent2 3 3 5" xfId="17649" xr:uid="{DF5550C8-8AF0-44DC-97B5-E9C118618FBA}"/>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57AB16F7-0FE6-4318-A0D6-FE36857BCE64}"/>
    <cellStyle name="40% - Accent2 3 4 2 2 3" xfId="24426" xr:uid="{A12C43E6-78BA-463F-8FCF-13D5AC1B7538}"/>
    <cellStyle name="40% - Accent2 3 4 2 3" xfId="11762" xr:uid="{23014226-1591-4C7B-80DC-D8F200B850A3}"/>
    <cellStyle name="40% - Accent2 3 4 2 4" xfId="20209" xr:uid="{D132F749-FA93-4E39-ABE5-9AB442FC7417}"/>
    <cellStyle name="40% - Accent2 3 4 3" xfId="5393" xr:uid="{00000000-0005-0000-0000-0000CE040000}"/>
    <cellStyle name="40% - Accent2 3 4 3 2" xfId="13835" xr:uid="{E6CBF7EC-5240-4AC2-BD5B-3C1FB7513C83}"/>
    <cellStyle name="40% - Accent2 3 4 3 3" xfId="22281" xr:uid="{199120DA-D608-4FA2-BF8D-A9AC989E7C25}"/>
    <cellStyle name="40% - Accent2 3 4 4" xfId="9617" xr:uid="{A45C00D1-D129-4DA9-9EDF-EAF911384006}"/>
    <cellStyle name="40% - Accent2 3 4 5" xfId="18062" xr:uid="{A06E4335-0D8A-48B8-9A3C-A2CA674AAF98}"/>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DF448C78-1110-4F1F-8FD4-636B9E5D5FED}"/>
    <cellStyle name="40% - Accent2 3 5 2 2 3" xfId="24839" xr:uid="{302E9E28-6480-4ACB-9CF4-BC73CC6F64B8}"/>
    <cellStyle name="40% - Accent2 3 5 2 3" xfId="12175" xr:uid="{8071EF27-18AF-4A96-8048-C9B570169621}"/>
    <cellStyle name="40% - Accent2 3 5 2 4" xfId="20622" xr:uid="{EB127683-13BC-48EA-A91B-FB1E3B014BB8}"/>
    <cellStyle name="40% - Accent2 3 5 3" xfId="5806" xr:uid="{00000000-0005-0000-0000-0000D2040000}"/>
    <cellStyle name="40% - Accent2 3 5 3 2" xfId="14248" xr:uid="{8F3306BA-57E8-435C-8D20-9CF6C8813A28}"/>
    <cellStyle name="40% - Accent2 3 5 3 3" xfId="22694" xr:uid="{21E7E02F-3C6E-4A29-869F-C52F93814A9D}"/>
    <cellStyle name="40% - Accent2 3 5 4" xfId="10030" xr:uid="{5A17599E-D921-4C61-97F4-58BF95B41FDC}"/>
    <cellStyle name="40% - Accent2 3 5 5" xfId="18475" xr:uid="{8309B2E6-DE87-4FD1-B49C-6EEFE3DA9D8D}"/>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C2C92837-044F-4D72-BD9E-7DD1CE774B76}"/>
    <cellStyle name="40% - Accent2 3 6 2 2 3" xfId="25252" xr:uid="{173FFB3B-BB02-4E6C-820C-41E983FF40D1}"/>
    <cellStyle name="40% - Accent2 3 6 2 3" xfId="12588" xr:uid="{15AC638B-142C-4214-8F51-8EF23B5CA451}"/>
    <cellStyle name="40% - Accent2 3 6 2 4" xfId="21035" xr:uid="{D2893676-70DB-4AAA-83B6-675AD174E151}"/>
    <cellStyle name="40% - Accent2 3 6 3" xfId="6219" xr:uid="{00000000-0005-0000-0000-0000D6040000}"/>
    <cellStyle name="40% - Accent2 3 6 3 2" xfId="14661" xr:uid="{033C8388-9C70-4554-98EF-40A3DDE96DBD}"/>
    <cellStyle name="40% - Accent2 3 6 3 3" xfId="23107" xr:uid="{E4A2FBD2-B890-45E7-B279-989811EB34E3}"/>
    <cellStyle name="40% - Accent2 3 6 4" xfId="10443" xr:uid="{FC9832D3-5C30-4FDC-8B7A-C8D4F0F5B109}"/>
    <cellStyle name="40% - Accent2 3 6 5" xfId="18888" xr:uid="{41C3E2D3-77B5-4702-A138-67D68F10C88F}"/>
    <cellStyle name="40% - Accent2 3 7" xfId="2325" xr:uid="{00000000-0005-0000-0000-0000D7040000}"/>
    <cellStyle name="40% - Accent2 3 7 2" xfId="6632" xr:uid="{00000000-0005-0000-0000-0000D8040000}"/>
    <cellStyle name="40% - Accent2 3 7 2 2" xfId="15074" xr:uid="{14083CE8-D2FD-4B69-A6EF-AD1CF31D6962}"/>
    <cellStyle name="40% - Accent2 3 7 2 3" xfId="23520" xr:uid="{CF4DFF97-83AD-4078-902E-D55D70C143FA}"/>
    <cellStyle name="40% - Accent2 3 7 3" xfId="10856" xr:uid="{F1F49856-9027-4818-B675-205C035D481F}"/>
    <cellStyle name="40% - Accent2 3 7 4" xfId="19301" xr:uid="{699EE144-8DBB-404D-9AB2-D6A9B6F2AC4B}"/>
    <cellStyle name="40% - Accent2 3 8" xfId="4566" xr:uid="{00000000-0005-0000-0000-0000D9040000}"/>
    <cellStyle name="40% - Accent2 3 8 2" xfId="13008" xr:uid="{CC0CA285-9830-41F9-B185-D240F5438E8C}"/>
    <cellStyle name="40% - Accent2 3 8 3" xfId="21454" xr:uid="{0AF23B10-964A-452E-83BD-11959DBF0D13}"/>
    <cellStyle name="40% - Accent2 3 9" xfId="8790" xr:uid="{37FC8D6B-80DF-4368-B5C2-DD88A239D2EA}"/>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960DD98F-076F-47C1-B566-2308C8F05C0E}"/>
    <cellStyle name="40% - Accent2 4 2 2 2 3" xfId="24015" xr:uid="{C46880B1-FD54-4BBA-BC30-1F44E72A246A}"/>
    <cellStyle name="40% - Accent2 4 2 2 3" xfId="11351" xr:uid="{C71A1620-64D4-494E-BA0D-637C60CCA3FA}"/>
    <cellStyle name="40% - Accent2 4 2 2 4" xfId="19798" xr:uid="{D9A1940B-FCD2-4652-A621-390A3284471A}"/>
    <cellStyle name="40% - Accent2 4 2 3" xfId="4982" xr:uid="{00000000-0005-0000-0000-0000DE040000}"/>
    <cellStyle name="40% - Accent2 4 2 3 2" xfId="13424" xr:uid="{9EF78B2A-6287-4582-8D05-8440FDBD8F39}"/>
    <cellStyle name="40% - Accent2 4 2 3 3" xfId="21870" xr:uid="{24F0845A-49F7-46AF-8871-8F5216C74016}"/>
    <cellStyle name="40% - Accent2 4 2 4" xfId="9206" xr:uid="{F39E2E76-AACD-4028-8FC4-095DAF0F9837}"/>
    <cellStyle name="40% - Accent2 4 2 5" xfId="17651" xr:uid="{D356EBFD-752B-4958-BF73-766CC0E7B52B}"/>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C24A6B64-CD9F-402F-B216-C6BC35F8D74E}"/>
    <cellStyle name="40% - Accent2 4 3 2 2 3" xfId="24428" xr:uid="{06FC22ED-B11E-4510-AD16-134FAF10CA4C}"/>
    <cellStyle name="40% - Accent2 4 3 2 3" xfId="11764" xr:uid="{05BB4ADF-4AD8-4A77-8932-73193C41E0BC}"/>
    <cellStyle name="40% - Accent2 4 3 2 4" xfId="20211" xr:uid="{C58B8235-1ECC-4C5C-8BCC-F15F71BB6D21}"/>
    <cellStyle name="40% - Accent2 4 3 3" xfId="5395" xr:uid="{00000000-0005-0000-0000-0000E2040000}"/>
    <cellStyle name="40% - Accent2 4 3 3 2" xfId="13837" xr:uid="{C6607409-B197-4262-A75C-8CEB4185759A}"/>
    <cellStyle name="40% - Accent2 4 3 3 3" xfId="22283" xr:uid="{F4669906-2E19-40CE-996B-78E206B02FB5}"/>
    <cellStyle name="40% - Accent2 4 3 4" xfId="9619" xr:uid="{08A64305-252F-4556-91A4-884CC2F85CA5}"/>
    <cellStyle name="40% - Accent2 4 3 5" xfId="18064" xr:uid="{A14DCB7A-3076-4947-AE3D-2E013BE94BED}"/>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F9573048-FF88-4101-B6E5-CF0CC4993396}"/>
    <cellStyle name="40% - Accent2 4 4 2 2 3" xfId="24841" xr:uid="{5A4994EE-40F3-4F5F-B63D-2710DB46EE1C}"/>
    <cellStyle name="40% - Accent2 4 4 2 3" xfId="12177" xr:uid="{88977508-4E0C-4830-85C3-B1FA449E2290}"/>
    <cellStyle name="40% - Accent2 4 4 2 4" xfId="20624" xr:uid="{BF335198-A576-4EEA-9A94-CD35046DE998}"/>
    <cellStyle name="40% - Accent2 4 4 3" xfId="5808" xr:uid="{00000000-0005-0000-0000-0000E6040000}"/>
    <cellStyle name="40% - Accent2 4 4 3 2" xfId="14250" xr:uid="{C076D625-0045-4B8D-9BB4-0C3981EAF446}"/>
    <cellStyle name="40% - Accent2 4 4 3 3" xfId="22696" xr:uid="{A96A8E25-3560-4210-8088-B0D243CF46FF}"/>
    <cellStyle name="40% - Accent2 4 4 4" xfId="10032" xr:uid="{66D03021-AAC3-462F-8183-AF835BB4C3E0}"/>
    <cellStyle name="40% - Accent2 4 4 5" xfId="18477" xr:uid="{C512984B-9386-4032-B012-8724F9907F12}"/>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C17EBD12-EBE0-4B63-B8FB-EE76112A39E8}"/>
    <cellStyle name="40% - Accent2 4 5 2 2 3" xfId="25254" xr:uid="{BDB3206F-7E7D-41D2-B911-8E6BB05D4B4E}"/>
    <cellStyle name="40% - Accent2 4 5 2 3" xfId="12590" xr:uid="{8E224070-A943-4594-A848-488C6A52A371}"/>
    <cellStyle name="40% - Accent2 4 5 2 4" xfId="21037" xr:uid="{8ADFF501-A460-4B0F-B6C1-4D977936566E}"/>
    <cellStyle name="40% - Accent2 4 5 3" xfId="6221" xr:uid="{00000000-0005-0000-0000-0000EA040000}"/>
    <cellStyle name="40% - Accent2 4 5 3 2" xfId="14663" xr:uid="{BFF08637-9B14-446F-9F4B-922974BEE34B}"/>
    <cellStyle name="40% - Accent2 4 5 3 3" xfId="23109" xr:uid="{D7549D3E-F518-4523-8BEC-13684B5BB1EB}"/>
    <cellStyle name="40% - Accent2 4 5 4" xfId="10445" xr:uid="{5B91CEFD-3CFE-45C8-B09D-7030491E5465}"/>
    <cellStyle name="40% - Accent2 4 5 5" xfId="18890" xr:uid="{72A637A4-6F3A-4A30-B9D9-A89C9DFF7BD2}"/>
    <cellStyle name="40% - Accent2 4 6" xfId="2327" xr:uid="{00000000-0005-0000-0000-0000EB040000}"/>
    <cellStyle name="40% - Accent2 4 6 2" xfId="6634" xr:uid="{00000000-0005-0000-0000-0000EC040000}"/>
    <cellStyle name="40% - Accent2 4 6 2 2" xfId="15076" xr:uid="{9B6C759E-DB6B-4C95-94BB-F245993EC064}"/>
    <cellStyle name="40% - Accent2 4 6 2 3" xfId="23522" xr:uid="{802B0D66-8AC2-4BC3-B3F2-3E62A105215D}"/>
    <cellStyle name="40% - Accent2 4 6 3" xfId="10858" xr:uid="{7E3C60F3-6573-4465-B590-E0DA750334F0}"/>
    <cellStyle name="40% - Accent2 4 6 4" xfId="19303" xr:uid="{7F909D14-EAE0-46DE-80E4-BAD0C7999680}"/>
    <cellStyle name="40% - Accent2 4 7" xfId="4568" xr:uid="{00000000-0005-0000-0000-0000ED040000}"/>
    <cellStyle name="40% - Accent2 4 7 2" xfId="13010" xr:uid="{D8B9F1F0-6459-4FF3-98F9-0EAB4063EFB4}"/>
    <cellStyle name="40% - Accent2 4 7 3" xfId="21456" xr:uid="{602D8A0F-0B9D-44B3-959F-44CAC7107B34}"/>
    <cellStyle name="40% - Accent2 4 8" xfId="8792" xr:uid="{9CB0CD91-9753-4277-A8AF-A5581D047F43}"/>
    <cellStyle name="40% - Accent2 4 9" xfId="17234" xr:uid="{14045659-A0D6-44B0-8E7E-8D5C43D73A8E}"/>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A49282EE-1813-4290-B7F5-FD365A6299EC}"/>
    <cellStyle name="40% - Accent2 5 2 2 3" xfId="24008" xr:uid="{5234724F-D087-4392-B05A-675D0E6BEAEA}"/>
    <cellStyle name="40% - Accent2 5 2 3" xfId="11344" xr:uid="{2EE3F8AA-BE2C-41BC-A385-E6ACB474288A}"/>
    <cellStyle name="40% - Accent2 5 2 4" xfId="19791" xr:uid="{1253112A-27C0-4657-B7BB-4F9CD1599E48}"/>
    <cellStyle name="40% - Accent2 5 3" xfId="4975" xr:uid="{00000000-0005-0000-0000-0000F1040000}"/>
    <cellStyle name="40% - Accent2 5 3 2" xfId="13417" xr:uid="{E5AB6C8D-ECED-4AC9-94B9-A132FD249613}"/>
    <cellStyle name="40% - Accent2 5 3 3" xfId="21863" xr:uid="{ADCE6DA0-EF2A-4CA9-9B3D-85CE8DDF190E}"/>
    <cellStyle name="40% - Accent2 5 4" xfId="9199" xr:uid="{F0DD74F7-9DC9-46F3-83CF-BE15C4F25E14}"/>
    <cellStyle name="40% - Accent2 5 5" xfId="17644" xr:uid="{78E6C002-64D0-4087-898D-04238824421C}"/>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D500FD24-0A02-42AE-9CFA-4E86AC6EF8AB}"/>
    <cellStyle name="40% - Accent2 6 2 2 3" xfId="24421" xr:uid="{E2410DEB-1489-41EA-8C86-81BBE874211F}"/>
    <cellStyle name="40% - Accent2 6 2 3" xfId="11757" xr:uid="{83681183-236F-4FF6-962E-EC7408102F91}"/>
    <cellStyle name="40% - Accent2 6 2 4" xfId="20204" xr:uid="{10E37F9A-9A80-41C4-AD1A-2DB0C64B6AF5}"/>
    <cellStyle name="40% - Accent2 6 3" xfId="5388" xr:uid="{00000000-0005-0000-0000-0000F5040000}"/>
    <cellStyle name="40% - Accent2 6 3 2" xfId="13830" xr:uid="{EB6C3221-15A2-46D3-8A01-C2BB8F06CFF7}"/>
    <cellStyle name="40% - Accent2 6 3 3" xfId="22276" xr:uid="{491BE3A3-97A5-4D4F-8EFF-F027DF3CE24B}"/>
    <cellStyle name="40% - Accent2 6 4" xfId="9612" xr:uid="{C754AE10-57FB-4412-AF61-A599BBF0D1F1}"/>
    <cellStyle name="40% - Accent2 6 5" xfId="18057" xr:uid="{D5448615-603A-42C3-BABA-FC9A2FF33BFA}"/>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21814A1C-C7D7-4F03-83AD-CD57357CDC58}"/>
    <cellStyle name="40% - Accent2 7 2 2 3" xfId="24834" xr:uid="{1FB5EEEE-7A9B-4241-9007-E0E35C5CFEC3}"/>
    <cellStyle name="40% - Accent2 7 2 3" xfId="12170" xr:uid="{645657BA-D238-43C9-901E-63DC44F43235}"/>
    <cellStyle name="40% - Accent2 7 2 4" xfId="20617" xr:uid="{1489FFE3-1214-4DE3-B971-613685F0F515}"/>
    <cellStyle name="40% - Accent2 7 3" xfId="5801" xr:uid="{00000000-0005-0000-0000-0000F9040000}"/>
    <cellStyle name="40% - Accent2 7 3 2" xfId="14243" xr:uid="{8448E91F-D337-4AB7-A4EC-13A6B9D9B2F4}"/>
    <cellStyle name="40% - Accent2 7 3 3" xfId="22689" xr:uid="{6C521721-0FA0-48EC-B110-FDB7E0050E1E}"/>
    <cellStyle name="40% - Accent2 7 4" xfId="10025" xr:uid="{6EDC1490-8248-424C-8F04-885147F4F6E1}"/>
    <cellStyle name="40% - Accent2 7 5" xfId="18470" xr:uid="{293AD047-CEE6-4524-9F29-CFDB188F0DD3}"/>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469C5B79-1C82-4DED-9DC6-1F551ABC080E}"/>
    <cellStyle name="40% - Accent2 8 2 2 3" xfId="25247" xr:uid="{17AD2E26-BA89-4C56-8415-53D2ECA05959}"/>
    <cellStyle name="40% - Accent2 8 2 3" xfId="12583" xr:uid="{E3C9EB77-D543-4A65-BEE9-F72870697521}"/>
    <cellStyle name="40% - Accent2 8 2 4" xfId="21030" xr:uid="{E6935375-2543-490A-B9A8-3BA31B92E166}"/>
    <cellStyle name="40% - Accent2 8 3" xfId="6214" xr:uid="{00000000-0005-0000-0000-0000FD040000}"/>
    <cellStyle name="40% - Accent2 8 3 2" xfId="14656" xr:uid="{418DC967-06F0-4367-A6A3-44FC08F0085C}"/>
    <cellStyle name="40% - Accent2 8 3 3" xfId="23102" xr:uid="{4AD56EA0-62D7-4020-9530-5DBC57C14667}"/>
    <cellStyle name="40% - Accent2 8 4" xfId="10438" xr:uid="{7043A7E1-8FE2-403B-8BDC-C47D41373A73}"/>
    <cellStyle name="40% - Accent2 8 5" xfId="18883" xr:uid="{B008757C-9E15-476B-8F69-9DB5018EF858}"/>
    <cellStyle name="40% - Accent2 9" xfId="2320" xr:uid="{00000000-0005-0000-0000-0000FE040000}"/>
    <cellStyle name="40% - Accent2 9 2" xfId="6627" xr:uid="{00000000-0005-0000-0000-0000FF040000}"/>
    <cellStyle name="40% - Accent2 9 2 2" xfId="15069" xr:uid="{B9A5B856-D1C5-475A-B876-7B8E2EE3777C}"/>
    <cellStyle name="40% - Accent2 9 2 3" xfId="23515" xr:uid="{985EE4D9-E396-4736-BCA9-37D7A0BEAEAE}"/>
    <cellStyle name="40% - Accent2 9 3" xfId="10851" xr:uid="{76351DF9-81D4-4A74-94D5-5C5FDA53E616}"/>
    <cellStyle name="40% - Accent2 9 4" xfId="19296" xr:uid="{0FF34620-F12B-4CDF-989E-7CA44FAC057E}"/>
    <cellStyle name="40% - Accent3" xfId="65" builtinId="39" customBuiltin="1"/>
    <cellStyle name="40% - Accent3 10" xfId="4569" xr:uid="{00000000-0005-0000-0000-000001050000}"/>
    <cellStyle name="40% - Accent3 10 2" xfId="13011" xr:uid="{E4FBBC36-CE38-4588-BC31-BFB738AF6F0F}"/>
    <cellStyle name="40% - Accent3 10 3" xfId="21457" xr:uid="{0179E903-DD86-444D-8AD4-15892DD982D1}"/>
    <cellStyle name="40% - Accent3 11" xfId="8793" xr:uid="{D586DCC6-C443-4E90-9D87-5DA767496621}"/>
    <cellStyle name="40% - Accent3 12" xfId="17235" xr:uid="{9E32F2AB-9DD5-48D6-B58D-1C1136D410A9}"/>
    <cellStyle name="40% - Accent3 2" xfId="66" xr:uid="{00000000-0005-0000-0000-000002050000}"/>
    <cellStyle name="40% - Accent3 2 10" xfId="8794" xr:uid="{13818972-BFD1-4807-9F5A-96C86A7D1047}"/>
    <cellStyle name="40% - Accent3 2 11" xfId="17236" xr:uid="{6F766AE1-480D-4F63-A0C2-EF1277C0AC86}"/>
    <cellStyle name="40% - Accent3 2 2" xfId="67" xr:uid="{00000000-0005-0000-0000-000003050000}"/>
    <cellStyle name="40% - Accent3 2 2 10" xfId="17237" xr:uid="{8ACCBA3F-0109-4D2A-A57A-3945C145504A}"/>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9CB5E20B-19A7-434B-B06F-6E7216568975}"/>
    <cellStyle name="40% - Accent3 2 2 2 2 2 2 3" xfId="24019" xr:uid="{05ACB48C-1D20-4D07-87DD-EDE8B8E4EE16}"/>
    <cellStyle name="40% - Accent3 2 2 2 2 2 3" xfId="11355" xr:uid="{D8F5BF0F-7F80-4C89-8E79-48716AAE61BF}"/>
    <cellStyle name="40% - Accent3 2 2 2 2 2 4" xfId="19802" xr:uid="{F26D08BB-5C13-48E7-AE7D-200CC3D88485}"/>
    <cellStyle name="40% - Accent3 2 2 2 2 3" xfId="4986" xr:uid="{00000000-0005-0000-0000-000008050000}"/>
    <cellStyle name="40% - Accent3 2 2 2 2 3 2" xfId="13428" xr:uid="{3022E059-127E-4096-A79C-01E9F00AAC84}"/>
    <cellStyle name="40% - Accent3 2 2 2 2 3 3" xfId="21874" xr:uid="{DF483811-83FD-43D5-BB6C-37C280418B46}"/>
    <cellStyle name="40% - Accent3 2 2 2 2 4" xfId="9210" xr:uid="{B8A081F7-1CB5-4846-833E-AAFE94470332}"/>
    <cellStyle name="40% - Accent3 2 2 2 2 5" xfId="17655" xr:uid="{5D8FCC31-DA7B-481C-90E5-2A2660B7A4C7}"/>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0AA54ED4-356F-490E-A818-418668F9E1FB}"/>
    <cellStyle name="40% - Accent3 2 2 2 3 2 2 3" xfId="24432" xr:uid="{C23ABBDE-BBF0-48E7-89D5-2DAF5607E44C}"/>
    <cellStyle name="40% - Accent3 2 2 2 3 2 3" xfId="11768" xr:uid="{90EEC65D-3593-418A-9C81-2A7E3EAB8FB9}"/>
    <cellStyle name="40% - Accent3 2 2 2 3 2 4" xfId="20215" xr:uid="{3923C10F-C210-40FF-9F07-38D49190FFFE}"/>
    <cellStyle name="40% - Accent3 2 2 2 3 3" xfId="5399" xr:uid="{00000000-0005-0000-0000-00000C050000}"/>
    <cellStyle name="40% - Accent3 2 2 2 3 3 2" xfId="13841" xr:uid="{B1CBB857-F238-494D-B15E-899C2765CBEC}"/>
    <cellStyle name="40% - Accent3 2 2 2 3 3 3" xfId="22287" xr:uid="{42CD6653-A819-4226-83BD-0894D31DA04C}"/>
    <cellStyle name="40% - Accent3 2 2 2 3 4" xfId="9623" xr:uid="{1992B8D0-DAE6-4F2D-9CC1-26D9A1926864}"/>
    <cellStyle name="40% - Accent3 2 2 2 3 5" xfId="18068" xr:uid="{2ED36810-73EC-43BB-A8C8-95EBCA949DB1}"/>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29C5EE9D-4080-4CD6-9414-422FC9D62E7E}"/>
    <cellStyle name="40% - Accent3 2 2 2 4 2 2 3" xfId="24845" xr:uid="{A018398C-BE32-4E48-B6FD-D28D8F9A89FA}"/>
    <cellStyle name="40% - Accent3 2 2 2 4 2 3" xfId="12181" xr:uid="{2BA7ED0D-D13C-40F6-B657-225A8F2DE011}"/>
    <cellStyle name="40% - Accent3 2 2 2 4 2 4" xfId="20628" xr:uid="{92F8D1EB-01C8-4837-82BB-3AAD76E4B24B}"/>
    <cellStyle name="40% - Accent3 2 2 2 4 3" xfId="5812" xr:uid="{00000000-0005-0000-0000-000010050000}"/>
    <cellStyle name="40% - Accent3 2 2 2 4 3 2" xfId="14254" xr:uid="{8C9EF877-900C-4596-B2FB-62B7D03B6675}"/>
    <cellStyle name="40% - Accent3 2 2 2 4 3 3" xfId="22700" xr:uid="{938B9136-9330-4CE8-BF44-B8E24FCA37DE}"/>
    <cellStyle name="40% - Accent3 2 2 2 4 4" xfId="10036" xr:uid="{63F37B7B-DC5F-4C70-AEBD-71179F668A1D}"/>
    <cellStyle name="40% - Accent3 2 2 2 4 5" xfId="18481" xr:uid="{CFAFD245-8E6A-41B9-A0DB-4F33744312D8}"/>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48AEBC82-9BD7-4B78-981B-5CF2A466D7C7}"/>
    <cellStyle name="40% - Accent3 2 2 2 5 2 2 3" xfId="25258" xr:uid="{B5EF09EA-388F-4562-8F96-A5671A1A3FF2}"/>
    <cellStyle name="40% - Accent3 2 2 2 5 2 3" xfId="12594" xr:uid="{49EDFE3E-82F0-47F7-A84A-8618E4D41C88}"/>
    <cellStyle name="40% - Accent3 2 2 2 5 2 4" xfId="21041" xr:uid="{8255E5CB-2A76-4D47-8600-780950C6889E}"/>
    <cellStyle name="40% - Accent3 2 2 2 5 3" xfId="6225" xr:uid="{00000000-0005-0000-0000-000014050000}"/>
    <cellStyle name="40% - Accent3 2 2 2 5 3 2" xfId="14667" xr:uid="{2B560C26-4628-4421-9259-95FA0F8ACE2C}"/>
    <cellStyle name="40% - Accent3 2 2 2 5 3 3" xfId="23113" xr:uid="{F9A789FD-3E97-4BDF-80CA-FC118E06210F}"/>
    <cellStyle name="40% - Accent3 2 2 2 5 4" xfId="10449" xr:uid="{63714FEC-5AE5-4D0E-9CF3-F71A45449ACF}"/>
    <cellStyle name="40% - Accent3 2 2 2 5 5" xfId="18894" xr:uid="{912A4DE1-49F0-473E-A081-41701342535F}"/>
    <cellStyle name="40% - Accent3 2 2 2 6" xfId="2331" xr:uid="{00000000-0005-0000-0000-000015050000}"/>
    <cellStyle name="40% - Accent3 2 2 2 6 2" xfId="6638" xr:uid="{00000000-0005-0000-0000-000016050000}"/>
    <cellStyle name="40% - Accent3 2 2 2 6 2 2" xfId="15080" xr:uid="{A9A2AB77-302E-4978-8DC0-E914A772E412}"/>
    <cellStyle name="40% - Accent3 2 2 2 6 2 3" xfId="23526" xr:uid="{FFEE849C-93EF-4B85-9075-DA53DF534758}"/>
    <cellStyle name="40% - Accent3 2 2 2 6 3" xfId="10862" xr:uid="{EC32E347-42D0-4F8D-9323-9255AD6F82EA}"/>
    <cellStyle name="40% - Accent3 2 2 2 6 4" xfId="19307" xr:uid="{ABB4CD00-AB17-4F5A-AE75-22214FE81B94}"/>
    <cellStyle name="40% - Accent3 2 2 2 7" xfId="4572" xr:uid="{00000000-0005-0000-0000-000017050000}"/>
    <cellStyle name="40% - Accent3 2 2 2 7 2" xfId="13014" xr:uid="{DF168E91-EE5E-4E33-8F0E-CB68B619F0A4}"/>
    <cellStyle name="40% - Accent3 2 2 2 7 3" xfId="21460" xr:uid="{5291D139-960F-4403-B6DF-83A6F12EF0D2}"/>
    <cellStyle name="40% - Accent3 2 2 2 8" xfId="8796" xr:uid="{8A47FFF8-F1A3-4A4D-A15B-5087B7171CCC}"/>
    <cellStyle name="40% - Accent3 2 2 2 9" xfId="17238" xr:uid="{7F122E9E-D022-438E-97CC-DAC45FC2A0B0}"/>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53BB2C41-D9B5-4255-9AA0-922799465C40}"/>
    <cellStyle name="40% - Accent3 2 2 3 2 2 3" xfId="24018" xr:uid="{79EDFB45-4856-48FE-9FE0-19A5BE37B3C7}"/>
    <cellStyle name="40% - Accent3 2 2 3 2 3" xfId="11354" xr:uid="{61C97C4B-58CB-4E7A-AAD8-D3C4AE02DDF0}"/>
    <cellStyle name="40% - Accent3 2 2 3 2 4" xfId="19801" xr:uid="{6473ACC7-7A29-46A7-9F51-C7A691FBC116}"/>
    <cellStyle name="40% - Accent3 2 2 3 3" xfId="4985" xr:uid="{00000000-0005-0000-0000-00001B050000}"/>
    <cellStyle name="40% - Accent3 2 2 3 3 2" xfId="13427" xr:uid="{C9BBD2FB-FC67-40F0-88ED-06E19F39ACCC}"/>
    <cellStyle name="40% - Accent3 2 2 3 3 3" xfId="21873" xr:uid="{CD817C83-8868-47BF-B519-FAC856A4D62C}"/>
    <cellStyle name="40% - Accent3 2 2 3 4" xfId="9209" xr:uid="{7F77AFCF-4E96-4323-B8CB-D95481D3D947}"/>
    <cellStyle name="40% - Accent3 2 2 3 5" xfId="17654" xr:uid="{109B62CE-8999-422F-ADD0-4D5556D98F19}"/>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E2EE52AA-CEA0-40EB-8621-03F208E92EC5}"/>
    <cellStyle name="40% - Accent3 2 2 4 2 2 3" xfId="24431" xr:uid="{4943CE5A-B9A4-4CCC-9CDB-B74E6BDE791D}"/>
    <cellStyle name="40% - Accent3 2 2 4 2 3" xfId="11767" xr:uid="{63C5621F-FAF4-4184-B696-77020321E4EB}"/>
    <cellStyle name="40% - Accent3 2 2 4 2 4" xfId="20214" xr:uid="{D8F1BCE0-3366-4389-8CE3-A56599232FBE}"/>
    <cellStyle name="40% - Accent3 2 2 4 3" xfId="5398" xr:uid="{00000000-0005-0000-0000-00001F050000}"/>
    <cellStyle name="40% - Accent3 2 2 4 3 2" xfId="13840" xr:uid="{F65C30A9-2D27-4249-9761-63D3A86786A3}"/>
    <cellStyle name="40% - Accent3 2 2 4 3 3" xfId="22286" xr:uid="{1240D56F-85BF-404F-8486-1144E079F52F}"/>
    <cellStyle name="40% - Accent3 2 2 4 4" xfId="9622" xr:uid="{938AE584-DD3E-4CC1-B7FE-66F0C7B94FC4}"/>
    <cellStyle name="40% - Accent3 2 2 4 5" xfId="18067" xr:uid="{25321F10-BA4B-4C4F-85FF-67363F42BBB3}"/>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1BA33365-D253-4A9C-A905-29EC71386B1F}"/>
    <cellStyle name="40% - Accent3 2 2 5 2 2 3" xfId="24844" xr:uid="{676AA87F-6DC9-4B08-BEF2-EB0E831C9EF1}"/>
    <cellStyle name="40% - Accent3 2 2 5 2 3" xfId="12180" xr:uid="{6414FFD2-6DAC-4B31-A525-3A8BCF5A0627}"/>
    <cellStyle name="40% - Accent3 2 2 5 2 4" xfId="20627" xr:uid="{6C849D2A-FA10-4529-B53D-638471945977}"/>
    <cellStyle name="40% - Accent3 2 2 5 3" xfId="5811" xr:uid="{00000000-0005-0000-0000-000023050000}"/>
    <cellStyle name="40% - Accent3 2 2 5 3 2" xfId="14253" xr:uid="{354B1C58-4402-46CA-BDE4-D1C990CA452A}"/>
    <cellStyle name="40% - Accent3 2 2 5 3 3" xfId="22699" xr:uid="{A9BF629C-90A7-4818-8829-C4ABF07D975D}"/>
    <cellStyle name="40% - Accent3 2 2 5 4" xfId="10035" xr:uid="{B50A7109-D007-4AC7-9C06-BD4C31822CF2}"/>
    <cellStyle name="40% - Accent3 2 2 5 5" xfId="18480" xr:uid="{4E68E01C-114F-4DB6-B35A-FF91CD480825}"/>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F73CE093-C727-4099-BDD9-E101FE8320FC}"/>
    <cellStyle name="40% - Accent3 2 2 6 2 2 3" xfId="25257" xr:uid="{76A6B922-03D9-433A-B53D-94A6EF71E163}"/>
    <cellStyle name="40% - Accent3 2 2 6 2 3" xfId="12593" xr:uid="{98885E8A-8CD7-4AF1-A3ED-E3E4A0E40B06}"/>
    <cellStyle name="40% - Accent3 2 2 6 2 4" xfId="21040" xr:uid="{907F768D-86DD-4D00-8B12-551211AEE524}"/>
    <cellStyle name="40% - Accent3 2 2 6 3" xfId="6224" xr:uid="{00000000-0005-0000-0000-000027050000}"/>
    <cellStyle name="40% - Accent3 2 2 6 3 2" xfId="14666" xr:uid="{2DCE00C7-5557-410B-816E-E75A864CEBF4}"/>
    <cellStyle name="40% - Accent3 2 2 6 3 3" xfId="23112" xr:uid="{5A297F26-DE77-4937-A99E-9C1BF6B97C7A}"/>
    <cellStyle name="40% - Accent3 2 2 6 4" xfId="10448" xr:uid="{6E350209-9E6F-474B-A4A9-D0CC509D27A3}"/>
    <cellStyle name="40% - Accent3 2 2 6 5" xfId="18893" xr:uid="{AAAB96CC-7E1A-4077-90F9-5F67026F10D1}"/>
    <cellStyle name="40% - Accent3 2 2 7" xfId="2330" xr:uid="{00000000-0005-0000-0000-000028050000}"/>
    <cellStyle name="40% - Accent3 2 2 7 2" xfId="6637" xr:uid="{00000000-0005-0000-0000-000029050000}"/>
    <cellStyle name="40% - Accent3 2 2 7 2 2" xfId="15079" xr:uid="{C61EFBBC-1B72-4D4C-B9E8-17DF0FC12B62}"/>
    <cellStyle name="40% - Accent3 2 2 7 2 3" xfId="23525" xr:uid="{18BBFFCF-E37B-4E1E-A1A6-27D2D3D3FA29}"/>
    <cellStyle name="40% - Accent3 2 2 7 3" xfId="10861" xr:uid="{86572520-0CA1-438C-B473-A99BA4E6800F}"/>
    <cellStyle name="40% - Accent3 2 2 7 4" xfId="19306" xr:uid="{AC17947E-122B-47EC-A348-85FB2FD4327B}"/>
    <cellStyle name="40% - Accent3 2 2 8" xfId="4571" xr:uid="{00000000-0005-0000-0000-00002A050000}"/>
    <cellStyle name="40% - Accent3 2 2 8 2" xfId="13013" xr:uid="{5CCBE563-654F-4088-8D41-27F2BBD838A0}"/>
    <cellStyle name="40% - Accent3 2 2 8 3" xfId="21459" xr:uid="{B4895808-1B6F-41A6-BBBE-FF9DB092488E}"/>
    <cellStyle name="40% - Accent3 2 2 9" xfId="8795" xr:uid="{6EF3F46E-772D-49BF-8E5B-4B017C36FF63}"/>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E0C5C59B-4D81-4753-8C77-0945C1EA7D2C}"/>
    <cellStyle name="40% - Accent3 2 3 2 2 2 3" xfId="24020" xr:uid="{E2A489A1-5A89-4C4B-9747-DB4D680D2B05}"/>
    <cellStyle name="40% - Accent3 2 3 2 2 3" xfId="11356" xr:uid="{BD599D48-E541-47C4-A71C-0E37A49468FC}"/>
    <cellStyle name="40% - Accent3 2 3 2 2 4" xfId="19803" xr:uid="{77836014-AEDA-4919-B967-F9E63B2C4B2C}"/>
    <cellStyle name="40% - Accent3 2 3 2 3" xfId="4987" xr:uid="{00000000-0005-0000-0000-00002F050000}"/>
    <cellStyle name="40% - Accent3 2 3 2 3 2" xfId="13429" xr:uid="{AF15AA49-56F9-4627-A9F4-4253734F5AC4}"/>
    <cellStyle name="40% - Accent3 2 3 2 3 3" xfId="21875" xr:uid="{B8AD2CF0-F20F-4BD5-BBC1-C1917B94C4EA}"/>
    <cellStyle name="40% - Accent3 2 3 2 4" xfId="9211" xr:uid="{2534D8BB-F598-4FDA-BDBA-5816553A0B28}"/>
    <cellStyle name="40% - Accent3 2 3 2 5" xfId="17656" xr:uid="{B13E3EE6-FD61-4106-8660-D6E13B96E4FF}"/>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A0844830-F80A-43BE-BBFE-21B76B7A50F3}"/>
    <cellStyle name="40% - Accent3 2 3 3 2 2 3" xfId="24433" xr:uid="{95F733F7-E41F-4560-8930-35CE753096EF}"/>
    <cellStyle name="40% - Accent3 2 3 3 2 3" xfId="11769" xr:uid="{6A8AD04F-D9A3-41FE-908B-0360C9832250}"/>
    <cellStyle name="40% - Accent3 2 3 3 2 4" xfId="20216" xr:uid="{5823E9AA-2A18-43D7-A6D3-9F8D2660824E}"/>
    <cellStyle name="40% - Accent3 2 3 3 3" xfId="5400" xr:uid="{00000000-0005-0000-0000-000033050000}"/>
    <cellStyle name="40% - Accent3 2 3 3 3 2" xfId="13842" xr:uid="{98D77CBF-86C9-4FC7-BA82-BB791BDCFBE4}"/>
    <cellStyle name="40% - Accent3 2 3 3 3 3" xfId="22288" xr:uid="{F46F6DA5-7BE5-4044-AC80-4766CEF2AC00}"/>
    <cellStyle name="40% - Accent3 2 3 3 4" xfId="9624" xr:uid="{92AF6E87-AFC4-44FB-8D6D-E777FEC9C28C}"/>
    <cellStyle name="40% - Accent3 2 3 3 5" xfId="18069" xr:uid="{85118874-29B9-4C8D-8608-F1EEA076C466}"/>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CBAA40BA-B83F-4C60-B875-65988D1818D8}"/>
    <cellStyle name="40% - Accent3 2 3 4 2 2 3" xfId="24846" xr:uid="{00C94D60-E1E9-47BB-B1D0-E8021684FC7E}"/>
    <cellStyle name="40% - Accent3 2 3 4 2 3" xfId="12182" xr:uid="{ABBA638E-D413-4400-B573-B26020AC1E2F}"/>
    <cellStyle name="40% - Accent3 2 3 4 2 4" xfId="20629" xr:uid="{3706FE1E-1026-4CF9-AD1B-3809AE0AD24C}"/>
    <cellStyle name="40% - Accent3 2 3 4 3" xfId="5813" xr:uid="{00000000-0005-0000-0000-000037050000}"/>
    <cellStyle name="40% - Accent3 2 3 4 3 2" xfId="14255" xr:uid="{5E25F343-6784-4164-A623-5E738382ED6B}"/>
    <cellStyle name="40% - Accent3 2 3 4 3 3" xfId="22701" xr:uid="{AAF7EF2A-85A0-40A6-857B-492531AFD310}"/>
    <cellStyle name="40% - Accent3 2 3 4 4" xfId="10037" xr:uid="{DB75FC9E-3F39-4011-A662-1D2039CEB6DB}"/>
    <cellStyle name="40% - Accent3 2 3 4 5" xfId="18482" xr:uid="{1A2B74AF-F0ED-4FAF-AEC3-ACBFB59E7EF8}"/>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075E315D-8D3C-4848-87C2-66D0F940BADC}"/>
    <cellStyle name="40% - Accent3 2 3 5 2 2 3" xfId="25259" xr:uid="{A27B6A6B-7420-4096-8504-71D935FCBC3D}"/>
    <cellStyle name="40% - Accent3 2 3 5 2 3" xfId="12595" xr:uid="{BF994DAD-93BC-4DB0-A2A6-908E7D253AA9}"/>
    <cellStyle name="40% - Accent3 2 3 5 2 4" xfId="21042" xr:uid="{49E37B5F-54D2-4AD1-96D5-D854E67ABCE1}"/>
    <cellStyle name="40% - Accent3 2 3 5 3" xfId="6226" xr:uid="{00000000-0005-0000-0000-00003B050000}"/>
    <cellStyle name="40% - Accent3 2 3 5 3 2" xfId="14668" xr:uid="{E97807D7-C021-447C-AFD5-6277BA31195F}"/>
    <cellStyle name="40% - Accent3 2 3 5 3 3" xfId="23114" xr:uid="{8A048B21-72AA-41CE-807B-365552F9911C}"/>
    <cellStyle name="40% - Accent3 2 3 5 4" xfId="10450" xr:uid="{D0E3E99F-90F5-4AF2-8FC0-6F8A26D8E769}"/>
    <cellStyle name="40% - Accent3 2 3 5 5" xfId="18895" xr:uid="{52D054FF-20B4-42C0-80CB-4FB99AA5D8E2}"/>
    <cellStyle name="40% - Accent3 2 3 6" xfId="2332" xr:uid="{00000000-0005-0000-0000-00003C050000}"/>
    <cellStyle name="40% - Accent3 2 3 6 2" xfId="6639" xr:uid="{00000000-0005-0000-0000-00003D050000}"/>
    <cellStyle name="40% - Accent3 2 3 6 2 2" xfId="15081" xr:uid="{E23E2025-3AF1-4CDD-829C-9FFD121089BD}"/>
    <cellStyle name="40% - Accent3 2 3 6 2 3" xfId="23527" xr:uid="{2C003C2E-DF4B-48D6-99A4-1E7952BA5BB2}"/>
    <cellStyle name="40% - Accent3 2 3 6 3" xfId="10863" xr:uid="{8B593CED-6E94-401C-86A1-75F37A5280B0}"/>
    <cellStyle name="40% - Accent3 2 3 6 4" xfId="19308" xr:uid="{58EE2E77-6FDD-40D3-8D6D-5049F26DC000}"/>
    <cellStyle name="40% - Accent3 2 3 7" xfId="4573" xr:uid="{00000000-0005-0000-0000-00003E050000}"/>
    <cellStyle name="40% - Accent3 2 3 7 2" xfId="13015" xr:uid="{4C372B61-3D87-4657-B5D0-237D514E1794}"/>
    <cellStyle name="40% - Accent3 2 3 7 3" xfId="21461" xr:uid="{5729EB12-A269-40A9-B66E-7325A31D7BC8}"/>
    <cellStyle name="40% - Accent3 2 3 8" xfId="8797" xr:uid="{C8003879-A84F-40CB-B31B-7EE45602A7E6}"/>
    <cellStyle name="40% - Accent3 2 3 9" xfId="17239" xr:uid="{5E07DBD7-AB9F-4CD1-94CF-017951A08344}"/>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38EAAF0B-BB4D-4E80-A389-6FAAA285F0E0}"/>
    <cellStyle name="40% - Accent3 2 4 2 2 3" xfId="24017" xr:uid="{43A78731-52CF-4DE6-8AE4-D012D57E3CBD}"/>
    <cellStyle name="40% - Accent3 2 4 2 3" xfId="11353" xr:uid="{1F67A687-6650-4D9F-B5C3-85C53E21AB65}"/>
    <cellStyle name="40% - Accent3 2 4 2 4" xfId="19800" xr:uid="{0C728BD9-DAFA-4D74-9BB0-4687DD5BC260}"/>
    <cellStyle name="40% - Accent3 2 4 3" xfId="4984" xr:uid="{00000000-0005-0000-0000-000042050000}"/>
    <cellStyle name="40% - Accent3 2 4 3 2" xfId="13426" xr:uid="{6562F064-5C2D-4E0C-8693-BE781D1E05C0}"/>
    <cellStyle name="40% - Accent3 2 4 3 3" xfId="21872" xr:uid="{54FC9835-C53B-4ED9-9129-317E42E019F7}"/>
    <cellStyle name="40% - Accent3 2 4 4" xfId="9208" xr:uid="{55CD39E0-A2BE-4AB8-AB89-215F79820673}"/>
    <cellStyle name="40% - Accent3 2 4 5" xfId="17653" xr:uid="{94063D63-FEEA-41F8-9A39-A555EE341A27}"/>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7E4ED324-E218-4904-9864-4FA50A3FDF6E}"/>
    <cellStyle name="40% - Accent3 2 5 2 2 3" xfId="24430" xr:uid="{96BF8AF9-5F97-4C40-822E-DDC3D4FDEAE0}"/>
    <cellStyle name="40% - Accent3 2 5 2 3" xfId="11766" xr:uid="{034114A8-8E8B-40BC-BB6B-9D19E4AC36FD}"/>
    <cellStyle name="40% - Accent3 2 5 2 4" xfId="20213" xr:uid="{4A45D88C-F5DE-4C9C-BFC2-42AEBF2EFE43}"/>
    <cellStyle name="40% - Accent3 2 5 3" xfId="5397" xr:uid="{00000000-0005-0000-0000-000046050000}"/>
    <cellStyle name="40% - Accent3 2 5 3 2" xfId="13839" xr:uid="{73C93A11-332A-49CB-B6BB-80FE30EFB9F0}"/>
    <cellStyle name="40% - Accent3 2 5 3 3" xfId="22285" xr:uid="{F06D6313-3313-4FDF-95F3-C5E4F5115149}"/>
    <cellStyle name="40% - Accent3 2 5 4" xfId="9621" xr:uid="{E93ACA7E-D7DA-40DF-82E5-145C5E291F07}"/>
    <cellStyle name="40% - Accent3 2 5 5" xfId="18066" xr:uid="{06BB93EB-F90F-4692-87B7-F9632CA2A17B}"/>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3C7FC67F-0DDC-417E-865B-0C189AE480BE}"/>
    <cellStyle name="40% - Accent3 2 6 2 2 3" xfId="24843" xr:uid="{711873D8-A755-4A81-9FC4-D348CD6698F6}"/>
    <cellStyle name="40% - Accent3 2 6 2 3" xfId="12179" xr:uid="{747DC05F-EEF2-4EFC-9511-EAC2B10C7ABE}"/>
    <cellStyle name="40% - Accent3 2 6 2 4" xfId="20626" xr:uid="{2129D572-6E68-4392-B73E-86C1C2DFB6FF}"/>
    <cellStyle name="40% - Accent3 2 6 3" xfId="5810" xr:uid="{00000000-0005-0000-0000-00004A050000}"/>
    <cellStyle name="40% - Accent3 2 6 3 2" xfId="14252" xr:uid="{4F1E6CDE-24AB-4CBB-ABBB-BB0D25D98018}"/>
    <cellStyle name="40% - Accent3 2 6 3 3" xfId="22698" xr:uid="{6B26A546-E839-4916-9844-CF05CAFA0397}"/>
    <cellStyle name="40% - Accent3 2 6 4" xfId="10034" xr:uid="{86744994-E319-4385-80AD-62111F4E2C88}"/>
    <cellStyle name="40% - Accent3 2 6 5" xfId="18479" xr:uid="{C850D05D-3D74-4EF8-A534-1A4AD286384F}"/>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5C9C0C14-FB97-498D-82CC-E8C3BDBC8BAF}"/>
    <cellStyle name="40% - Accent3 2 7 2 2 3" xfId="25256" xr:uid="{10AD72AB-DE88-464C-995D-B6696F4C9601}"/>
    <cellStyle name="40% - Accent3 2 7 2 3" xfId="12592" xr:uid="{0971F8EA-4EDB-4C22-BC2C-FEA44E052981}"/>
    <cellStyle name="40% - Accent3 2 7 2 4" xfId="21039" xr:uid="{4AEBD584-CA35-4A4C-85B3-FFF47ACE60D9}"/>
    <cellStyle name="40% - Accent3 2 7 3" xfId="6223" xr:uid="{00000000-0005-0000-0000-00004E050000}"/>
    <cellStyle name="40% - Accent3 2 7 3 2" xfId="14665" xr:uid="{0B344752-B549-40BF-91C4-108B5BFE3AF4}"/>
    <cellStyle name="40% - Accent3 2 7 3 3" xfId="23111" xr:uid="{3AA8A702-A6BF-4E90-895D-45FA80163340}"/>
    <cellStyle name="40% - Accent3 2 7 4" xfId="10447" xr:uid="{2E04B56B-1D05-4B7E-84AD-0834951A3927}"/>
    <cellStyle name="40% - Accent3 2 7 5" xfId="18892" xr:uid="{CA4EEDCA-2854-4532-B814-99CC0C4DE478}"/>
    <cellStyle name="40% - Accent3 2 8" xfId="2329" xr:uid="{00000000-0005-0000-0000-00004F050000}"/>
    <cellStyle name="40% - Accent3 2 8 2" xfId="6636" xr:uid="{00000000-0005-0000-0000-000050050000}"/>
    <cellStyle name="40% - Accent3 2 8 2 2" xfId="15078" xr:uid="{7103A955-ED66-4FC7-B0F2-8DEF9AF77EF8}"/>
    <cellStyle name="40% - Accent3 2 8 2 3" xfId="23524" xr:uid="{D4B0B053-AE30-40A4-80C0-B0A48A023F54}"/>
    <cellStyle name="40% - Accent3 2 8 3" xfId="10860" xr:uid="{02B7D0AA-EC18-481F-898F-E513F0422E00}"/>
    <cellStyle name="40% - Accent3 2 8 4" xfId="19305" xr:uid="{B452A996-5017-4562-9867-AB37AFEF9AAD}"/>
    <cellStyle name="40% - Accent3 2 9" xfId="4570" xr:uid="{00000000-0005-0000-0000-000051050000}"/>
    <cellStyle name="40% - Accent3 2 9 2" xfId="13012" xr:uid="{9DD32477-54AA-421A-9005-F612A0A7B459}"/>
    <cellStyle name="40% - Accent3 2 9 3" xfId="21458" xr:uid="{F2A0B779-E47A-4896-A77A-7338EC96F415}"/>
    <cellStyle name="40% - Accent3 3" xfId="70" xr:uid="{00000000-0005-0000-0000-000052050000}"/>
    <cellStyle name="40% - Accent3 3 10" xfId="17240" xr:uid="{B302ACC9-AF24-49B8-B65B-CD46163AC4DF}"/>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C486EC55-0FB5-4600-88D0-3B007493A680}"/>
    <cellStyle name="40% - Accent3 3 2 2 2 2 3" xfId="24022" xr:uid="{6B21179E-4A5E-464B-8052-D7B97C3120E1}"/>
    <cellStyle name="40% - Accent3 3 2 2 2 3" xfId="11358" xr:uid="{9E8E0DF1-D29F-43F4-A4B3-EF709C948198}"/>
    <cellStyle name="40% - Accent3 3 2 2 2 4" xfId="19805" xr:uid="{D7A0D691-B87F-4661-80CA-0AC4EDB1E284}"/>
    <cellStyle name="40% - Accent3 3 2 2 3" xfId="4989" xr:uid="{00000000-0005-0000-0000-000057050000}"/>
    <cellStyle name="40% - Accent3 3 2 2 3 2" xfId="13431" xr:uid="{8A7D3D60-7265-41E0-A3DC-2FC9B8CE52B2}"/>
    <cellStyle name="40% - Accent3 3 2 2 3 3" xfId="21877" xr:uid="{64D8EE53-25D7-442B-85D7-5762A6D276BB}"/>
    <cellStyle name="40% - Accent3 3 2 2 4" xfId="9213" xr:uid="{8F260A4C-4EE6-4632-9567-3D98EB4207E7}"/>
    <cellStyle name="40% - Accent3 3 2 2 5" xfId="17658" xr:uid="{0DDC0F2D-6EB7-43E9-8631-466AE3B65791}"/>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E760DA4E-A434-4C13-A7DF-627A88B1FF0C}"/>
    <cellStyle name="40% - Accent3 3 2 3 2 2 3" xfId="24435" xr:uid="{7A5EE3C5-5D1F-4E17-B005-6710C3695766}"/>
    <cellStyle name="40% - Accent3 3 2 3 2 3" xfId="11771" xr:uid="{633B914A-5F46-4047-9EC1-E72119A492DE}"/>
    <cellStyle name="40% - Accent3 3 2 3 2 4" xfId="20218" xr:uid="{CFD28396-2D59-459C-BE2E-C387205BAC0B}"/>
    <cellStyle name="40% - Accent3 3 2 3 3" xfId="5402" xr:uid="{00000000-0005-0000-0000-00005B050000}"/>
    <cellStyle name="40% - Accent3 3 2 3 3 2" xfId="13844" xr:uid="{38F568CD-90C3-45D7-B096-84B5A7A7274C}"/>
    <cellStyle name="40% - Accent3 3 2 3 3 3" xfId="22290" xr:uid="{7DC467AF-6E6F-4978-A7FA-E389B267459E}"/>
    <cellStyle name="40% - Accent3 3 2 3 4" xfId="9626" xr:uid="{1FBB8EDF-9A29-4168-B388-94548312127E}"/>
    <cellStyle name="40% - Accent3 3 2 3 5" xfId="18071" xr:uid="{EEDCA923-9D24-4996-AB84-D7E0998478D4}"/>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B7577B57-92F2-41BD-90AB-11B01C1BE085}"/>
    <cellStyle name="40% - Accent3 3 2 4 2 2 3" xfId="24848" xr:uid="{88CF6A10-8B50-470F-AAF5-C07ADBF199B1}"/>
    <cellStyle name="40% - Accent3 3 2 4 2 3" xfId="12184" xr:uid="{BF4C0778-8761-4FAB-AAEC-A78CE0379D29}"/>
    <cellStyle name="40% - Accent3 3 2 4 2 4" xfId="20631" xr:uid="{03256B3A-B456-46B4-910D-1C997567AB81}"/>
    <cellStyle name="40% - Accent3 3 2 4 3" xfId="5815" xr:uid="{00000000-0005-0000-0000-00005F050000}"/>
    <cellStyle name="40% - Accent3 3 2 4 3 2" xfId="14257" xr:uid="{FA6A7F44-328D-477B-88DF-BB29D54EACCB}"/>
    <cellStyle name="40% - Accent3 3 2 4 3 3" xfId="22703" xr:uid="{2DF4991E-CBC4-47F4-83F4-DC13A8C01FEB}"/>
    <cellStyle name="40% - Accent3 3 2 4 4" xfId="10039" xr:uid="{9A986FDC-9E1A-48AC-AE01-76605C687753}"/>
    <cellStyle name="40% - Accent3 3 2 4 5" xfId="18484" xr:uid="{41A5225D-6ED7-40F4-9CAE-90F2A8292A9A}"/>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7D5248CA-DB82-40FD-B6FA-2868DCF872BC}"/>
    <cellStyle name="40% - Accent3 3 2 5 2 2 3" xfId="25261" xr:uid="{4443FAFB-3E34-4024-8889-A5C70E2CC698}"/>
    <cellStyle name="40% - Accent3 3 2 5 2 3" xfId="12597" xr:uid="{760D1951-86C4-4DB7-987A-2099EB05AB1C}"/>
    <cellStyle name="40% - Accent3 3 2 5 2 4" xfId="21044" xr:uid="{04D39337-7276-494B-B05A-A46BC7036DE4}"/>
    <cellStyle name="40% - Accent3 3 2 5 3" xfId="6228" xr:uid="{00000000-0005-0000-0000-000063050000}"/>
    <cellStyle name="40% - Accent3 3 2 5 3 2" xfId="14670" xr:uid="{38A0CD8E-2C6A-4519-BC41-5ADAEF9E70B6}"/>
    <cellStyle name="40% - Accent3 3 2 5 3 3" xfId="23116" xr:uid="{79CAE16D-F47D-4A7A-927B-917B128BE8EA}"/>
    <cellStyle name="40% - Accent3 3 2 5 4" xfId="10452" xr:uid="{FDFF5E8C-D8E4-4D17-926D-18FD50F380E4}"/>
    <cellStyle name="40% - Accent3 3 2 5 5" xfId="18897" xr:uid="{339B64F5-6EBC-4F23-9C5E-4C7C9D3E95C8}"/>
    <cellStyle name="40% - Accent3 3 2 6" xfId="2334" xr:uid="{00000000-0005-0000-0000-000064050000}"/>
    <cellStyle name="40% - Accent3 3 2 6 2" xfId="6641" xr:uid="{00000000-0005-0000-0000-000065050000}"/>
    <cellStyle name="40% - Accent3 3 2 6 2 2" xfId="15083" xr:uid="{ADD05835-7134-49F9-A310-ECC3F29044BD}"/>
    <cellStyle name="40% - Accent3 3 2 6 2 3" xfId="23529" xr:uid="{39DB7C94-5A86-442D-9913-97CF8E2A31F7}"/>
    <cellStyle name="40% - Accent3 3 2 6 3" xfId="10865" xr:uid="{874FC51D-9AEF-40CE-BC2A-B6B93F87CDF5}"/>
    <cellStyle name="40% - Accent3 3 2 6 4" xfId="19310" xr:uid="{E9DF1240-48BB-4A09-82DE-ABA4381F269D}"/>
    <cellStyle name="40% - Accent3 3 2 7" xfId="4575" xr:uid="{00000000-0005-0000-0000-000066050000}"/>
    <cellStyle name="40% - Accent3 3 2 7 2" xfId="13017" xr:uid="{9DC58FBF-6CB3-4B4B-B91E-A46A168055B4}"/>
    <cellStyle name="40% - Accent3 3 2 7 3" xfId="21463" xr:uid="{42E06A7A-91C8-43EA-A131-EAEE1F75C6B7}"/>
    <cellStyle name="40% - Accent3 3 2 8" xfId="8799" xr:uid="{1F55AA30-5E8C-480A-9AA3-B52102A40F04}"/>
    <cellStyle name="40% - Accent3 3 2 9" xfId="17241" xr:uid="{8605427D-3C04-48B8-840A-F1883F18D621}"/>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65B0D29E-A124-463B-8E3D-7667D142D95C}"/>
    <cellStyle name="40% - Accent3 3 3 2 2 3" xfId="24021" xr:uid="{4A2F2676-5706-4CFF-88F2-AE2C03B5ACBD}"/>
    <cellStyle name="40% - Accent3 3 3 2 3" xfId="11357" xr:uid="{741E3C1D-CC4E-4A04-B8C7-614BA7E20E3F}"/>
    <cellStyle name="40% - Accent3 3 3 2 4" xfId="19804" xr:uid="{CDD74F6F-B323-4D60-AA99-6BA35DAEC5A2}"/>
    <cellStyle name="40% - Accent3 3 3 3" xfId="4988" xr:uid="{00000000-0005-0000-0000-00006A050000}"/>
    <cellStyle name="40% - Accent3 3 3 3 2" xfId="13430" xr:uid="{3C8D3FAB-A9D8-4CE1-BBE3-798B93EA7F67}"/>
    <cellStyle name="40% - Accent3 3 3 3 3" xfId="21876" xr:uid="{411C995C-80D7-40F4-AA01-F9489B35ACC6}"/>
    <cellStyle name="40% - Accent3 3 3 4" xfId="9212" xr:uid="{E8022697-9A1C-4058-8686-791FF41DEA8C}"/>
    <cellStyle name="40% - Accent3 3 3 5" xfId="17657" xr:uid="{834BCBEE-BDC1-4820-8FF7-FD8ABBD0F209}"/>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BFD49C33-F15C-478D-8FC4-849A17AEFB41}"/>
    <cellStyle name="40% - Accent3 3 4 2 2 3" xfId="24434" xr:uid="{54EC7AD1-30C1-474F-BD26-2F5263ED277F}"/>
    <cellStyle name="40% - Accent3 3 4 2 3" xfId="11770" xr:uid="{FA440E13-1B9B-4748-90CA-EB444BA77105}"/>
    <cellStyle name="40% - Accent3 3 4 2 4" xfId="20217" xr:uid="{D71D6D56-5965-400D-997C-2AB1D9CAC1A8}"/>
    <cellStyle name="40% - Accent3 3 4 3" xfId="5401" xr:uid="{00000000-0005-0000-0000-00006E050000}"/>
    <cellStyle name="40% - Accent3 3 4 3 2" xfId="13843" xr:uid="{7E4F1295-8A54-4930-B928-4F8D9F5D5511}"/>
    <cellStyle name="40% - Accent3 3 4 3 3" xfId="22289" xr:uid="{0F99546B-A4F7-46A6-BBCD-4DC12C852088}"/>
    <cellStyle name="40% - Accent3 3 4 4" xfId="9625" xr:uid="{49D540B7-F271-4F43-ACC9-D8782A4604A2}"/>
    <cellStyle name="40% - Accent3 3 4 5" xfId="18070" xr:uid="{6316A082-A053-4063-A576-473F662D35FD}"/>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8220BEA0-7603-4359-9216-18C32F68C930}"/>
    <cellStyle name="40% - Accent3 3 5 2 2 3" xfId="24847" xr:uid="{1CD6B9AA-C84E-4B89-A389-07B49312D347}"/>
    <cellStyle name="40% - Accent3 3 5 2 3" xfId="12183" xr:uid="{18B1F730-104A-48E0-8496-9AEE104447A5}"/>
    <cellStyle name="40% - Accent3 3 5 2 4" xfId="20630" xr:uid="{3D5EAEFE-9245-4D50-B440-40BC9EA1193B}"/>
    <cellStyle name="40% - Accent3 3 5 3" xfId="5814" xr:uid="{00000000-0005-0000-0000-000072050000}"/>
    <cellStyle name="40% - Accent3 3 5 3 2" xfId="14256" xr:uid="{42843D6C-E6DF-4423-A02A-541DEC197069}"/>
    <cellStyle name="40% - Accent3 3 5 3 3" xfId="22702" xr:uid="{F7F76FC3-0A0C-465C-850A-AB25BD4B765E}"/>
    <cellStyle name="40% - Accent3 3 5 4" xfId="10038" xr:uid="{76E87B3C-F232-4862-AB04-046B795B1767}"/>
    <cellStyle name="40% - Accent3 3 5 5" xfId="18483" xr:uid="{1B71568E-1DCF-4B7A-87E2-C09CBA3FC6E7}"/>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155C536B-7996-4EEF-8C6B-C4B60F5DD9DF}"/>
    <cellStyle name="40% - Accent3 3 6 2 2 3" xfId="25260" xr:uid="{C4FCB9D8-385B-44FB-8D57-952256F489B2}"/>
    <cellStyle name="40% - Accent3 3 6 2 3" xfId="12596" xr:uid="{0A614A00-E2F6-4444-BEAC-15B5F4B87DB7}"/>
    <cellStyle name="40% - Accent3 3 6 2 4" xfId="21043" xr:uid="{51A85801-59AC-44A2-8507-18E97A54A6FA}"/>
    <cellStyle name="40% - Accent3 3 6 3" xfId="6227" xr:uid="{00000000-0005-0000-0000-000076050000}"/>
    <cellStyle name="40% - Accent3 3 6 3 2" xfId="14669" xr:uid="{44A9D873-3F87-4451-AC5B-FA41AD955741}"/>
    <cellStyle name="40% - Accent3 3 6 3 3" xfId="23115" xr:uid="{DB993A98-77A2-41F5-990D-DAA19A5329BA}"/>
    <cellStyle name="40% - Accent3 3 6 4" xfId="10451" xr:uid="{F563B191-9271-42F4-B1A0-8DACA9FEEC0D}"/>
    <cellStyle name="40% - Accent3 3 6 5" xfId="18896" xr:uid="{6AE03B45-B203-4753-9F0A-5A0CB5A67A7E}"/>
    <cellStyle name="40% - Accent3 3 7" xfId="2333" xr:uid="{00000000-0005-0000-0000-000077050000}"/>
    <cellStyle name="40% - Accent3 3 7 2" xfId="6640" xr:uid="{00000000-0005-0000-0000-000078050000}"/>
    <cellStyle name="40% - Accent3 3 7 2 2" xfId="15082" xr:uid="{829F0880-D74A-47A5-9C8C-F5EEF8EDB534}"/>
    <cellStyle name="40% - Accent3 3 7 2 3" xfId="23528" xr:uid="{34D6282E-617B-4FB5-9DA3-83D764801EC4}"/>
    <cellStyle name="40% - Accent3 3 7 3" xfId="10864" xr:uid="{C47501A3-152B-43D4-93BD-26776A6DB394}"/>
    <cellStyle name="40% - Accent3 3 7 4" xfId="19309" xr:uid="{9E4A4602-9CF1-4D03-B8AE-5A7B6D5191FB}"/>
    <cellStyle name="40% - Accent3 3 8" xfId="4574" xr:uid="{00000000-0005-0000-0000-000079050000}"/>
    <cellStyle name="40% - Accent3 3 8 2" xfId="13016" xr:uid="{E1A2991D-8D1E-4324-8904-A97F942242C3}"/>
    <cellStyle name="40% - Accent3 3 8 3" xfId="21462" xr:uid="{7D2AB168-3BD0-43B1-B29D-24D517CECFB6}"/>
    <cellStyle name="40% - Accent3 3 9" xfId="8798" xr:uid="{8160E02F-94B3-4CCA-A75B-198887AD867F}"/>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3CA858B5-D209-414E-89E2-94BFD6873F70}"/>
    <cellStyle name="40% - Accent3 4 2 2 2 3" xfId="24023" xr:uid="{788177F7-BD61-480E-BCC9-6F27B7A6BD8D}"/>
    <cellStyle name="40% - Accent3 4 2 2 3" xfId="11359" xr:uid="{1BDD8A59-2A97-46BC-A1C6-533A71507947}"/>
    <cellStyle name="40% - Accent3 4 2 2 4" xfId="19806" xr:uid="{C75FB937-D2C3-40CF-9302-942247DC1F6D}"/>
    <cellStyle name="40% - Accent3 4 2 3" xfId="4990" xr:uid="{00000000-0005-0000-0000-00007E050000}"/>
    <cellStyle name="40% - Accent3 4 2 3 2" xfId="13432" xr:uid="{3F095610-854F-4B00-BD07-4676F34CF0CA}"/>
    <cellStyle name="40% - Accent3 4 2 3 3" xfId="21878" xr:uid="{015ECFC3-457B-4F7A-AFCF-0F416037852B}"/>
    <cellStyle name="40% - Accent3 4 2 4" xfId="9214" xr:uid="{F9593BAC-24BA-4839-A6C4-ED7F1EB080F4}"/>
    <cellStyle name="40% - Accent3 4 2 5" xfId="17659" xr:uid="{2DEB85EE-EC38-427A-BF31-16168DA33480}"/>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BFC1C1BA-2521-452E-B287-506707703A4A}"/>
    <cellStyle name="40% - Accent3 4 3 2 2 3" xfId="24436" xr:uid="{6F1D4DE0-3F3C-4446-888F-76D891C6A65A}"/>
    <cellStyle name="40% - Accent3 4 3 2 3" xfId="11772" xr:uid="{1BA9E87E-0A42-48BF-859B-86774E398370}"/>
    <cellStyle name="40% - Accent3 4 3 2 4" xfId="20219" xr:uid="{3E652222-2A02-48B1-9F01-2A676448A546}"/>
    <cellStyle name="40% - Accent3 4 3 3" xfId="5403" xr:uid="{00000000-0005-0000-0000-000082050000}"/>
    <cellStyle name="40% - Accent3 4 3 3 2" xfId="13845" xr:uid="{B057AEF7-B3F8-44E7-B064-D72BE8B0B128}"/>
    <cellStyle name="40% - Accent3 4 3 3 3" xfId="22291" xr:uid="{76CB33E1-2782-4469-8AD5-0B72125A58A3}"/>
    <cellStyle name="40% - Accent3 4 3 4" xfId="9627" xr:uid="{A8350241-4EB1-4285-9CAC-3695BA07515F}"/>
    <cellStyle name="40% - Accent3 4 3 5" xfId="18072" xr:uid="{A873DC42-D3C2-4723-808A-5F7D9EFABE6F}"/>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C4B34976-12F7-4A5D-833A-6CF4FA798473}"/>
    <cellStyle name="40% - Accent3 4 4 2 2 3" xfId="24849" xr:uid="{E0489F67-CD87-4197-8D4B-9BB95BCA9755}"/>
    <cellStyle name="40% - Accent3 4 4 2 3" xfId="12185" xr:uid="{1F9258E3-D9BA-46D7-8EED-77C7C7F2BF70}"/>
    <cellStyle name="40% - Accent3 4 4 2 4" xfId="20632" xr:uid="{AF1EBCC4-FE89-43F8-92D7-9DFB6F7D79DE}"/>
    <cellStyle name="40% - Accent3 4 4 3" xfId="5816" xr:uid="{00000000-0005-0000-0000-000086050000}"/>
    <cellStyle name="40% - Accent3 4 4 3 2" xfId="14258" xr:uid="{0A211A1B-7FA7-4E3D-8C33-3CE5C6E70FAF}"/>
    <cellStyle name="40% - Accent3 4 4 3 3" xfId="22704" xr:uid="{6DEE5B2F-77A3-4B48-8973-CC7509FD1EA8}"/>
    <cellStyle name="40% - Accent3 4 4 4" xfId="10040" xr:uid="{DF62F39C-11CD-497E-AEFA-14DB17AEA2BC}"/>
    <cellStyle name="40% - Accent3 4 4 5" xfId="18485" xr:uid="{20FAC19A-A655-40E8-B7A5-F6FA29AA127C}"/>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68CD8ADD-758A-44F3-8154-939D1631CC53}"/>
    <cellStyle name="40% - Accent3 4 5 2 2 3" xfId="25262" xr:uid="{E18C2AD8-5CB2-4B51-B981-C69DD4CE269B}"/>
    <cellStyle name="40% - Accent3 4 5 2 3" xfId="12598" xr:uid="{85796716-BDEC-4743-A9A4-399FEDF849B4}"/>
    <cellStyle name="40% - Accent3 4 5 2 4" xfId="21045" xr:uid="{6B2CDD26-F0C7-41C5-8E8B-0271B8C19AF1}"/>
    <cellStyle name="40% - Accent3 4 5 3" xfId="6229" xr:uid="{00000000-0005-0000-0000-00008A050000}"/>
    <cellStyle name="40% - Accent3 4 5 3 2" xfId="14671" xr:uid="{556EE2FC-386E-4E89-BF5D-D4AF3BDB0FAC}"/>
    <cellStyle name="40% - Accent3 4 5 3 3" xfId="23117" xr:uid="{5DECBC54-EB7C-48CC-AF18-980C89C27957}"/>
    <cellStyle name="40% - Accent3 4 5 4" xfId="10453" xr:uid="{EC48348F-435B-4E7C-8254-66EAF146605A}"/>
    <cellStyle name="40% - Accent3 4 5 5" xfId="18898" xr:uid="{E99C2D9F-E3D2-4878-AEB3-56E4C775B426}"/>
    <cellStyle name="40% - Accent3 4 6" xfId="2335" xr:uid="{00000000-0005-0000-0000-00008B050000}"/>
    <cellStyle name="40% - Accent3 4 6 2" xfId="6642" xr:uid="{00000000-0005-0000-0000-00008C050000}"/>
    <cellStyle name="40% - Accent3 4 6 2 2" xfId="15084" xr:uid="{7293A785-59EF-48CB-B0E9-235B3B851F34}"/>
    <cellStyle name="40% - Accent3 4 6 2 3" xfId="23530" xr:uid="{CBE3DFE0-5300-4BD4-A330-1B89741466AE}"/>
    <cellStyle name="40% - Accent3 4 6 3" xfId="10866" xr:uid="{67140F4B-63C3-498D-B623-69C0160CA3B7}"/>
    <cellStyle name="40% - Accent3 4 6 4" xfId="19311" xr:uid="{CDB3A2F9-6F3C-4B11-A861-1E849B537B1A}"/>
    <cellStyle name="40% - Accent3 4 7" xfId="4576" xr:uid="{00000000-0005-0000-0000-00008D050000}"/>
    <cellStyle name="40% - Accent3 4 7 2" xfId="13018" xr:uid="{64E9924E-17C2-4AF6-B91C-F1346CAB2BF6}"/>
    <cellStyle name="40% - Accent3 4 7 3" xfId="21464" xr:uid="{CFEF0C6B-75CB-4EF1-9B54-4055E1A1E9BD}"/>
    <cellStyle name="40% - Accent3 4 8" xfId="8800" xr:uid="{58978279-EE1A-4FD1-AD70-950E28755690}"/>
    <cellStyle name="40% - Accent3 4 9" xfId="17242" xr:uid="{B952A314-BC01-4437-997D-20071BC7D2BD}"/>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A5933CE2-AE32-4D75-B4A2-9AB54B953EE1}"/>
    <cellStyle name="40% - Accent3 5 2 2 3" xfId="24016" xr:uid="{37465078-357F-4D27-A9FF-43377102B289}"/>
    <cellStyle name="40% - Accent3 5 2 3" xfId="11352" xr:uid="{2E1CC642-69AE-4A46-995D-77EF8CAF2A1C}"/>
    <cellStyle name="40% - Accent3 5 2 4" xfId="19799" xr:uid="{28A7DF46-C38A-4291-A5DF-407B7A609C21}"/>
    <cellStyle name="40% - Accent3 5 3" xfId="4983" xr:uid="{00000000-0005-0000-0000-000091050000}"/>
    <cellStyle name="40% - Accent3 5 3 2" xfId="13425" xr:uid="{AAD754F8-7727-4188-B96D-8574454B31DF}"/>
    <cellStyle name="40% - Accent3 5 3 3" xfId="21871" xr:uid="{BE072E52-24E6-48BF-BA0C-EAF53CD2ED94}"/>
    <cellStyle name="40% - Accent3 5 4" xfId="9207" xr:uid="{9FEB3425-3269-4B44-9FC7-0C1988BB493B}"/>
    <cellStyle name="40% - Accent3 5 5" xfId="17652" xr:uid="{0D619C45-A363-4434-872F-A3FA864B5DE2}"/>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E2FB9BB4-211D-4B93-A0CF-87C7797D2BB2}"/>
    <cellStyle name="40% - Accent3 6 2 2 3" xfId="24429" xr:uid="{552E0F40-DF8E-4F46-B866-DE540099155A}"/>
    <cellStyle name="40% - Accent3 6 2 3" xfId="11765" xr:uid="{D9BD6371-29C6-4DDA-96B8-393A5CD85C95}"/>
    <cellStyle name="40% - Accent3 6 2 4" xfId="20212" xr:uid="{410EAF10-02A2-43B1-A0BE-2ECDB53AB458}"/>
    <cellStyle name="40% - Accent3 6 3" xfId="5396" xr:uid="{00000000-0005-0000-0000-000095050000}"/>
    <cellStyle name="40% - Accent3 6 3 2" xfId="13838" xr:uid="{7680E0DA-27D6-46A7-A942-02B8DC65F406}"/>
    <cellStyle name="40% - Accent3 6 3 3" xfId="22284" xr:uid="{E9ED69F9-E3BB-4279-9633-9C4C828D606C}"/>
    <cellStyle name="40% - Accent3 6 4" xfId="9620" xr:uid="{28FD3023-26EC-4FC1-8FB6-8576C2A06320}"/>
    <cellStyle name="40% - Accent3 6 5" xfId="18065" xr:uid="{2D34911C-1289-485C-BCDD-045B79F1EF2A}"/>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AD99B482-543B-4CEF-B0F7-51A68FBCA27F}"/>
    <cellStyle name="40% - Accent3 7 2 2 3" xfId="24842" xr:uid="{C2EF9187-BA82-4D20-B826-9941C1968622}"/>
    <cellStyle name="40% - Accent3 7 2 3" xfId="12178" xr:uid="{D07AC5BF-BDD8-48B8-B164-BE047791B43C}"/>
    <cellStyle name="40% - Accent3 7 2 4" xfId="20625" xr:uid="{39477044-4677-4679-84D8-9251875528DD}"/>
    <cellStyle name="40% - Accent3 7 3" xfId="5809" xr:uid="{00000000-0005-0000-0000-000099050000}"/>
    <cellStyle name="40% - Accent3 7 3 2" xfId="14251" xr:uid="{F71741AF-9D5D-4816-AF68-8177091B8D87}"/>
    <cellStyle name="40% - Accent3 7 3 3" xfId="22697" xr:uid="{0538BD4B-38EB-4819-ADE3-DCF0B033A8E7}"/>
    <cellStyle name="40% - Accent3 7 4" xfId="10033" xr:uid="{7C82FDDA-712C-48FD-8EB1-8ECA5B0E6CBF}"/>
    <cellStyle name="40% - Accent3 7 5" xfId="18478" xr:uid="{FBFAC6F5-588A-4DF8-BD84-A386052FA656}"/>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F7BB337A-E217-4B05-840C-1507278C82AD}"/>
    <cellStyle name="40% - Accent3 8 2 2 3" xfId="25255" xr:uid="{85902042-8C47-4E40-AE20-8AC7A7CA6AB1}"/>
    <cellStyle name="40% - Accent3 8 2 3" xfId="12591" xr:uid="{ED627EFE-E48C-4AD8-BA1F-3DEF6D86A558}"/>
    <cellStyle name="40% - Accent3 8 2 4" xfId="21038" xr:uid="{0684186C-3D34-4AEC-AC8E-06C56ED6926C}"/>
    <cellStyle name="40% - Accent3 8 3" xfId="6222" xr:uid="{00000000-0005-0000-0000-00009D050000}"/>
    <cellStyle name="40% - Accent3 8 3 2" xfId="14664" xr:uid="{ED14403D-E0E5-45C0-AEC4-D0E1C525341E}"/>
    <cellStyle name="40% - Accent3 8 3 3" xfId="23110" xr:uid="{15CB5BA0-CB8E-40A4-94D3-16F239772D77}"/>
    <cellStyle name="40% - Accent3 8 4" xfId="10446" xr:uid="{7C1A9D0B-6152-4E50-B9EE-A939AD9FDA99}"/>
    <cellStyle name="40% - Accent3 8 5" xfId="18891" xr:uid="{7D9696DE-55AC-4B7C-BB25-38D072C1DA51}"/>
    <cellStyle name="40% - Accent3 9" xfId="2328" xr:uid="{00000000-0005-0000-0000-00009E050000}"/>
    <cellStyle name="40% - Accent3 9 2" xfId="6635" xr:uid="{00000000-0005-0000-0000-00009F050000}"/>
    <cellStyle name="40% - Accent3 9 2 2" xfId="15077" xr:uid="{0FD94DB4-31FA-4F2E-8FEB-67E42CF301D6}"/>
    <cellStyle name="40% - Accent3 9 2 3" xfId="23523" xr:uid="{4B835B84-C207-45AA-8A0A-D3F579820DC6}"/>
    <cellStyle name="40% - Accent3 9 3" xfId="10859" xr:uid="{304FBA44-E0E3-48B5-BACB-1F0ADC198FD2}"/>
    <cellStyle name="40% - Accent3 9 4" xfId="19304" xr:uid="{3388E014-A1D4-43C4-B5CF-D0EBB0EE34EF}"/>
    <cellStyle name="40% - Accent4" xfId="73" builtinId="43" customBuiltin="1"/>
    <cellStyle name="40% - Accent4 10" xfId="4577" xr:uid="{00000000-0005-0000-0000-0000A1050000}"/>
    <cellStyle name="40% - Accent4 10 2" xfId="13019" xr:uid="{BF424FF9-DFC1-43AF-83B3-19BF6554C4D7}"/>
    <cellStyle name="40% - Accent4 10 3" xfId="21465" xr:uid="{5B8A5486-D21F-42F8-B5A0-F82308586F8B}"/>
    <cellStyle name="40% - Accent4 11" xfId="8801" xr:uid="{2EEC4DB3-7D19-4404-BBFC-08ABC49CA427}"/>
    <cellStyle name="40% - Accent4 12" xfId="17243" xr:uid="{B924F1E8-056C-4BDB-B83A-E66327342FA6}"/>
    <cellStyle name="40% - Accent4 2" xfId="74" xr:uid="{00000000-0005-0000-0000-0000A2050000}"/>
    <cellStyle name="40% - Accent4 2 10" xfId="8802" xr:uid="{047DEE04-FF4A-4938-A133-60BA6DE3DB92}"/>
    <cellStyle name="40% - Accent4 2 11" xfId="17244" xr:uid="{8623D735-1CEC-4DE5-ACAA-43ADF22488A7}"/>
    <cellStyle name="40% - Accent4 2 2" xfId="75" xr:uid="{00000000-0005-0000-0000-0000A3050000}"/>
    <cellStyle name="40% - Accent4 2 2 10" xfId="17245" xr:uid="{A4D54683-69F3-444F-BC23-019E864B78C1}"/>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76CF3625-12B9-4061-93BD-C6D8A65F0597}"/>
    <cellStyle name="40% - Accent4 2 2 2 2 2 2 3" xfId="24027" xr:uid="{007AE751-A147-49A6-930F-9207750637E0}"/>
    <cellStyle name="40% - Accent4 2 2 2 2 2 3" xfId="11363" xr:uid="{5BB4CD60-BF5B-4EC1-88EA-5EE65D1CB8CC}"/>
    <cellStyle name="40% - Accent4 2 2 2 2 2 4" xfId="19810" xr:uid="{EBF78269-3BB7-4343-B894-153AA98EC6CD}"/>
    <cellStyle name="40% - Accent4 2 2 2 2 3" xfId="4994" xr:uid="{00000000-0005-0000-0000-0000A8050000}"/>
    <cellStyle name="40% - Accent4 2 2 2 2 3 2" xfId="13436" xr:uid="{1E15B36D-D0A9-427C-9BF0-EA3A85618D35}"/>
    <cellStyle name="40% - Accent4 2 2 2 2 3 3" xfId="21882" xr:uid="{07A6D06C-810A-4E46-A5B7-384208095238}"/>
    <cellStyle name="40% - Accent4 2 2 2 2 4" xfId="9218" xr:uid="{BF7EC871-62A3-4437-B125-C792FB98CFA7}"/>
    <cellStyle name="40% - Accent4 2 2 2 2 5" xfId="17663" xr:uid="{2C9A2785-C57E-4A9E-BD17-3E3D4EB9942E}"/>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50DCCB2C-2D01-445C-9593-B3A57F956384}"/>
    <cellStyle name="40% - Accent4 2 2 2 3 2 2 3" xfId="24440" xr:uid="{8C1DE219-A4D6-4090-A815-280481429125}"/>
    <cellStyle name="40% - Accent4 2 2 2 3 2 3" xfId="11776" xr:uid="{55F1265A-B509-4BB4-A5D3-F6BA8BEE24CE}"/>
    <cellStyle name="40% - Accent4 2 2 2 3 2 4" xfId="20223" xr:uid="{E56AC03C-50B7-4DD2-9E15-1854948E8846}"/>
    <cellStyle name="40% - Accent4 2 2 2 3 3" xfId="5407" xr:uid="{00000000-0005-0000-0000-0000AC050000}"/>
    <cellStyle name="40% - Accent4 2 2 2 3 3 2" xfId="13849" xr:uid="{1C9D077D-E0CC-4CB2-8D51-B92B09C1CAC4}"/>
    <cellStyle name="40% - Accent4 2 2 2 3 3 3" xfId="22295" xr:uid="{41653C17-4BFE-4D7F-98BD-1EFEE8540B08}"/>
    <cellStyle name="40% - Accent4 2 2 2 3 4" xfId="9631" xr:uid="{048FA4BF-3A35-41CF-BF2F-550ABBD7EA0E}"/>
    <cellStyle name="40% - Accent4 2 2 2 3 5" xfId="18076" xr:uid="{095F2233-FE54-46BB-B463-2F270D2615BD}"/>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C3BE0F00-6F73-499D-BF23-02AB0E523F9B}"/>
    <cellStyle name="40% - Accent4 2 2 2 4 2 2 3" xfId="24853" xr:uid="{51CF5597-0B6C-4FB2-A26B-A4361A760BA7}"/>
    <cellStyle name="40% - Accent4 2 2 2 4 2 3" xfId="12189" xr:uid="{C3FA1092-517F-4B1E-89E3-86CD00703EA0}"/>
    <cellStyle name="40% - Accent4 2 2 2 4 2 4" xfId="20636" xr:uid="{DA51E144-24DE-4D7E-BA7F-7C2FB90A477B}"/>
    <cellStyle name="40% - Accent4 2 2 2 4 3" xfId="5820" xr:uid="{00000000-0005-0000-0000-0000B0050000}"/>
    <cellStyle name="40% - Accent4 2 2 2 4 3 2" xfId="14262" xr:uid="{0F0719E9-6246-4217-A245-56F0C4835FFF}"/>
    <cellStyle name="40% - Accent4 2 2 2 4 3 3" xfId="22708" xr:uid="{22563F19-9A33-4C2C-9D6E-2096D65B907F}"/>
    <cellStyle name="40% - Accent4 2 2 2 4 4" xfId="10044" xr:uid="{C85FECC3-E677-4775-A47A-6D0035C2DDDF}"/>
    <cellStyle name="40% - Accent4 2 2 2 4 5" xfId="18489" xr:uid="{6A339AE4-0CE6-4117-AAD6-7AE779D37C38}"/>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7F8C906A-1C5D-4BD7-A810-695D1AD3BA1B}"/>
    <cellStyle name="40% - Accent4 2 2 2 5 2 2 3" xfId="25266" xr:uid="{C4254E06-867C-4069-A90B-6707EE15C7CB}"/>
    <cellStyle name="40% - Accent4 2 2 2 5 2 3" xfId="12602" xr:uid="{EAB00B76-C911-4C3C-9DA6-D50325660DE2}"/>
    <cellStyle name="40% - Accent4 2 2 2 5 2 4" xfId="21049" xr:uid="{511478F6-FEE1-4123-ACD9-1B0A85FC281E}"/>
    <cellStyle name="40% - Accent4 2 2 2 5 3" xfId="6233" xr:uid="{00000000-0005-0000-0000-0000B4050000}"/>
    <cellStyle name="40% - Accent4 2 2 2 5 3 2" xfId="14675" xr:uid="{CD65CFB4-DFD5-40F7-8BA1-6B1BBDBB3F46}"/>
    <cellStyle name="40% - Accent4 2 2 2 5 3 3" xfId="23121" xr:uid="{C3C943D5-ED17-44C6-985E-41D69F2BEC93}"/>
    <cellStyle name="40% - Accent4 2 2 2 5 4" xfId="10457" xr:uid="{510997B7-A26C-4704-867F-E3A43839FB9E}"/>
    <cellStyle name="40% - Accent4 2 2 2 5 5" xfId="18902" xr:uid="{A151B2D5-6437-42F7-9B1E-DB00E8E494BE}"/>
    <cellStyle name="40% - Accent4 2 2 2 6" xfId="2339" xr:uid="{00000000-0005-0000-0000-0000B5050000}"/>
    <cellStyle name="40% - Accent4 2 2 2 6 2" xfId="6646" xr:uid="{00000000-0005-0000-0000-0000B6050000}"/>
    <cellStyle name="40% - Accent4 2 2 2 6 2 2" xfId="15088" xr:uid="{A14CA237-4D95-4194-B943-8EBCBE7429A5}"/>
    <cellStyle name="40% - Accent4 2 2 2 6 2 3" xfId="23534" xr:uid="{DA95F339-6DD3-4F12-BD82-BFCFD73765D3}"/>
    <cellStyle name="40% - Accent4 2 2 2 6 3" xfId="10870" xr:uid="{B23F86EE-9B2A-4E62-8CFD-C796CDDBE909}"/>
    <cellStyle name="40% - Accent4 2 2 2 6 4" xfId="19315" xr:uid="{B742127F-28C3-43D0-A5BA-052F99B306D6}"/>
    <cellStyle name="40% - Accent4 2 2 2 7" xfId="4580" xr:uid="{00000000-0005-0000-0000-0000B7050000}"/>
    <cellStyle name="40% - Accent4 2 2 2 7 2" xfId="13022" xr:uid="{2C352E19-6AAF-4F72-B71E-4B5DF1D23DD1}"/>
    <cellStyle name="40% - Accent4 2 2 2 7 3" xfId="21468" xr:uid="{4088EFF1-16B9-48B8-9991-1A932362E542}"/>
    <cellStyle name="40% - Accent4 2 2 2 8" xfId="8804" xr:uid="{427EEAB7-3FCD-4EF1-8F1D-6C363386118F}"/>
    <cellStyle name="40% - Accent4 2 2 2 9" xfId="17246" xr:uid="{175D50E5-F99D-41DC-9F70-2F8BBB3EE7D9}"/>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F80E92BD-0EB6-40A3-A390-08E71EBFBCCA}"/>
    <cellStyle name="40% - Accent4 2 2 3 2 2 3" xfId="24026" xr:uid="{9F104F24-6EF0-4E39-A3E5-FE38A780243C}"/>
    <cellStyle name="40% - Accent4 2 2 3 2 3" xfId="11362" xr:uid="{E88C34A4-467A-4CC7-A23D-6B606629CBF0}"/>
    <cellStyle name="40% - Accent4 2 2 3 2 4" xfId="19809" xr:uid="{9D3D304C-683C-4D42-BDC4-39E4FA871F56}"/>
    <cellStyle name="40% - Accent4 2 2 3 3" xfId="4993" xr:uid="{00000000-0005-0000-0000-0000BB050000}"/>
    <cellStyle name="40% - Accent4 2 2 3 3 2" xfId="13435" xr:uid="{A9D1DD0F-FCCD-4A49-B52D-2A7353AEB42A}"/>
    <cellStyle name="40% - Accent4 2 2 3 3 3" xfId="21881" xr:uid="{1973692B-B9E5-4C9E-A44F-8A6B5D83ED24}"/>
    <cellStyle name="40% - Accent4 2 2 3 4" xfId="9217" xr:uid="{8189C4B4-6144-4E35-B799-AAC223629BCA}"/>
    <cellStyle name="40% - Accent4 2 2 3 5" xfId="17662" xr:uid="{704E1A20-D980-4698-AE94-D8137C947C5B}"/>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AAFB1149-647F-4105-9599-75E75980996D}"/>
    <cellStyle name="40% - Accent4 2 2 4 2 2 3" xfId="24439" xr:uid="{7C55BF9D-F15B-4339-A6D1-38FAB4A50FE1}"/>
    <cellStyle name="40% - Accent4 2 2 4 2 3" xfId="11775" xr:uid="{BD2A4144-0A0E-4E8E-A49D-47EFEB154BD0}"/>
    <cellStyle name="40% - Accent4 2 2 4 2 4" xfId="20222" xr:uid="{3F1BAD77-7BC7-4880-9CB1-A358EF6A3F4F}"/>
    <cellStyle name="40% - Accent4 2 2 4 3" xfId="5406" xr:uid="{00000000-0005-0000-0000-0000BF050000}"/>
    <cellStyle name="40% - Accent4 2 2 4 3 2" xfId="13848" xr:uid="{E9552158-BB46-4DC6-B01C-43AEDD097469}"/>
    <cellStyle name="40% - Accent4 2 2 4 3 3" xfId="22294" xr:uid="{33776032-82EE-4958-8D10-55AD7F27B54F}"/>
    <cellStyle name="40% - Accent4 2 2 4 4" xfId="9630" xr:uid="{D4820290-4361-42C7-9D61-2C22878E98E6}"/>
    <cellStyle name="40% - Accent4 2 2 4 5" xfId="18075" xr:uid="{CD0E1881-9087-4E0F-A066-D1EEDD2D565D}"/>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F9ADC8F2-58F8-40AD-8D86-C9E4992E84A6}"/>
    <cellStyle name="40% - Accent4 2 2 5 2 2 3" xfId="24852" xr:uid="{7BDBA217-80CE-40E3-807B-ABCD1C79E041}"/>
    <cellStyle name="40% - Accent4 2 2 5 2 3" xfId="12188" xr:uid="{D1E453AA-0CA9-4B0E-A437-A8AEBA81661D}"/>
    <cellStyle name="40% - Accent4 2 2 5 2 4" xfId="20635" xr:uid="{FD66463C-5178-4F2D-A30C-5DBA95E708FA}"/>
    <cellStyle name="40% - Accent4 2 2 5 3" xfId="5819" xr:uid="{00000000-0005-0000-0000-0000C3050000}"/>
    <cellStyle name="40% - Accent4 2 2 5 3 2" xfId="14261" xr:uid="{8D455F30-BBFB-47E9-AF6F-D2BA564A6CFC}"/>
    <cellStyle name="40% - Accent4 2 2 5 3 3" xfId="22707" xr:uid="{3F36032C-F2EC-4C21-A8E4-A1658F5FCEFA}"/>
    <cellStyle name="40% - Accent4 2 2 5 4" xfId="10043" xr:uid="{D8705B45-109D-4FBB-861E-ACEBBCFBD6D8}"/>
    <cellStyle name="40% - Accent4 2 2 5 5" xfId="18488" xr:uid="{990E89B3-CA8B-4C9F-884A-E7615F42E8A4}"/>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030396C5-EE06-475E-82B9-DCBEB088C40D}"/>
    <cellStyle name="40% - Accent4 2 2 6 2 2 3" xfId="25265" xr:uid="{4C7B5464-24B9-4D2E-BE37-AF74B513768A}"/>
    <cellStyle name="40% - Accent4 2 2 6 2 3" xfId="12601" xr:uid="{8B1B430D-7E80-484B-AC6C-60757370495B}"/>
    <cellStyle name="40% - Accent4 2 2 6 2 4" xfId="21048" xr:uid="{15642F48-C153-46A7-83CB-577EAA1A048B}"/>
    <cellStyle name="40% - Accent4 2 2 6 3" xfId="6232" xr:uid="{00000000-0005-0000-0000-0000C7050000}"/>
    <cellStyle name="40% - Accent4 2 2 6 3 2" xfId="14674" xr:uid="{3FE6D299-BD6D-4636-AB4A-567959D8ED14}"/>
    <cellStyle name="40% - Accent4 2 2 6 3 3" xfId="23120" xr:uid="{4F40649A-97F0-4F2E-B932-0C3D3756180F}"/>
    <cellStyle name="40% - Accent4 2 2 6 4" xfId="10456" xr:uid="{622B375D-E693-4024-9789-F28E96974EBC}"/>
    <cellStyle name="40% - Accent4 2 2 6 5" xfId="18901" xr:uid="{A9EDB983-5C3A-48CA-ABA3-6B04DBD6E734}"/>
    <cellStyle name="40% - Accent4 2 2 7" xfId="2338" xr:uid="{00000000-0005-0000-0000-0000C8050000}"/>
    <cellStyle name="40% - Accent4 2 2 7 2" xfId="6645" xr:uid="{00000000-0005-0000-0000-0000C9050000}"/>
    <cellStyle name="40% - Accent4 2 2 7 2 2" xfId="15087" xr:uid="{66578EF9-34F4-4CF6-A2FE-CD82D52A6BD0}"/>
    <cellStyle name="40% - Accent4 2 2 7 2 3" xfId="23533" xr:uid="{57B5C8D4-BAE9-4C64-B7D2-C7C357D55F86}"/>
    <cellStyle name="40% - Accent4 2 2 7 3" xfId="10869" xr:uid="{590AF67A-BCC0-4B4E-BA7E-1C82D8ED90E3}"/>
    <cellStyle name="40% - Accent4 2 2 7 4" xfId="19314" xr:uid="{5B9264EE-09AC-4364-B61A-BD1BCF5C3CC2}"/>
    <cellStyle name="40% - Accent4 2 2 8" xfId="4579" xr:uid="{00000000-0005-0000-0000-0000CA050000}"/>
    <cellStyle name="40% - Accent4 2 2 8 2" xfId="13021" xr:uid="{7D10C340-00DC-412F-93C3-2E533185E161}"/>
    <cellStyle name="40% - Accent4 2 2 8 3" xfId="21467" xr:uid="{176C4296-BEE9-4726-8044-8DA12A97AA1A}"/>
    <cellStyle name="40% - Accent4 2 2 9" xfId="8803" xr:uid="{AD683F20-8916-4E2E-AC12-2C03C32F1447}"/>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4250804A-8C43-4D86-86BF-B526A6EA0C63}"/>
    <cellStyle name="40% - Accent4 2 3 2 2 2 3" xfId="24028" xr:uid="{052E5FD5-2401-40BF-8266-2683D2F91D74}"/>
    <cellStyle name="40% - Accent4 2 3 2 2 3" xfId="11364" xr:uid="{ED04B636-AB28-422C-B83E-B80E90FC025A}"/>
    <cellStyle name="40% - Accent4 2 3 2 2 4" xfId="19811" xr:uid="{BD61A1BE-E620-4DE0-889C-6508249BFC9C}"/>
    <cellStyle name="40% - Accent4 2 3 2 3" xfId="4995" xr:uid="{00000000-0005-0000-0000-0000CF050000}"/>
    <cellStyle name="40% - Accent4 2 3 2 3 2" xfId="13437" xr:uid="{E9506DF6-FC11-4F99-BF23-D6CA4D3667CD}"/>
    <cellStyle name="40% - Accent4 2 3 2 3 3" xfId="21883" xr:uid="{B9B3154A-4933-459B-A9E4-F6474730DD70}"/>
    <cellStyle name="40% - Accent4 2 3 2 4" xfId="9219" xr:uid="{1C47DA1A-3D0D-43DA-8B53-BC43EEC6DAA8}"/>
    <cellStyle name="40% - Accent4 2 3 2 5" xfId="17664" xr:uid="{E16A1FD7-37C7-4DED-AE13-ADF41D93D7DD}"/>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A3320583-B63B-4C67-A3F3-1F0BD7FD85BB}"/>
    <cellStyle name="40% - Accent4 2 3 3 2 2 3" xfId="24441" xr:uid="{A41F32DE-9AEA-4896-9C91-01FEF924600D}"/>
    <cellStyle name="40% - Accent4 2 3 3 2 3" xfId="11777" xr:uid="{71920C53-4AF7-45DE-8F2D-544759143F00}"/>
    <cellStyle name="40% - Accent4 2 3 3 2 4" xfId="20224" xr:uid="{99481E17-E850-429D-93F0-F9A1CE37B0BC}"/>
    <cellStyle name="40% - Accent4 2 3 3 3" xfId="5408" xr:uid="{00000000-0005-0000-0000-0000D3050000}"/>
    <cellStyle name="40% - Accent4 2 3 3 3 2" xfId="13850" xr:uid="{222A825D-4A41-4058-A878-1CDF97E5C76C}"/>
    <cellStyle name="40% - Accent4 2 3 3 3 3" xfId="22296" xr:uid="{8B9C2C32-E831-4371-B5FE-C913DF6E5BF2}"/>
    <cellStyle name="40% - Accent4 2 3 3 4" xfId="9632" xr:uid="{886E2BF3-9D0D-4A0A-812A-B2A2A6E7BF15}"/>
    <cellStyle name="40% - Accent4 2 3 3 5" xfId="18077" xr:uid="{E07D1607-3B27-4C8C-A7E0-42500F3BADC7}"/>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4258E014-72ED-42EA-A995-C19480382559}"/>
    <cellStyle name="40% - Accent4 2 3 4 2 2 3" xfId="24854" xr:uid="{B6AAF17B-8198-46D0-86C8-73C3BD343715}"/>
    <cellStyle name="40% - Accent4 2 3 4 2 3" xfId="12190" xr:uid="{03FEBED0-C29A-46D1-8F9C-E22935E96FB4}"/>
    <cellStyle name="40% - Accent4 2 3 4 2 4" xfId="20637" xr:uid="{211581CD-9825-49F1-A558-8E6D89313113}"/>
    <cellStyle name="40% - Accent4 2 3 4 3" xfId="5821" xr:uid="{00000000-0005-0000-0000-0000D7050000}"/>
    <cellStyle name="40% - Accent4 2 3 4 3 2" xfId="14263" xr:uid="{E31FAF37-6FF7-40AB-A04E-6DBB3B181D9A}"/>
    <cellStyle name="40% - Accent4 2 3 4 3 3" xfId="22709" xr:uid="{4AD842CA-FBA0-4C14-9D74-322912BF8F8B}"/>
    <cellStyle name="40% - Accent4 2 3 4 4" xfId="10045" xr:uid="{37B03BE0-13C6-42EB-B05D-BFE1BA726681}"/>
    <cellStyle name="40% - Accent4 2 3 4 5" xfId="18490" xr:uid="{853DFC8A-579E-45A8-A7B1-C173C3BE4122}"/>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88ADB8A6-6B81-4AA2-AB93-54585855905C}"/>
    <cellStyle name="40% - Accent4 2 3 5 2 2 3" xfId="25267" xr:uid="{8D7B9B18-26E9-4F8C-B23F-A275ECEEC909}"/>
    <cellStyle name="40% - Accent4 2 3 5 2 3" xfId="12603" xr:uid="{06048E7B-1462-4194-915B-8ADB231EB6A3}"/>
    <cellStyle name="40% - Accent4 2 3 5 2 4" xfId="21050" xr:uid="{CB08EADF-4A73-4AB0-96E4-AA0D47D94D4B}"/>
    <cellStyle name="40% - Accent4 2 3 5 3" xfId="6234" xr:uid="{00000000-0005-0000-0000-0000DB050000}"/>
    <cellStyle name="40% - Accent4 2 3 5 3 2" xfId="14676" xr:uid="{4B0B24BA-A199-41AD-845B-8B4E858F8B21}"/>
    <cellStyle name="40% - Accent4 2 3 5 3 3" xfId="23122" xr:uid="{E72F804F-A067-4A50-B5EE-65337783FB9D}"/>
    <cellStyle name="40% - Accent4 2 3 5 4" xfId="10458" xr:uid="{D7B71044-579C-4CBC-A07F-017FC6F70DD0}"/>
    <cellStyle name="40% - Accent4 2 3 5 5" xfId="18903" xr:uid="{F976F223-A8F0-4E99-B149-24D5498692D7}"/>
    <cellStyle name="40% - Accent4 2 3 6" xfId="2340" xr:uid="{00000000-0005-0000-0000-0000DC050000}"/>
    <cellStyle name="40% - Accent4 2 3 6 2" xfId="6647" xr:uid="{00000000-0005-0000-0000-0000DD050000}"/>
    <cellStyle name="40% - Accent4 2 3 6 2 2" xfId="15089" xr:uid="{96E4288A-948D-47D9-9DC9-DE62E4598DD6}"/>
    <cellStyle name="40% - Accent4 2 3 6 2 3" xfId="23535" xr:uid="{45FAF5FD-1469-4DEC-A6DA-9CEBAFCFA0C1}"/>
    <cellStyle name="40% - Accent4 2 3 6 3" xfId="10871" xr:uid="{56A1FB73-6176-457F-9CF9-01EE10895A01}"/>
    <cellStyle name="40% - Accent4 2 3 6 4" xfId="19316" xr:uid="{EBF33ACD-27FB-4117-8623-3846929A449B}"/>
    <cellStyle name="40% - Accent4 2 3 7" xfId="4581" xr:uid="{00000000-0005-0000-0000-0000DE050000}"/>
    <cellStyle name="40% - Accent4 2 3 7 2" xfId="13023" xr:uid="{1769B912-34B9-4BFA-BB19-F64E49BFA14D}"/>
    <cellStyle name="40% - Accent4 2 3 7 3" xfId="21469" xr:uid="{03161253-8109-4367-9ABF-B943FD9AEE95}"/>
    <cellStyle name="40% - Accent4 2 3 8" xfId="8805" xr:uid="{3AA4D768-91E6-42AC-BA4E-CF686E319549}"/>
    <cellStyle name="40% - Accent4 2 3 9" xfId="17247" xr:uid="{CB8B678C-6ABA-4698-A4FE-259268BBD80E}"/>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44874AE8-B6C3-435A-B294-5253D70A7AF5}"/>
    <cellStyle name="40% - Accent4 2 4 2 2 3" xfId="24025" xr:uid="{CDA9C0C5-AC5D-4B64-AA97-51150E604451}"/>
    <cellStyle name="40% - Accent4 2 4 2 3" xfId="11361" xr:uid="{EE15B891-036F-4281-BA7C-40C8B316E446}"/>
    <cellStyle name="40% - Accent4 2 4 2 4" xfId="19808" xr:uid="{AAB23ECD-CBE3-40AA-9E60-FA630AD578BB}"/>
    <cellStyle name="40% - Accent4 2 4 3" xfId="4992" xr:uid="{00000000-0005-0000-0000-0000E2050000}"/>
    <cellStyle name="40% - Accent4 2 4 3 2" xfId="13434" xr:uid="{101BFA7B-8EE6-423B-A959-AADA5BA92901}"/>
    <cellStyle name="40% - Accent4 2 4 3 3" xfId="21880" xr:uid="{31E41FC6-8EAC-4EC6-AE78-85F120CE31AA}"/>
    <cellStyle name="40% - Accent4 2 4 4" xfId="9216" xr:uid="{0FF3A777-1BC8-44CA-947F-2925676F7D5E}"/>
    <cellStyle name="40% - Accent4 2 4 5" xfId="17661" xr:uid="{07CD9D9A-07A9-4C42-946D-B7D9A121E3F6}"/>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60F5A48B-C1D8-49F0-B778-2822C2B8753E}"/>
    <cellStyle name="40% - Accent4 2 5 2 2 3" xfId="24438" xr:uid="{F0C3AC60-9F38-4124-A63D-E440CAF12411}"/>
    <cellStyle name="40% - Accent4 2 5 2 3" xfId="11774" xr:uid="{A5A6D7FE-C278-40E2-ADF0-37D076CF8905}"/>
    <cellStyle name="40% - Accent4 2 5 2 4" xfId="20221" xr:uid="{C8BB2B91-EE82-449F-AAD5-D4C449DA4293}"/>
    <cellStyle name="40% - Accent4 2 5 3" xfId="5405" xr:uid="{00000000-0005-0000-0000-0000E6050000}"/>
    <cellStyle name="40% - Accent4 2 5 3 2" xfId="13847" xr:uid="{DC2A80A2-85ED-4D6E-A744-C33FA762D863}"/>
    <cellStyle name="40% - Accent4 2 5 3 3" xfId="22293" xr:uid="{11EAAAFD-276D-4D11-ABED-7748DD9D2A08}"/>
    <cellStyle name="40% - Accent4 2 5 4" xfId="9629" xr:uid="{0A527800-F9C2-4B0C-9DDE-3B9039E6DE3C}"/>
    <cellStyle name="40% - Accent4 2 5 5" xfId="18074" xr:uid="{8C87BBBB-F310-4CF2-A394-774562800434}"/>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F7D2F8E8-FC07-436D-9E51-0691A756B42C}"/>
    <cellStyle name="40% - Accent4 2 6 2 2 3" xfId="24851" xr:uid="{8FB72FFA-7FCF-40A9-B3F5-6ACF084F852D}"/>
    <cellStyle name="40% - Accent4 2 6 2 3" xfId="12187" xr:uid="{507040CE-9E6C-46E4-9AE6-56BE4EE8521F}"/>
    <cellStyle name="40% - Accent4 2 6 2 4" xfId="20634" xr:uid="{272B6938-30A7-444C-A9AE-94C21D72DF1C}"/>
    <cellStyle name="40% - Accent4 2 6 3" xfId="5818" xr:uid="{00000000-0005-0000-0000-0000EA050000}"/>
    <cellStyle name="40% - Accent4 2 6 3 2" xfId="14260" xr:uid="{E46577F9-CCBC-4AB0-82EC-7CE70954B743}"/>
    <cellStyle name="40% - Accent4 2 6 3 3" xfId="22706" xr:uid="{42286AF9-F45A-41B1-89E9-AA3F185DE411}"/>
    <cellStyle name="40% - Accent4 2 6 4" xfId="10042" xr:uid="{4A372C7D-6C6F-4919-963E-C1F27356E213}"/>
    <cellStyle name="40% - Accent4 2 6 5" xfId="18487" xr:uid="{EAA51AF1-4C1F-4E28-B853-EA81596BA646}"/>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A52ABBD6-3B9C-4C10-838F-28480FFCA4E2}"/>
    <cellStyle name="40% - Accent4 2 7 2 2 3" xfId="25264" xr:uid="{480FBD5C-C460-4CFE-A806-BF777855814E}"/>
    <cellStyle name="40% - Accent4 2 7 2 3" xfId="12600" xr:uid="{EC5981A6-6AA7-475D-AE60-BBE6AB318A09}"/>
    <cellStyle name="40% - Accent4 2 7 2 4" xfId="21047" xr:uid="{04238550-A1EF-4431-9358-49BD5F30118E}"/>
    <cellStyle name="40% - Accent4 2 7 3" xfId="6231" xr:uid="{00000000-0005-0000-0000-0000EE050000}"/>
    <cellStyle name="40% - Accent4 2 7 3 2" xfId="14673" xr:uid="{F80C7065-D547-49D3-8368-835F214055B8}"/>
    <cellStyle name="40% - Accent4 2 7 3 3" xfId="23119" xr:uid="{261CEFCE-13BC-49CF-8716-7055560EA2C8}"/>
    <cellStyle name="40% - Accent4 2 7 4" xfId="10455" xr:uid="{F8AAA2D2-FD93-4C97-8218-B043EF08ED22}"/>
    <cellStyle name="40% - Accent4 2 7 5" xfId="18900" xr:uid="{F492D234-DCF3-47AA-9E86-5CCCFF03480E}"/>
    <cellStyle name="40% - Accent4 2 8" xfId="2337" xr:uid="{00000000-0005-0000-0000-0000EF050000}"/>
    <cellStyle name="40% - Accent4 2 8 2" xfId="6644" xr:uid="{00000000-0005-0000-0000-0000F0050000}"/>
    <cellStyle name="40% - Accent4 2 8 2 2" xfId="15086" xr:uid="{E5736923-D516-48D2-804A-125D84BE2F5A}"/>
    <cellStyle name="40% - Accent4 2 8 2 3" xfId="23532" xr:uid="{23D00CE3-F76D-41D2-BB9C-03E364625511}"/>
    <cellStyle name="40% - Accent4 2 8 3" xfId="10868" xr:uid="{4C997EFC-444D-4087-878B-B6C37AD5EA3D}"/>
    <cellStyle name="40% - Accent4 2 8 4" xfId="19313" xr:uid="{38261736-38AD-475B-A233-69452064D724}"/>
    <cellStyle name="40% - Accent4 2 9" xfId="4578" xr:uid="{00000000-0005-0000-0000-0000F1050000}"/>
    <cellStyle name="40% - Accent4 2 9 2" xfId="13020" xr:uid="{EE2EB096-6F89-4B43-8945-CE5DEBBD1606}"/>
    <cellStyle name="40% - Accent4 2 9 3" xfId="21466" xr:uid="{DFF75C87-A7D4-41CC-BF46-788DFC443C62}"/>
    <cellStyle name="40% - Accent4 3" xfId="78" xr:uid="{00000000-0005-0000-0000-0000F2050000}"/>
    <cellStyle name="40% - Accent4 3 10" xfId="17248" xr:uid="{72F665C6-0794-4E4A-8955-8B437AF7F4DF}"/>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CADB4618-433A-4704-8F2E-16000430FCBE}"/>
    <cellStyle name="40% - Accent4 3 2 2 2 2 3" xfId="24030" xr:uid="{094C8046-3FB8-44D1-A9E4-1A76E7F14F86}"/>
    <cellStyle name="40% - Accent4 3 2 2 2 3" xfId="11366" xr:uid="{E133B630-8A28-4D18-9911-C4C8150B718C}"/>
    <cellStyle name="40% - Accent4 3 2 2 2 4" xfId="19813" xr:uid="{F9398356-7F85-4341-99DB-330B5C6E1F9C}"/>
    <cellStyle name="40% - Accent4 3 2 2 3" xfId="4997" xr:uid="{00000000-0005-0000-0000-0000F7050000}"/>
    <cellStyle name="40% - Accent4 3 2 2 3 2" xfId="13439" xr:uid="{14BE3601-2C55-4CE3-A826-81EC3AC8AC4C}"/>
    <cellStyle name="40% - Accent4 3 2 2 3 3" xfId="21885" xr:uid="{CCF13CA5-133F-422C-AB34-23A2837C1B6B}"/>
    <cellStyle name="40% - Accent4 3 2 2 4" xfId="9221" xr:uid="{89572F10-7E09-48F3-889F-2139DD07AD73}"/>
    <cellStyle name="40% - Accent4 3 2 2 5" xfId="17666" xr:uid="{A90288EE-536C-46AB-B9A0-8B93C1A0EBBC}"/>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54AC04E0-A63E-4BFA-8E07-CAA050F10FDC}"/>
    <cellStyle name="40% - Accent4 3 2 3 2 2 3" xfId="24443" xr:uid="{625E39D3-3A0A-47A4-A948-FFC1C9941A61}"/>
    <cellStyle name="40% - Accent4 3 2 3 2 3" xfId="11779" xr:uid="{45EF61B6-623E-4C7E-AD7E-2AFDC16D028F}"/>
    <cellStyle name="40% - Accent4 3 2 3 2 4" xfId="20226" xr:uid="{E8DB54C9-DCA1-488D-B807-20E2E817B7CE}"/>
    <cellStyle name="40% - Accent4 3 2 3 3" xfId="5410" xr:uid="{00000000-0005-0000-0000-0000FB050000}"/>
    <cellStyle name="40% - Accent4 3 2 3 3 2" xfId="13852" xr:uid="{0B9E7E1D-7833-47D7-B226-65A08DE475AD}"/>
    <cellStyle name="40% - Accent4 3 2 3 3 3" xfId="22298" xr:uid="{21324667-3DD1-40B5-B8C7-DB13C71764F3}"/>
    <cellStyle name="40% - Accent4 3 2 3 4" xfId="9634" xr:uid="{C8478F6A-364C-4B74-B444-E085C69B49F7}"/>
    <cellStyle name="40% - Accent4 3 2 3 5" xfId="18079" xr:uid="{454CAD1C-4413-4CCA-8C26-C25FDB13FF10}"/>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861529B9-F8E1-40D2-B710-0A6CC6BB3F47}"/>
    <cellStyle name="40% - Accent4 3 2 4 2 2 3" xfId="24856" xr:uid="{959E28D2-579E-4B62-9DC8-CC96477822BF}"/>
    <cellStyle name="40% - Accent4 3 2 4 2 3" xfId="12192" xr:uid="{220FFFAA-64DB-4F5C-AD3F-6F98893B2A98}"/>
    <cellStyle name="40% - Accent4 3 2 4 2 4" xfId="20639" xr:uid="{2EE2907A-AD21-4FAE-95E9-9891AD16368C}"/>
    <cellStyle name="40% - Accent4 3 2 4 3" xfId="5823" xr:uid="{00000000-0005-0000-0000-0000FF050000}"/>
    <cellStyle name="40% - Accent4 3 2 4 3 2" xfId="14265" xr:uid="{0577B5B4-A773-4A3B-9735-750DFDFF2337}"/>
    <cellStyle name="40% - Accent4 3 2 4 3 3" xfId="22711" xr:uid="{5A5E4C7C-1BAC-47E6-8347-181B446CCD6B}"/>
    <cellStyle name="40% - Accent4 3 2 4 4" xfId="10047" xr:uid="{25CA5954-76B0-49BA-9FDF-F7818A0408DD}"/>
    <cellStyle name="40% - Accent4 3 2 4 5" xfId="18492" xr:uid="{33F4BBB1-7127-47CF-9EDD-FD01A355245A}"/>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72FFDA24-412F-44EF-BFEE-E6C8943BE636}"/>
    <cellStyle name="40% - Accent4 3 2 5 2 2 3" xfId="25269" xr:uid="{C9DB4940-0761-4F35-876D-C4C4858D7969}"/>
    <cellStyle name="40% - Accent4 3 2 5 2 3" xfId="12605" xr:uid="{E5D68578-080A-48EC-849B-AB8508946D14}"/>
    <cellStyle name="40% - Accent4 3 2 5 2 4" xfId="21052" xr:uid="{247C9BF1-0110-4915-88B1-96B901911CAB}"/>
    <cellStyle name="40% - Accent4 3 2 5 3" xfId="6236" xr:uid="{00000000-0005-0000-0000-000003060000}"/>
    <cellStyle name="40% - Accent4 3 2 5 3 2" xfId="14678" xr:uid="{86E1F672-EAF2-410D-8F30-A83C605D883A}"/>
    <cellStyle name="40% - Accent4 3 2 5 3 3" xfId="23124" xr:uid="{F25262D9-5C47-40EE-84FF-80107BA0C1E7}"/>
    <cellStyle name="40% - Accent4 3 2 5 4" xfId="10460" xr:uid="{E4D749D7-3083-4A6C-8BA5-98ED3F2CD8BF}"/>
    <cellStyle name="40% - Accent4 3 2 5 5" xfId="18905" xr:uid="{7F2B94ED-D497-45FB-8849-887137999A46}"/>
    <cellStyle name="40% - Accent4 3 2 6" xfId="2342" xr:uid="{00000000-0005-0000-0000-000004060000}"/>
    <cellStyle name="40% - Accent4 3 2 6 2" xfId="6649" xr:uid="{00000000-0005-0000-0000-000005060000}"/>
    <cellStyle name="40% - Accent4 3 2 6 2 2" xfId="15091" xr:uid="{5C1A4ABA-E2A1-4523-8273-99A9538BC1DA}"/>
    <cellStyle name="40% - Accent4 3 2 6 2 3" xfId="23537" xr:uid="{3D9A11C3-9A27-4D10-913A-EE6CAEF25FF2}"/>
    <cellStyle name="40% - Accent4 3 2 6 3" xfId="10873" xr:uid="{13AB6D36-7427-4C1D-8A15-9130016A804E}"/>
    <cellStyle name="40% - Accent4 3 2 6 4" xfId="19318" xr:uid="{220090DD-188E-4235-ABE3-4659A9F59C3B}"/>
    <cellStyle name="40% - Accent4 3 2 7" xfId="4583" xr:uid="{00000000-0005-0000-0000-000006060000}"/>
    <cellStyle name="40% - Accent4 3 2 7 2" xfId="13025" xr:uid="{4E910D0C-6754-47D4-B69B-9BD95795E570}"/>
    <cellStyle name="40% - Accent4 3 2 7 3" xfId="21471" xr:uid="{0FFB022F-D396-4B7D-A97F-3A27D404293A}"/>
    <cellStyle name="40% - Accent4 3 2 8" xfId="8807" xr:uid="{0A23E98F-0036-4441-BFBA-55E401EB353F}"/>
    <cellStyle name="40% - Accent4 3 2 9" xfId="17249" xr:uid="{5D2E156B-FE1F-4976-82FF-777619574DE0}"/>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93FCF76B-5613-49EB-AA30-9B8345D42B34}"/>
    <cellStyle name="40% - Accent4 3 3 2 2 3" xfId="24029" xr:uid="{AC9B9D4A-01EC-4E4C-9DB4-11CE5205E960}"/>
    <cellStyle name="40% - Accent4 3 3 2 3" xfId="11365" xr:uid="{BED1DE8D-C4DC-4E87-93D3-A55ECDB95F42}"/>
    <cellStyle name="40% - Accent4 3 3 2 4" xfId="19812" xr:uid="{949E4A38-9C44-4C20-8666-05D8226CC5B9}"/>
    <cellStyle name="40% - Accent4 3 3 3" xfId="4996" xr:uid="{00000000-0005-0000-0000-00000A060000}"/>
    <cellStyle name="40% - Accent4 3 3 3 2" xfId="13438" xr:uid="{4CE6BF0F-5653-4A75-9515-B4FA39D529EC}"/>
    <cellStyle name="40% - Accent4 3 3 3 3" xfId="21884" xr:uid="{05A3669E-E018-4EC2-B9FE-1C174E8A1615}"/>
    <cellStyle name="40% - Accent4 3 3 4" xfId="9220" xr:uid="{71114B8B-C73B-47B9-AE1F-5A40036497C1}"/>
    <cellStyle name="40% - Accent4 3 3 5" xfId="17665" xr:uid="{3197C112-2DED-4A03-A09A-85DEE8F00860}"/>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0774E694-265C-4B52-9A93-A36471698B0B}"/>
    <cellStyle name="40% - Accent4 3 4 2 2 3" xfId="24442" xr:uid="{BF9CFE83-F142-4383-AE67-3977F5F17819}"/>
    <cellStyle name="40% - Accent4 3 4 2 3" xfId="11778" xr:uid="{9F38E780-C49F-4B55-A075-EDDE2B350452}"/>
    <cellStyle name="40% - Accent4 3 4 2 4" xfId="20225" xr:uid="{133B68F9-0214-4BEF-B999-E69EFBEDFF2D}"/>
    <cellStyle name="40% - Accent4 3 4 3" xfId="5409" xr:uid="{00000000-0005-0000-0000-00000E060000}"/>
    <cellStyle name="40% - Accent4 3 4 3 2" xfId="13851" xr:uid="{ADC18C1D-819C-49B2-AD40-D29FE6EB869A}"/>
    <cellStyle name="40% - Accent4 3 4 3 3" xfId="22297" xr:uid="{F380376F-3F83-4AC2-9CA6-AF2CCBB8DECF}"/>
    <cellStyle name="40% - Accent4 3 4 4" xfId="9633" xr:uid="{5BF61EF4-153D-4007-9CCA-AEB322DA7E52}"/>
    <cellStyle name="40% - Accent4 3 4 5" xfId="18078" xr:uid="{7CE0D576-1689-4A8F-9C60-72E3FDE680F3}"/>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EC76F86B-18CD-4B28-BD68-FAC2F8537D40}"/>
    <cellStyle name="40% - Accent4 3 5 2 2 3" xfId="24855" xr:uid="{CFD6C903-CBB1-4590-8601-982D30A1E486}"/>
    <cellStyle name="40% - Accent4 3 5 2 3" xfId="12191" xr:uid="{6B027633-C3D3-4DCA-8FB6-8C7129A6631A}"/>
    <cellStyle name="40% - Accent4 3 5 2 4" xfId="20638" xr:uid="{606ECC71-0B0A-40C3-A266-36081087EFB2}"/>
    <cellStyle name="40% - Accent4 3 5 3" xfId="5822" xr:uid="{00000000-0005-0000-0000-000012060000}"/>
    <cellStyle name="40% - Accent4 3 5 3 2" xfId="14264" xr:uid="{52656F74-6A77-4898-9AD8-798BCF803EB5}"/>
    <cellStyle name="40% - Accent4 3 5 3 3" xfId="22710" xr:uid="{27B71C1B-2A1B-4353-A17D-8094FAE8EA2F}"/>
    <cellStyle name="40% - Accent4 3 5 4" xfId="10046" xr:uid="{9C95B124-4E3F-47AC-9C9D-1E224DA18746}"/>
    <cellStyle name="40% - Accent4 3 5 5" xfId="18491" xr:uid="{F35ACBF0-30E1-4CB6-B4D5-DA5EDF95A735}"/>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1CBA1499-A0E1-4B89-A4C9-921996156BD9}"/>
    <cellStyle name="40% - Accent4 3 6 2 2 3" xfId="25268" xr:uid="{AF679DDA-BA97-437C-82E7-36D2DDA8C9CA}"/>
    <cellStyle name="40% - Accent4 3 6 2 3" xfId="12604" xr:uid="{4EAC7938-6088-4E9F-85FD-E2A96F1C7B60}"/>
    <cellStyle name="40% - Accent4 3 6 2 4" xfId="21051" xr:uid="{9638CF02-1F39-4A7D-AFB1-125D03150F69}"/>
    <cellStyle name="40% - Accent4 3 6 3" xfId="6235" xr:uid="{00000000-0005-0000-0000-000016060000}"/>
    <cellStyle name="40% - Accent4 3 6 3 2" xfId="14677" xr:uid="{12AFE18E-C218-4B60-A1A8-BF7F479CA08F}"/>
    <cellStyle name="40% - Accent4 3 6 3 3" xfId="23123" xr:uid="{188EC79A-2CE5-4994-A698-4613FE55CDDE}"/>
    <cellStyle name="40% - Accent4 3 6 4" xfId="10459" xr:uid="{40CB7696-8320-48F8-9694-5E2D648B6803}"/>
    <cellStyle name="40% - Accent4 3 6 5" xfId="18904" xr:uid="{A7579DE6-1A3F-4C20-BA3F-8FA66AA5AC93}"/>
    <cellStyle name="40% - Accent4 3 7" xfId="2341" xr:uid="{00000000-0005-0000-0000-000017060000}"/>
    <cellStyle name="40% - Accent4 3 7 2" xfId="6648" xr:uid="{00000000-0005-0000-0000-000018060000}"/>
    <cellStyle name="40% - Accent4 3 7 2 2" xfId="15090" xr:uid="{F56731E0-3CEB-40E6-8E21-A8EC2918C88C}"/>
    <cellStyle name="40% - Accent4 3 7 2 3" xfId="23536" xr:uid="{96B2C02F-6EB9-434C-B174-ED836126161E}"/>
    <cellStyle name="40% - Accent4 3 7 3" xfId="10872" xr:uid="{0EF04BC2-8886-4FBA-A2E4-1C46B2D95292}"/>
    <cellStyle name="40% - Accent4 3 7 4" xfId="19317" xr:uid="{6B60D0A4-C53B-493E-A747-6CDB788664C3}"/>
    <cellStyle name="40% - Accent4 3 8" xfId="4582" xr:uid="{00000000-0005-0000-0000-000019060000}"/>
    <cellStyle name="40% - Accent4 3 8 2" xfId="13024" xr:uid="{E78E9F32-DDD7-4784-A753-95A2F7F127DD}"/>
    <cellStyle name="40% - Accent4 3 8 3" xfId="21470" xr:uid="{FBC396B0-DAAB-4E89-B70D-6C54FFFD5F11}"/>
    <cellStyle name="40% - Accent4 3 9" xfId="8806" xr:uid="{27314A00-3F99-4C03-A8C6-EC271943E803}"/>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E49B4CFF-66D8-47FB-9DF6-9D1DA9AFF9C6}"/>
    <cellStyle name="40% - Accent4 4 2 2 2 3" xfId="24031" xr:uid="{D6AE8918-5316-407A-99DF-160599C1C956}"/>
    <cellStyle name="40% - Accent4 4 2 2 3" xfId="11367" xr:uid="{E49C5D40-76BD-4562-B51A-F9A1EC4D9D25}"/>
    <cellStyle name="40% - Accent4 4 2 2 4" xfId="19814" xr:uid="{D5E40953-228C-46F3-ABA0-8E2CACAD325C}"/>
    <cellStyle name="40% - Accent4 4 2 3" xfId="4998" xr:uid="{00000000-0005-0000-0000-00001E060000}"/>
    <cellStyle name="40% - Accent4 4 2 3 2" xfId="13440" xr:uid="{D370915C-7143-453D-85C5-5E7C719B372D}"/>
    <cellStyle name="40% - Accent4 4 2 3 3" xfId="21886" xr:uid="{4CD6B796-13E0-4A6F-8A65-832826CEE28E}"/>
    <cellStyle name="40% - Accent4 4 2 4" xfId="9222" xr:uid="{2AE37CD1-CB1E-4FC1-9B92-BAD12264545A}"/>
    <cellStyle name="40% - Accent4 4 2 5" xfId="17667" xr:uid="{20F2B7D0-F635-4121-8677-0ED98620241B}"/>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4F13B977-BA6F-44D2-A7AB-C79843A28177}"/>
    <cellStyle name="40% - Accent4 4 3 2 2 3" xfId="24444" xr:uid="{6A4F5048-6F82-4E14-97B3-098247E40060}"/>
    <cellStyle name="40% - Accent4 4 3 2 3" xfId="11780" xr:uid="{DDF23CC5-92F2-4C10-9DA1-090D9CC31FC9}"/>
    <cellStyle name="40% - Accent4 4 3 2 4" xfId="20227" xr:uid="{C3125DD7-BB27-4D5E-B71E-745A6E48AFB9}"/>
    <cellStyle name="40% - Accent4 4 3 3" xfId="5411" xr:uid="{00000000-0005-0000-0000-000022060000}"/>
    <cellStyle name="40% - Accent4 4 3 3 2" xfId="13853" xr:uid="{A1AF562A-1EDC-4B57-BDE4-E29FAFE5539E}"/>
    <cellStyle name="40% - Accent4 4 3 3 3" xfId="22299" xr:uid="{966581BA-2184-4190-9F8E-5863C22EBA4D}"/>
    <cellStyle name="40% - Accent4 4 3 4" xfId="9635" xr:uid="{7FDC6909-3D18-4A69-AFD8-5389D533D697}"/>
    <cellStyle name="40% - Accent4 4 3 5" xfId="18080" xr:uid="{7EDE78D4-14E4-4C83-BB8B-724E7B87360A}"/>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273DAA40-7A13-466D-A832-CD9A43E14B60}"/>
    <cellStyle name="40% - Accent4 4 4 2 2 3" xfId="24857" xr:uid="{05D3485E-A589-402D-B5A1-A2E3546ECA7D}"/>
    <cellStyle name="40% - Accent4 4 4 2 3" xfId="12193" xr:uid="{E91FFF19-DFB4-42F9-9BC2-D93797F21833}"/>
    <cellStyle name="40% - Accent4 4 4 2 4" xfId="20640" xr:uid="{18A95853-B530-4EFE-8158-7F919BED3BC8}"/>
    <cellStyle name="40% - Accent4 4 4 3" xfId="5824" xr:uid="{00000000-0005-0000-0000-000026060000}"/>
    <cellStyle name="40% - Accent4 4 4 3 2" xfId="14266" xr:uid="{88775B87-5359-4B2D-84CE-10A1F94FF3D3}"/>
    <cellStyle name="40% - Accent4 4 4 3 3" xfId="22712" xr:uid="{2F6CAEF6-55C5-48F2-8B5E-31B64B147485}"/>
    <cellStyle name="40% - Accent4 4 4 4" xfId="10048" xr:uid="{DA24A451-8CB6-46A9-AEEF-B5CA4A8EC193}"/>
    <cellStyle name="40% - Accent4 4 4 5" xfId="18493" xr:uid="{12CEE9C4-99DB-41FF-B2B8-0C617E563BEB}"/>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82C47DC7-B495-487E-8886-063194019553}"/>
    <cellStyle name="40% - Accent4 4 5 2 2 3" xfId="25270" xr:uid="{759A075D-AB03-4CFD-8895-75FC91A81F80}"/>
    <cellStyle name="40% - Accent4 4 5 2 3" xfId="12606" xr:uid="{3D14F5B5-AD02-448C-A5D8-96AEB0EE9B96}"/>
    <cellStyle name="40% - Accent4 4 5 2 4" xfId="21053" xr:uid="{396C0868-C489-4415-A1EE-7055CF62671E}"/>
    <cellStyle name="40% - Accent4 4 5 3" xfId="6237" xr:uid="{00000000-0005-0000-0000-00002A060000}"/>
    <cellStyle name="40% - Accent4 4 5 3 2" xfId="14679" xr:uid="{E4E3E9ED-D433-4200-9EAC-FA629458CD49}"/>
    <cellStyle name="40% - Accent4 4 5 3 3" xfId="23125" xr:uid="{53D763DA-2AB6-4319-98CA-FEC3B171E106}"/>
    <cellStyle name="40% - Accent4 4 5 4" xfId="10461" xr:uid="{461C1056-B468-4F00-88EE-1F1393791D5E}"/>
    <cellStyle name="40% - Accent4 4 5 5" xfId="18906" xr:uid="{B09E1028-AA79-4D21-A7F3-6B173F6DE3A9}"/>
    <cellStyle name="40% - Accent4 4 6" xfId="2343" xr:uid="{00000000-0005-0000-0000-00002B060000}"/>
    <cellStyle name="40% - Accent4 4 6 2" xfId="6650" xr:uid="{00000000-0005-0000-0000-00002C060000}"/>
    <cellStyle name="40% - Accent4 4 6 2 2" xfId="15092" xr:uid="{9BBDBC56-63CC-454B-BCFE-A57C03BBE518}"/>
    <cellStyle name="40% - Accent4 4 6 2 3" xfId="23538" xr:uid="{7F8313F8-F6CC-42D8-AD6E-E2FC2F6D5B49}"/>
    <cellStyle name="40% - Accent4 4 6 3" xfId="10874" xr:uid="{D8EF5F62-F63E-4213-9A89-41591958CAC0}"/>
    <cellStyle name="40% - Accent4 4 6 4" xfId="19319" xr:uid="{E8E64277-BBA0-4DB5-BF3F-FB7B87994AB7}"/>
    <cellStyle name="40% - Accent4 4 7" xfId="4584" xr:uid="{00000000-0005-0000-0000-00002D060000}"/>
    <cellStyle name="40% - Accent4 4 7 2" xfId="13026" xr:uid="{F2008CA7-FF32-4612-8338-C671B0127DE6}"/>
    <cellStyle name="40% - Accent4 4 7 3" xfId="21472" xr:uid="{92910D84-486D-4D5C-A798-EFB9E0AEDF21}"/>
    <cellStyle name="40% - Accent4 4 8" xfId="8808" xr:uid="{F2696F9E-5EDD-4378-BA40-497850DFBDFF}"/>
    <cellStyle name="40% - Accent4 4 9" xfId="17250" xr:uid="{8397FF1B-903D-4129-BB1E-EC0B95B9601E}"/>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64E17A74-455C-43BB-991F-D469CFFE9C1C}"/>
    <cellStyle name="40% - Accent4 5 2 2 3" xfId="24024" xr:uid="{9F435E15-AD63-44EF-A5E5-C3C6AF2CBEB8}"/>
    <cellStyle name="40% - Accent4 5 2 3" xfId="11360" xr:uid="{0B672D44-3951-4411-96C8-E2B3B6998509}"/>
    <cellStyle name="40% - Accent4 5 2 4" xfId="19807" xr:uid="{5D863FEA-E0F1-416D-AC20-BBE0F64FF8B3}"/>
    <cellStyle name="40% - Accent4 5 3" xfId="4991" xr:uid="{00000000-0005-0000-0000-000031060000}"/>
    <cellStyle name="40% - Accent4 5 3 2" xfId="13433" xr:uid="{7233C2B7-7549-460C-BECD-29B94093E5C3}"/>
    <cellStyle name="40% - Accent4 5 3 3" xfId="21879" xr:uid="{EA9C1659-EC3C-4D81-9450-4760B6B00653}"/>
    <cellStyle name="40% - Accent4 5 4" xfId="9215" xr:uid="{454C1C67-2201-456C-8941-79684505FFE1}"/>
    <cellStyle name="40% - Accent4 5 5" xfId="17660" xr:uid="{323A64DD-3D33-4AAE-9BCE-A5A139030F8D}"/>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16D39DAF-3EDB-4D27-9FB0-8FFCF35576A7}"/>
    <cellStyle name="40% - Accent4 6 2 2 3" xfId="24437" xr:uid="{CE39CCE1-47DD-4D16-9BDD-916A2BA1683B}"/>
    <cellStyle name="40% - Accent4 6 2 3" xfId="11773" xr:uid="{B695E1BA-0B2B-43FC-8E2E-553929639A79}"/>
    <cellStyle name="40% - Accent4 6 2 4" xfId="20220" xr:uid="{170BF484-C710-4E85-8C5F-A4F975FB68E4}"/>
    <cellStyle name="40% - Accent4 6 3" xfId="5404" xr:uid="{00000000-0005-0000-0000-000035060000}"/>
    <cellStyle name="40% - Accent4 6 3 2" xfId="13846" xr:uid="{26B003AB-E2D5-4387-87DE-1CE9D81A3F70}"/>
    <cellStyle name="40% - Accent4 6 3 3" xfId="22292" xr:uid="{18976C29-6DB4-4F2C-8DB4-5A949992D8D1}"/>
    <cellStyle name="40% - Accent4 6 4" xfId="9628" xr:uid="{7BF28325-8D59-470C-A414-B970397ABE39}"/>
    <cellStyle name="40% - Accent4 6 5" xfId="18073" xr:uid="{29021CD2-D56A-4614-87FC-6EB84C6FE6D1}"/>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1925FA7A-C69C-4205-A7DA-361B4671193A}"/>
    <cellStyle name="40% - Accent4 7 2 2 3" xfId="24850" xr:uid="{9B9CF479-3F9B-43B0-8428-738F96D5C9B7}"/>
    <cellStyle name="40% - Accent4 7 2 3" xfId="12186" xr:uid="{BB91BBD5-0869-480C-ACA7-FBFEAC0EDCCD}"/>
    <cellStyle name="40% - Accent4 7 2 4" xfId="20633" xr:uid="{672E64A0-1036-41ED-9E21-EA6D5DF8B0CC}"/>
    <cellStyle name="40% - Accent4 7 3" xfId="5817" xr:uid="{00000000-0005-0000-0000-000039060000}"/>
    <cellStyle name="40% - Accent4 7 3 2" xfId="14259" xr:uid="{531E628E-21C5-4C82-AA63-2102D6A62639}"/>
    <cellStyle name="40% - Accent4 7 3 3" xfId="22705" xr:uid="{AB43C0E9-92B3-4BFA-83EE-CF6F9FD86519}"/>
    <cellStyle name="40% - Accent4 7 4" xfId="10041" xr:uid="{80936EB1-BCAD-4776-8AB5-7D5D86ADDCA2}"/>
    <cellStyle name="40% - Accent4 7 5" xfId="18486" xr:uid="{F305671C-302A-4F24-A9E6-8E446957079C}"/>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56EB24B3-047C-4E9D-BAAB-2376BD9DCED5}"/>
    <cellStyle name="40% - Accent4 8 2 2 3" xfId="25263" xr:uid="{1657DCD0-24A9-44B2-AD52-642E0D1481EE}"/>
    <cellStyle name="40% - Accent4 8 2 3" xfId="12599" xr:uid="{CF5D589A-1FE5-4862-BAD3-9A5B424E1357}"/>
    <cellStyle name="40% - Accent4 8 2 4" xfId="21046" xr:uid="{44056CA6-963B-4FCB-9CC1-9594ED3638D7}"/>
    <cellStyle name="40% - Accent4 8 3" xfId="6230" xr:uid="{00000000-0005-0000-0000-00003D060000}"/>
    <cellStyle name="40% - Accent4 8 3 2" xfId="14672" xr:uid="{D3447B89-D1EB-429B-8C45-B12B9AB7C00C}"/>
    <cellStyle name="40% - Accent4 8 3 3" xfId="23118" xr:uid="{377C40F8-EDA3-4C60-8ECD-F703350D7341}"/>
    <cellStyle name="40% - Accent4 8 4" xfId="10454" xr:uid="{D6FF4FAB-B2B1-4074-BC23-B4D3C3827DC8}"/>
    <cellStyle name="40% - Accent4 8 5" xfId="18899" xr:uid="{1C6D714E-1951-4AD2-9E50-A2EC1810EEB1}"/>
    <cellStyle name="40% - Accent4 9" xfId="2336" xr:uid="{00000000-0005-0000-0000-00003E060000}"/>
    <cellStyle name="40% - Accent4 9 2" xfId="6643" xr:uid="{00000000-0005-0000-0000-00003F060000}"/>
    <cellStyle name="40% - Accent4 9 2 2" xfId="15085" xr:uid="{37DB4771-9227-4327-A152-E5F4C2E8977C}"/>
    <cellStyle name="40% - Accent4 9 2 3" xfId="23531" xr:uid="{B4FC15EC-5661-459D-A318-345903802389}"/>
    <cellStyle name="40% - Accent4 9 3" xfId="10867" xr:uid="{6CCACC08-6040-4F7A-9788-BE240A700FCC}"/>
    <cellStyle name="40% - Accent4 9 4" xfId="19312" xr:uid="{BF182380-F92E-4B2E-A0A3-3E220AA41AC4}"/>
    <cellStyle name="40% - Accent5" xfId="81" builtinId="47" customBuiltin="1"/>
    <cellStyle name="40% - Accent5 10" xfId="4585" xr:uid="{00000000-0005-0000-0000-000041060000}"/>
    <cellStyle name="40% - Accent5 10 2" xfId="13027" xr:uid="{8F1E2CBF-85BA-4021-A07D-17994B4AF0B4}"/>
    <cellStyle name="40% - Accent5 10 3" xfId="21473" xr:uid="{6ABBD7FB-5326-48EA-BF42-3E8A3924BD14}"/>
    <cellStyle name="40% - Accent5 11" xfId="8809" xr:uid="{E98FD8BF-224E-4DA4-8E08-FD76084DABB8}"/>
    <cellStyle name="40% - Accent5 12" xfId="17251" xr:uid="{462D59AA-0053-40B3-8C2D-74D75CD3D423}"/>
    <cellStyle name="40% - Accent5 2" xfId="82" xr:uid="{00000000-0005-0000-0000-000042060000}"/>
    <cellStyle name="40% - Accent5 2 10" xfId="8810" xr:uid="{C9752215-911E-4C27-AE9C-28306429C17E}"/>
    <cellStyle name="40% - Accent5 2 11" xfId="17252" xr:uid="{E24971BB-2FDD-4758-A604-338083899539}"/>
    <cellStyle name="40% - Accent5 2 2" xfId="83" xr:uid="{00000000-0005-0000-0000-000043060000}"/>
    <cellStyle name="40% - Accent5 2 2 10" xfId="17253" xr:uid="{5F1A147F-A4D9-4DC3-9CC3-1E3D5B91D766}"/>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1152275A-DC12-47B8-92F7-070C0FDECD44}"/>
    <cellStyle name="40% - Accent5 2 2 2 2 2 2 3" xfId="24035" xr:uid="{6024A860-2F26-47DA-9C93-8BE63E0FA78A}"/>
    <cellStyle name="40% - Accent5 2 2 2 2 2 3" xfId="11371" xr:uid="{BB567762-46B5-47F5-BFF1-33228FF7BB77}"/>
    <cellStyle name="40% - Accent5 2 2 2 2 2 4" xfId="19818" xr:uid="{94F76D2E-78AB-459F-BA4F-13F9FD95244F}"/>
    <cellStyle name="40% - Accent5 2 2 2 2 3" xfId="5002" xr:uid="{00000000-0005-0000-0000-000048060000}"/>
    <cellStyle name="40% - Accent5 2 2 2 2 3 2" xfId="13444" xr:uid="{922C29DA-4FD3-41FB-A69D-495A67B00A56}"/>
    <cellStyle name="40% - Accent5 2 2 2 2 3 3" xfId="21890" xr:uid="{E15A96EB-DFC4-4571-99B6-B283AFD3181D}"/>
    <cellStyle name="40% - Accent5 2 2 2 2 4" xfId="9226" xr:uid="{5A1B685A-911B-4E45-BE51-16855782FE6E}"/>
    <cellStyle name="40% - Accent5 2 2 2 2 5" xfId="17671" xr:uid="{92DFB622-CF3A-4A0B-9C6F-EAACF03F7B55}"/>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08DF1F0D-434D-4816-B7FD-821BB50ACCE2}"/>
    <cellStyle name="40% - Accent5 2 2 2 3 2 2 3" xfId="24448" xr:uid="{25D5C754-C5CF-46BA-B6EB-B0EF6FF2023F}"/>
    <cellStyle name="40% - Accent5 2 2 2 3 2 3" xfId="11784" xr:uid="{D3041DAB-2E6C-4DB9-980A-C43DA3EB5A3B}"/>
    <cellStyle name="40% - Accent5 2 2 2 3 2 4" xfId="20231" xr:uid="{2DEEA067-E238-4FF7-8CA5-921090B6ED1C}"/>
    <cellStyle name="40% - Accent5 2 2 2 3 3" xfId="5415" xr:uid="{00000000-0005-0000-0000-00004C060000}"/>
    <cellStyle name="40% - Accent5 2 2 2 3 3 2" xfId="13857" xr:uid="{1B31B4E0-106E-4B0A-9D6C-05497C7AAE62}"/>
    <cellStyle name="40% - Accent5 2 2 2 3 3 3" xfId="22303" xr:uid="{577DA6A8-FB00-4153-88E1-87AF0C1D9859}"/>
    <cellStyle name="40% - Accent5 2 2 2 3 4" xfId="9639" xr:uid="{81DAD15C-0282-4D6A-A758-41FB32D5A6E0}"/>
    <cellStyle name="40% - Accent5 2 2 2 3 5" xfId="18084" xr:uid="{8718588B-ADEC-421E-A394-3D12C51E11F2}"/>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85BF46EE-86DA-4F7D-959E-FACAC8B810DE}"/>
    <cellStyle name="40% - Accent5 2 2 2 4 2 2 3" xfId="24861" xr:uid="{77EA6A2A-6861-4442-86E2-310724399D21}"/>
    <cellStyle name="40% - Accent5 2 2 2 4 2 3" xfId="12197" xr:uid="{B2F3822C-6BF4-48DC-8698-BE9D7D086E9E}"/>
    <cellStyle name="40% - Accent5 2 2 2 4 2 4" xfId="20644" xr:uid="{D4B38B5A-1355-4EB2-A08B-0EBD6BE588C4}"/>
    <cellStyle name="40% - Accent5 2 2 2 4 3" xfId="5828" xr:uid="{00000000-0005-0000-0000-000050060000}"/>
    <cellStyle name="40% - Accent5 2 2 2 4 3 2" xfId="14270" xr:uid="{FC027F7F-F4A7-4F8D-91AA-B8883DE88409}"/>
    <cellStyle name="40% - Accent5 2 2 2 4 3 3" xfId="22716" xr:uid="{D46B2368-4BD5-4CA7-A916-939A0EB905CC}"/>
    <cellStyle name="40% - Accent5 2 2 2 4 4" xfId="10052" xr:uid="{A1CBFB44-4B0F-4A05-98AC-C242A5E91790}"/>
    <cellStyle name="40% - Accent5 2 2 2 4 5" xfId="18497" xr:uid="{D578C889-F7EA-4376-9895-0524A1327713}"/>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E2B70F0A-B1B4-478D-B12E-81180FCC9B02}"/>
    <cellStyle name="40% - Accent5 2 2 2 5 2 2 3" xfId="25274" xr:uid="{BEFBAE5C-86FB-4AC3-8517-BE2EC1FE50D8}"/>
    <cellStyle name="40% - Accent5 2 2 2 5 2 3" xfId="12610" xr:uid="{20AFF2BF-A7B2-4930-B222-85A501900135}"/>
    <cellStyle name="40% - Accent5 2 2 2 5 2 4" xfId="21057" xr:uid="{F7648C52-22FA-467B-ABAC-97AAA32F708E}"/>
    <cellStyle name="40% - Accent5 2 2 2 5 3" xfId="6241" xr:uid="{00000000-0005-0000-0000-000054060000}"/>
    <cellStyle name="40% - Accent5 2 2 2 5 3 2" xfId="14683" xr:uid="{B9C3BEC2-7329-4DE4-AADC-0985EE546F8B}"/>
    <cellStyle name="40% - Accent5 2 2 2 5 3 3" xfId="23129" xr:uid="{5A931F85-AF02-4FB8-B474-5836D89C5216}"/>
    <cellStyle name="40% - Accent5 2 2 2 5 4" xfId="10465" xr:uid="{007E6845-1F9E-42BB-9B5A-A2018DC6364B}"/>
    <cellStyle name="40% - Accent5 2 2 2 5 5" xfId="18910" xr:uid="{31770833-7A34-42ED-923F-A196179D596D}"/>
    <cellStyle name="40% - Accent5 2 2 2 6" xfId="2347" xr:uid="{00000000-0005-0000-0000-000055060000}"/>
    <cellStyle name="40% - Accent5 2 2 2 6 2" xfId="6654" xr:uid="{00000000-0005-0000-0000-000056060000}"/>
    <cellStyle name="40% - Accent5 2 2 2 6 2 2" xfId="15096" xr:uid="{42CFBF6C-9AE0-4213-8186-E00177A22B21}"/>
    <cellStyle name="40% - Accent5 2 2 2 6 2 3" xfId="23542" xr:uid="{7C3CC938-D90F-4997-893B-26FE8CE76891}"/>
    <cellStyle name="40% - Accent5 2 2 2 6 3" xfId="10878" xr:uid="{F87593EB-B58B-4CBD-8963-8AD0BF2E56CE}"/>
    <cellStyle name="40% - Accent5 2 2 2 6 4" xfId="19323" xr:uid="{7533ABC0-90D8-40C2-A908-08CF6354C970}"/>
    <cellStyle name="40% - Accent5 2 2 2 7" xfId="4588" xr:uid="{00000000-0005-0000-0000-000057060000}"/>
    <cellStyle name="40% - Accent5 2 2 2 7 2" xfId="13030" xr:uid="{285C6460-4543-4FFA-BA37-943BA1131099}"/>
    <cellStyle name="40% - Accent5 2 2 2 7 3" xfId="21476" xr:uid="{8A09C129-4E43-4176-A2CA-87B688243D35}"/>
    <cellStyle name="40% - Accent5 2 2 2 8" xfId="8812" xr:uid="{17E505BC-EBAA-4B27-9786-AEE01126FE84}"/>
    <cellStyle name="40% - Accent5 2 2 2 9" xfId="17254" xr:uid="{25A84712-D3B6-464C-A90C-06B5D32700DC}"/>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29DB2A2C-ABC0-4E41-8540-D64A5A1C5300}"/>
    <cellStyle name="40% - Accent5 2 2 3 2 2 3" xfId="24034" xr:uid="{7D68882A-7A0D-40EE-9051-A86544B158B5}"/>
    <cellStyle name="40% - Accent5 2 2 3 2 3" xfId="11370" xr:uid="{C6E5AC56-5597-4558-9728-4029FDC5740B}"/>
    <cellStyle name="40% - Accent5 2 2 3 2 4" xfId="19817" xr:uid="{67CFDE3C-8410-4522-8D91-14006A330C34}"/>
    <cellStyle name="40% - Accent5 2 2 3 3" xfId="5001" xr:uid="{00000000-0005-0000-0000-00005B060000}"/>
    <cellStyle name="40% - Accent5 2 2 3 3 2" xfId="13443" xr:uid="{D013E219-2082-4A76-817A-C5E0A7C7D88C}"/>
    <cellStyle name="40% - Accent5 2 2 3 3 3" xfId="21889" xr:uid="{4B0F6DBE-B5FD-44E1-9BB6-830154DD5797}"/>
    <cellStyle name="40% - Accent5 2 2 3 4" xfId="9225" xr:uid="{53951A6B-5835-4A4C-9DA5-A92E2F572685}"/>
    <cellStyle name="40% - Accent5 2 2 3 5" xfId="17670" xr:uid="{2C854033-8CB5-4826-B695-C8821A38FCD3}"/>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E460FACB-C54C-4F22-AF61-032A4FED5041}"/>
    <cellStyle name="40% - Accent5 2 2 4 2 2 3" xfId="24447" xr:uid="{CED7E8C6-296D-49D1-AC5B-1E2C90CE9BA4}"/>
    <cellStyle name="40% - Accent5 2 2 4 2 3" xfId="11783" xr:uid="{65C42551-6323-4805-872D-15F0C57CAE73}"/>
    <cellStyle name="40% - Accent5 2 2 4 2 4" xfId="20230" xr:uid="{C388D7B5-6CBD-4684-AC4C-B1D53CDCF8E3}"/>
    <cellStyle name="40% - Accent5 2 2 4 3" xfId="5414" xr:uid="{00000000-0005-0000-0000-00005F060000}"/>
    <cellStyle name="40% - Accent5 2 2 4 3 2" xfId="13856" xr:uid="{957FE779-796F-4918-8F03-F777739B9D95}"/>
    <cellStyle name="40% - Accent5 2 2 4 3 3" xfId="22302" xr:uid="{28A74774-FB55-49B1-8465-44FA0617C38B}"/>
    <cellStyle name="40% - Accent5 2 2 4 4" xfId="9638" xr:uid="{05B6207D-D734-4015-B17E-7757DB243261}"/>
    <cellStyle name="40% - Accent5 2 2 4 5" xfId="18083" xr:uid="{7C7BDC7A-EA88-4CB8-8997-563CDA902A8D}"/>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CED9B278-A5F3-474C-850D-E9CE53FD2E3E}"/>
    <cellStyle name="40% - Accent5 2 2 5 2 2 3" xfId="24860" xr:uid="{6A816701-1157-4093-80F4-6813DD6F3548}"/>
    <cellStyle name="40% - Accent5 2 2 5 2 3" xfId="12196" xr:uid="{FF5D5D7D-6C99-4D0D-9DAE-105E333AB953}"/>
    <cellStyle name="40% - Accent5 2 2 5 2 4" xfId="20643" xr:uid="{9073A30C-7AB0-48A9-A77E-089BF19AF503}"/>
    <cellStyle name="40% - Accent5 2 2 5 3" xfId="5827" xr:uid="{00000000-0005-0000-0000-000063060000}"/>
    <cellStyle name="40% - Accent5 2 2 5 3 2" xfId="14269" xr:uid="{44B4996E-F819-44E3-A5C6-9B460F1A5754}"/>
    <cellStyle name="40% - Accent5 2 2 5 3 3" xfId="22715" xr:uid="{FEE692A5-1C65-47DB-B6FF-7BC143E4FF19}"/>
    <cellStyle name="40% - Accent5 2 2 5 4" xfId="10051" xr:uid="{2DAF3CC7-158E-480A-9B33-4EF169661342}"/>
    <cellStyle name="40% - Accent5 2 2 5 5" xfId="18496" xr:uid="{644DBCB9-3124-438B-841F-630A3AE4E8A4}"/>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C94F3905-8C8A-45B9-8F89-678E4980927E}"/>
    <cellStyle name="40% - Accent5 2 2 6 2 2 3" xfId="25273" xr:uid="{FFFD7B07-E4BF-435E-BB1B-30F5247B6E2E}"/>
    <cellStyle name="40% - Accent5 2 2 6 2 3" xfId="12609" xr:uid="{5E585435-8111-463A-B6A3-CC449F8CE4DE}"/>
    <cellStyle name="40% - Accent5 2 2 6 2 4" xfId="21056" xr:uid="{853E6796-AB32-4020-BCCE-7604500B06A2}"/>
    <cellStyle name="40% - Accent5 2 2 6 3" xfId="6240" xr:uid="{00000000-0005-0000-0000-000067060000}"/>
    <cellStyle name="40% - Accent5 2 2 6 3 2" xfId="14682" xr:uid="{E398D2BB-8952-439D-8061-AFEF5D21E2E6}"/>
    <cellStyle name="40% - Accent5 2 2 6 3 3" xfId="23128" xr:uid="{EFF3507C-7810-483F-AFFF-AE4F703BEEF0}"/>
    <cellStyle name="40% - Accent5 2 2 6 4" xfId="10464" xr:uid="{CE516A62-3AAC-45C3-A628-1AF67D81F2DD}"/>
    <cellStyle name="40% - Accent5 2 2 6 5" xfId="18909" xr:uid="{15A9DA3E-8F3E-4CEB-A25C-7BD8C45471B3}"/>
    <cellStyle name="40% - Accent5 2 2 7" xfId="2346" xr:uid="{00000000-0005-0000-0000-000068060000}"/>
    <cellStyle name="40% - Accent5 2 2 7 2" xfId="6653" xr:uid="{00000000-0005-0000-0000-000069060000}"/>
    <cellStyle name="40% - Accent5 2 2 7 2 2" xfId="15095" xr:uid="{5EE52F4D-FEDF-4888-BA9E-601E4BE19622}"/>
    <cellStyle name="40% - Accent5 2 2 7 2 3" xfId="23541" xr:uid="{C572368F-FE22-463B-88BC-69742562CCBB}"/>
    <cellStyle name="40% - Accent5 2 2 7 3" xfId="10877" xr:uid="{B8A3B1CA-5E27-4049-A10C-5D133093642A}"/>
    <cellStyle name="40% - Accent5 2 2 7 4" xfId="19322" xr:uid="{9D317001-F83C-451B-8800-5F2E195A6AEB}"/>
    <cellStyle name="40% - Accent5 2 2 8" xfId="4587" xr:uid="{00000000-0005-0000-0000-00006A060000}"/>
    <cellStyle name="40% - Accent5 2 2 8 2" xfId="13029" xr:uid="{A8AC9D9F-4D05-471E-80AF-767BEB201E6A}"/>
    <cellStyle name="40% - Accent5 2 2 8 3" xfId="21475" xr:uid="{558A3010-A5D0-4E36-947E-3AA43F2BAB24}"/>
    <cellStyle name="40% - Accent5 2 2 9" xfId="8811" xr:uid="{FFCE7289-105D-470D-9DD7-6050FFEA1B4D}"/>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9596F832-F8AE-45A7-B978-317EC13E59F9}"/>
    <cellStyle name="40% - Accent5 2 3 2 2 2 3" xfId="24036" xr:uid="{11981EEB-5079-44C1-AF90-56CD2D8FFCE4}"/>
    <cellStyle name="40% - Accent5 2 3 2 2 3" xfId="11372" xr:uid="{F547F92F-5519-44FE-9709-9D3E5DBF48B8}"/>
    <cellStyle name="40% - Accent5 2 3 2 2 4" xfId="19819" xr:uid="{EB23AC97-319B-40A4-B14C-110D3963B52D}"/>
    <cellStyle name="40% - Accent5 2 3 2 3" xfId="5003" xr:uid="{00000000-0005-0000-0000-00006F060000}"/>
    <cellStyle name="40% - Accent5 2 3 2 3 2" xfId="13445" xr:uid="{7767CF7E-E7E0-4EFF-8DA0-BB387B65797E}"/>
    <cellStyle name="40% - Accent5 2 3 2 3 3" xfId="21891" xr:uid="{DB65377B-6F84-484C-B888-635EB0E47EC6}"/>
    <cellStyle name="40% - Accent5 2 3 2 4" xfId="9227" xr:uid="{A7D13EBE-6A59-4540-ABB1-D20434962B10}"/>
    <cellStyle name="40% - Accent5 2 3 2 5" xfId="17672" xr:uid="{B6530FF4-023C-437D-9330-9ECB7E945271}"/>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C80B5C9D-06D2-4AC2-BEBD-2F1F1458C1F9}"/>
    <cellStyle name="40% - Accent5 2 3 3 2 2 3" xfId="24449" xr:uid="{6D2551C1-296E-4FF1-B168-F071255AF7E4}"/>
    <cellStyle name="40% - Accent5 2 3 3 2 3" xfId="11785" xr:uid="{2E0D3AEE-3E5C-4021-A92A-E11717E0AE07}"/>
    <cellStyle name="40% - Accent5 2 3 3 2 4" xfId="20232" xr:uid="{21305830-47B3-4E93-870C-6C50E6E723F1}"/>
    <cellStyle name="40% - Accent5 2 3 3 3" xfId="5416" xr:uid="{00000000-0005-0000-0000-000073060000}"/>
    <cellStyle name="40% - Accent5 2 3 3 3 2" xfId="13858" xr:uid="{B8DB110A-EBE1-43E0-82FE-EEAD81A9CD0D}"/>
    <cellStyle name="40% - Accent5 2 3 3 3 3" xfId="22304" xr:uid="{2EE53E37-2C0D-44E6-AC3C-79A5406F1194}"/>
    <cellStyle name="40% - Accent5 2 3 3 4" xfId="9640" xr:uid="{0EE67194-FCB2-450D-BDDB-632E996DC01B}"/>
    <cellStyle name="40% - Accent5 2 3 3 5" xfId="18085" xr:uid="{0C051D88-03A7-458B-A8F6-BE38282EE409}"/>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FDC2E1C1-067B-4ECB-8BD1-2080E8CF5D31}"/>
    <cellStyle name="40% - Accent5 2 3 4 2 2 3" xfId="24862" xr:uid="{4F4F1973-AD83-402C-9FF7-73E376413F09}"/>
    <cellStyle name="40% - Accent5 2 3 4 2 3" xfId="12198" xr:uid="{D7DCB329-2702-4811-9D92-0A3BE7584CCE}"/>
    <cellStyle name="40% - Accent5 2 3 4 2 4" xfId="20645" xr:uid="{CD2F6AB1-53B8-4C41-B11E-1D238E366738}"/>
    <cellStyle name="40% - Accent5 2 3 4 3" xfId="5829" xr:uid="{00000000-0005-0000-0000-000077060000}"/>
    <cellStyle name="40% - Accent5 2 3 4 3 2" xfId="14271" xr:uid="{4DC83DA0-4304-40A6-AFC5-F8D616A94F5A}"/>
    <cellStyle name="40% - Accent5 2 3 4 3 3" xfId="22717" xr:uid="{FF268088-C38D-4B85-A17A-1939E3EB5CF3}"/>
    <cellStyle name="40% - Accent5 2 3 4 4" xfId="10053" xr:uid="{C3891C73-3DCA-4F8B-8088-36AE424027A6}"/>
    <cellStyle name="40% - Accent5 2 3 4 5" xfId="18498" xr:uid="{4E56F110-40DA-4E65-B231-923EA47C3AD3}"/>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39DA3FE6-4DB7-460C-A5E6-1416407C8EEA}"/>
    <cellStyle name="40% - Accent5 2 3 5 2 2 3" xfId="25275" xr:uid="{941910E6-2F18-4ED5-9136-068434D22176}"/>
    <cellStyle name="40% - Accent5 2 3 5 2 3" xfId="12611" xr:uid="{1AC66CB3-3153-4E61-8E00-1B47ECA3AC70}"/>
    <cellStyle name="40% - Accent5 2 3 5 2 4" xfId="21058" xr:uid="{DB1D648B-C335-4300-A052-35DA47D86E40}"/>
    <cellStyle name="40% - Accent5 2 3 5 3" xfId="6242" xr:uid="{00000000-0005-0000-0000-00007B060000}"/>
    <cellStyle name="40% - Accent5 2 3 5 3 2" xfId="14684" xr:uid="{402B30DE-26B3-4C8A-922F-DE9EBF9B1989}"/>
    <cellStyle name="40% - Accent5 2 3 5 3 3" xfId="23130" xr:uid="{4B8DA5BC-77ED-4B4E-8355-3A797EA473A8}"/>
    <cellStyle name="40% - Accent5 2 3 5 4" xfId="10466" xr:uid="{AC6E6971-9148-43D5-9B03-FA7FDAF3BF78}"/>
    <cellStyle name="40% - Accent5 2 3 5 5" xfId="18911" xr:uid="{8C4886CD-F83B-4AA2-8366-0B3581A1537D}"/>
    <cellStyle name="40% - Accent5 2 3 6" xfId="2348" xr:uid="{00000000-0005-0000-0000-00007C060000}"/>
    <cellStyle name="40% - Accent5 2 3 6 2" xfId="6655" xr:uid="{00000000-0005-0000-0000-00007D060000}"/>
    <cellStyle name="40% - Accent5 2 3 6 2 2" xfId="15097" xr:uid="{D3182948-19DC-49FC-9F13-975E25E1A37B}"/>
    <cellStyle name="40% - Accent5 2 3 6 2 3" xfId="23543" xr:uid="{7DDB3D2F-E235-4845-BC63-FA510650BD4E}"/>
    <cellStyle name="40% - Accent5 2 3 6 3" xfId="10879" xr:uid="{87797EF3-2579-4C2C-9BF8-F9935762F960}"/>
    <cellStyle name="40% - Accent5 2 3 6 4" xfId="19324" xr:uid="{CC4AE522-3E2A-4078-A04A-14098CFF3B0B}"/>
    <cellStyle name="40% - Accent5 2 3 7" xfId="4589" xr:uid="{00000000-0005-0000-0000-00007E060000}"/>
    <cellStyle name="40% - Accent5 2 3 7 2" xfId="13031" xr:uid="{5AD36786-3FAF-47F6-8D7E-7CD92994636E}"/>
    <cellStyle name="40% - Accent5 2 3 7 3" xfId="21477" xr:uid="{BE2816DE-2E97-4C1B-AB1B-E727963ECF76}"/>
    <cellStyle name="40% - Accent5 2 3 8" xfId="8813" xr:uid="{FF8EA0D8-0977-4FDF-A314-988A73AFE072}"/>
    <cellStyle name="40% - Accent5 2 3 9" xfId="17255" xr:uid="{52ADE01F-63AF-4579-9D43-2884EEEEDAEB}"/>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7197D50D-C601-4B15-B67B-743DCBD0B41A}"/>
    <cellStyle name="40% - Accent5 2 4 2 2 3" xfId="24033" xr:uid="{D8F867CF-D44E-4598-A1EB-344FF19C15E9}"/>
    <cellStyle name="40% - Accent5 2 4 2 3" xfId="11369" xr:uid="{0D51A778-FAA9-49C0-B623-4F3B875E664D}"/>
    <cellStyle name="40% - Accent5 2 4 2 4" xfId="19816" xr:uid="{9A9EA7A3-19A9-481D-9490-599EB001F509}"/>
    <cellStyle name="40% - Accent5 2 4 3" xfId="5000" xr:uid="{00000000-0005-0000-0000-000082060000}"/>
    <cellStyle name="40% - Accent5 2 4 3 2" xfId="13442" xr:uid="{B763885C-D886-492F-82B6-319DD85E2707}"/>
    <cellStyle name="40% - Accent5 2 4 3 3" xfId="21888" xr:uid="{95D9CBF2-776E-43F5-9883-DD536885837C}"/>
    <cellStyle name="40% - Accent5 2 4 4" xfId="9224" xr:uid="{F996AB23-B3DE-4445-820D-E6F0085FC1A0}"/>
    <cellStyle name="40% - Accent5 2 4 5" xfId="17669" xr:uid="{6AEED7A5-54E6-44D1-9FFA-25305FC9A14C}"/>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E1519AD6-54B9-4777-BA85-0F6014591BD0}"/>
    <cellStyle name="40% - Accent5 2 5 2 2 3" xfId="24446" xr:uid="{866D47DF-A401-4273-B6C0-A42FB1B801E5}"/>
    <cellStyle name="40% - Accent5 2 5 2 3" xfId="11782" xr:uid="{3A00E283-D1E4-47B2-9425-05DF9F4FFC92}"/>
    <cellStyle name="40% - Accent5 2 5 2 4" xfId="20229" xr:uid="{0DA7304E-1783-4CC0-A400-71CCB129A094}"/>
    <cellStyle name="40% - Accent5 2 5 3" xfId="5413" xr:uid="{00000000-0005-0000-0000-000086060000}"/>
    <cellStyle name="40% - Accent5 2 5 3 2" xfId="13855" xr:uid="{3B6E8D09-2FCD-49D5-B8A1-E02094749E60}"/>
    <cellStyle name="40% - Accent5 2 5 3 3" xfId="22301" xr:uid="{3B7C1491-F321-4953-A2E7-7F8090ECDB46}"/>
    <cellStyle name="40% - Accent5 2 5 4" xfId="9637" xr:uid="{18B98D82-BD92-425E-992E-10B605DF8790}"/>
    <cellStyle name="40% - Accent5 2 5 5" xfId="18082" xr:uid="{2E565587-C184-48D2-B5FA-E74A287CB695}"/>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BFD76A85-0420-4BBF-B980-59ED22F80DF1}"/>
    <cellStyle name="40% - Accent5 2 6 2 2 3" xfId="24859" xr:uid="{FE0DE11A-0E74-4920-ACDE-49DC3AC9A16F}"/>
    <cellStyle name="40% - Accent5 2 6 2 3" xfId="12195" xr:uid="{8EFE3ED7-1A53-4733-82C1-726B99F6FCE0}"/>
    <cellStyle name="40% - Accent5 2 6 2 4" xfId="20642" xr:uid="{8120EEC6-7B13-4328-AA7B-EE44148E572C}"/>
    <cellStyle name="40% - Accent5 2 6 3" xfId="5826" xr:uid="{00000000-0005-0000-0000-00008A060000}"/>
    <cellStyle name="40% - Accent5 2 6 3 2" xfId="14268" xr:uid="{2FF29DA3-8210-44F2-8B4D-E182BD86656D}"/>
    <cellStyle name="40% - Accent5 2 6 3 3" xfId="22714" xr:uid="{349DC2A0-4198-4F30-9D2C-1353DEC53745}"/>
    <cellStyle name="40% - Accent5 2 6 4" xfId="10050" xr:uid="{C827C0DE-8F9C-4822-9137-3E40CD639AB5}"/>
    <cellStyle name="40% - Accent5 2 6 5" xfId="18495" xr:uid="{0D557576-D91E-491B-9B90-A02D1861B9BA}"/>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CCC57104-FB42-4DAD-B4D4-ED18566ADA63}"/>
    <cellStyle name="40% - Accent5 2 7 2 2 3" xfId="25272" xr:uid="{7D7055A8-2A82-4020-92CA-8490452CA887}"/>
    <cellStyle name="40% - Accent5 2 7 2 3" xfId="12608" xr:uid="{6FE8E9FF-CFFE-4FA9-98D9-8E8126143BE0}"/>
    <cellStyle name="40% - Accent5 2 7 2 4" xfId="21055" xr:uid="{8F9FC03C-3676-4A34-8CB6-9B5541399F07}"/>
    <cellStyle name="40% - Accent5 2 7 3" xfId="6239" xr:uid="{00000000-0005-0000-0000-00008E060000}"/>
    <cellStyle name="40% - Accent5 2 7 3 2" xfId="14681" xr:uid="{38C33200-8112-4BA6-B28A-0B66DEAB85AA}"/>
    <cellStyle name="40% - Accent5 2 7 3 3" xfId="23127" xr:uid="{3119B080-637D-41FB-AE58-345181BDA705}"/>
    <cellStyle name="40% - Accent5 2 7 4" xfId="10463" xr:uid="{63FBF2B8-A672-47F9-B34F-E3C70BBB0093}"/>
    <cellStyle name="40% - Accent5 2 7 5" xfId="18908" xr:uid="{A30A1CCC-EFDA-403D-AC25-46EDD0019F64}"/>
    <cellStyle name="40% - Accent5 2 8" xfId="2345" xr:uid="{00000000-0005-0000-0000-00008F060000}"/>
    <cellStyle name="40% - Accent5 2 8 2" xfId="6652" xr:uid="{00000000-0005-0000-0000-000090060000}"/>
    <cellStyle name="40% - Accent5 2 8 2 2" xfId="15094" xr:uid="{8D4A23ED-D769-418D-96C6-E604AAC0398F}"/>
    <cellStyle name="40% - Accent5 2 8 2 3" xfId="23540" xr:uid="{4D3BEDC7-005E-4912-90FD-1E3831E28AE5}"/>
    <cellStyle name="40% - Accent5 2 8 3" xfId="10876" xr:uid="{E37AD917-E636-40CC-87B8-40CD3CAF1041}"/>
    <cellStyle name="40% - Accent5 2 8 4" xfId="19321" xr:uid="{E6F93896-F5A9-4E7A-871F-EE49E3B65D69}"/>
    <cellStyle name="40% - Accent5 2 9" xfId="4586" xr:uid="{00000000-0005-0000-0000-000091060000}"/>
    <cellStyle name="40% - Accent5 2 9 2" xfId="13028" xr:uid="{F4CB10E2-5C16-49E8-8FAC-7C1B41ACB013}"/>
    <cellStyle name="40% - Accent5 2 9 3" xfId="21474" xr:uid="{24D26F60-EFB9-42E3-A7FC-4DA295BC4A7B}"/>
    <cellStyle name="40% - Accent5 3" xfId="86" xr:uid="{00000000-0005-0000-0000-000092060000}"/>
    <cellStyle name="40% - Accent5 3 10" xfId="17256" xr:uid="{F06B50B5-1A59-49BC-8DCF-62C5C71BEEEB}"/>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FEBF3AAC-F2B7-4BF7-B330-652544E0CA40}"/>
    <cellStyle name="40% - Accent5 3 2 2 2 2 3" xfId="24038" xr:uid="{247A9B06-6154-400D-9259-7A306D6FE61D}"/>
    <cellStyle name="40% - Accent5 3 2 2 2 3" xfId="11374" xr:uid="{3739A7F8-A996-492C-AF36-D81816DF8592}"/>
    <cellStyle name="40% - Accent5 3 2 2 2 4" xfId="19821" xr:uid="{7F0809F4-C1A2-440C-82D4-C7740006B373}"/>
    <cellStyle name="40% - Accent5 3 2 2 3" xfId="5005" xr:uid="{00000000-0005-0000-0000-000097060000}"/>
    <cellStyle name="40% - Accent5 3 2 2 3 2" xfId="13447" xr:uid="{8AF9154A-9C4D-41BB-AF5B-175EFBFB54AF}"/>
    <cellStyle name="40% - Accent5 3 2 2 3 3" xfId="21893" xr:uid="{E83CA9D1-826E-4F63-95AB-0BDCCBE5E844}"/>
    <cellStyle name="40% - Accent5 3 2 2 4" xfId="9229" xr:uid="{A47C37D6-A832-4903-BB71-FDD1DB95378D}"/>
    <cellStyle name="40% - Accent5 3 2 2 5" xfId="17674" xr:uid="{52C384FD-B645-4379-BD59-9B9B74C70581}"/>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D8E845C0-2F64-4E42-83E0-5B07AFE44866}"/>
    <cellStyle name="40% - Accent5 3 2 3 2 2 3" xfId="24451" xr:uid="{A0BA01B7-05BD-4234-8D42-61F9366DAC41}"/>
    <cellStyle name="40% - Accent5 3 2 3 2 3" xfId="11787" xr:uid="{E555DF87-729F-492F-8892-1731BD56A02C}"/>
    <cellStyle name="40% - Accent5 3 2 3 2 4" xfId="20234" xr:uid="{03F66314-78E4-4044-8AA8-8EC355884D64}"/>
    <cellStyle name="40% - Accent5 3 2 3 3" xfId="5418" xr:uid="{00000000-0005-0000-0000-00009B060000}"/>
    <cellStyle name="40% - Accent5 3 2 3 3 2" xfId="13860" xr:uid="{459E26BD-616E-4870-B571-7C99B7F5ED2A}"/>
    <cellStyle name="40% - Accent5 3 2 3 3 3" xfId="22306" xr:uid="{979855F0-D806-4F08-9B47-2A3A3C9DE02F}"/>
    <cellStyle name="40% - Accent5 3 2 3 4" xfId="9642" xr:uid="{1104B676-F17F-4F69-85FE-FE6B3DC6609D}"/>
    <cellStyle name="40% - Accent5 3 2 3 5" xfId="18087" xr:uid="{926F6FBF-4B25-4CF6-B849-B0A2451E1A13}"/>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8F8F9777-B4D8-4A8F-B320-45D23B6F5684}"/>
    <cellStyle name="40% - Accent5 3 2 4 2 2 3" xfId="24864" xr:uid="{BA5A43D2-D611-4384-B7C0-730690D8653B}"/>
    <cellStyle name="40% - Accent5 3 2 4 2 3" xfId="12200" xr:uid="{C1F1D2DF-380B-4EA3-91CD-5C2DE2ED265D}"/>
    <cellStyle name="40% - Accent5 3 2 4 2 4" xfId="20647" xr:uid="{56422046-A76E-4357-A567-AD2B7F8F6539}"/>
    <cellStyle name="40% - Accent5 3 2 4 3" xfId="5831" xr:uid="{00000000-0005-0000-0000-00009F060000}"/>
    <cellStyle name="40% - Accent5 3 2 4 3 2" xfId="14273" xr:uid="{D67F74B3-22D4-4138-B38C-9AA37CDCA7D0}"/>
    <cellStyle name="40% - Accent5 3 2 4 3 3" xfId="22719" xr:uid="{1365E736-F600-496D-8DDC-5AA1DC67C31E}"/>
    <cellStyle name="40% - Accent5 3 2 4 4" xfId="10055" xr:uid="{250F0FF7-6C9D-41EB-9916-1A29ED41433E}"/>
    <cellStyle name="40% - Accent5 3 2 4 5" xfId="18500" xr:uid="{25438BFF-7247-4174-9C63-F9D5615B380F}"/>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51DBB9CA-64DB-47FF-A657-4DD0B2E34B56}"/>
    <cellStyle name="40% - Accent5 3 2 5 2 2 3" xfId="25277" xr:uid="{DFC0153D-94B8-4375-A526-5A9B6808731A}"/>
    <cellStyle name="40% - Accent5 3 2 5 2 3" xfId="12613" xr:uid="{7D77E16E-01B3-4CAE-A23F-3C35110D7561}"/>
    <cellStyle name="40% - Accent5 3 2 5 2 4" xfId="21060" xr:uid="{37C26923-6BA5-43B1-A31A-39866B6E2C74}"/>
    <cellStyle name="40% - Accent5 3 2 5 3" xfId="6244" xr:uid="{00000000-0005-0000-0000-0000A3060000}"/>
    <cellStyle name="40% - Accent5 3 2 5 3 2" xfId="14686" xr:uid="{619F5EE8-8907-4506-BB76-996235D52994}"/>
    <cellStyle name="40% - Accent5 3 2 5 3 3" xfId="23132" xr:uid="{0B394C1E-4526-4F2B-A2A7-BC00CEC8A9CD}"/>
    <cellStyle name="40% - Accent5 3 2 5 4" xfId="10468" xr:uid="{2DCBC442-1823-49FE-83AC-F5148915E0EC}"/>
    <cellStyle name="40% - Accent5 3 2 5 5" xfId="18913" xr:uid="{8DB42EFF-1320-4D6B-BED1-1F09917C2789}"/>
    <cellStyle name="40% - Accent5 3 2 6" xfId="2350" xr:uid="{00000000-0005-0000-0000-0000A4060000}"/>
    <cellStyle name="40% - Accent5 3 2 6 2" xfId="6657" xr:uid="{00000000-0005-0000-0000-0000A5060000}"/>
    <cellStyle name="40% - Accent5 3 2 6 2 2" xfId="15099" xr:uid="{83D04959-BC92-4F57-A5D9-DDB58124EEF4}"/>
    <cellStyle name="40% - Accent5 3 2 6 2 3" xfId="23545" xr:uid="{3FF5B85B-4FB3-4775-B2E2-AB5E885F38DE}"/>
    <cellStyle name="40% - Accent5 3 2 6 3" xfId="10881" xr:uid="{7B0B2AE2-FA6B-4159-A371-33E8F4765AB9}"/>
    <cellStyle name="40% - Accent5 3 2 6 4" xfId="19326" xr:uid="{EBBEBA50-9915-4720-81F9-8EC7DC257760}"/>
    <cellStyle name="40% - Accent5 3 2 7" xfId="4591" xr:uid="{00000000-0005-0000-0000-0000A6060000}"/>
    <cellStyle name="40% - Accent5 3 2 7 2" xfId="13033" xr:uid="{F991FA5D-C61A-4260-8CA8-BDD010726E5E}"/>
    <cellStyle name="40% - Accent5 3 2 7 3" xfId="21479" xr:uid="{A78A9335-54AE-4527-B566-33EF85F3618A}"/>
    <cellStyle name="40% - Accent5 3 2 8" xfId="8815" xr:uid="{EFB4B98E-32FA-470B-B68E-97B490582A69}"/>
    <cellStyle name="40% - Accent5 3 2 9" xfId="17257" xr:uid="{59DDF69C-4D40-44F2-829D-D026876459A6}"/>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B6AB78EB-719B-4E93-8D8A-6BF6CC58049A}"/>
    <cellStyle name="40% - Accent5 3 3 2 2 3" xfId="24037" xr:uid="{F47418DA-9277-44E7-B7A7-5048398F6D28}"/>
    <cellStyle name="40% - Accent5 3 3 2 3" xfId="11373" xr:uid="{4D872167-F7DC-4086-83C1-FDEEB4B3E485}"/>
    <cellStyle name="40% - Accent5 3 3 2 4" xfId="19820" xr:uid="{06B6D656-71F2-4A44-B0AC-3D403980BDE4}"/>
    <cellStyle name="40% - Accent5 3 3 3" xfId="5004" xr:uid="{00000000-0005-0000-0000-0000AA060000}"/>
    <cellStyle name="40% - Accent5 3 3 3 2" xfId="13446" xr:uid="{84A0E151-BCD3-4760-ACD7-BDE2CA48DCE8}"/>
    <cellStyle name="40% - Accent5 3 3 3 3" xfId="21892" xr:uid="{086A6BBD-6324-4863-B403-C00371B5D70E}"/>
    <cellStyle name="40% - Accent5 3 3 4" xfId="9228" xr:uid="{F3BDE132-69DF-4A94-AB45-34F1604642D6}"/>
    <cellStyle name="40% - Accent5 3 3 5" xfId="17673" xr:uid="{59792DA0-83E4-4C00-B815-E6BF0AED9BD9}"/>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D25DB55A-0882-4B19-9850-315F7EF1FD86}"/>
    <cellStyle name="40% - Accent5 3 4 2 2 3" xfId="24450" xr:uid="{5ED2C77E-6F31-4BF8-92BE-352F250ED472}"/>
    <cellStyle name="40% - Accent5 3 4 2 3" xfId="11786" xr:uid="{099ED793-5605-4D2F-BAA9-3162EBC43D5B}"/>
    <cellStyle name="40% - Accent5 3 4 2 4" xfId="20233" xr:uid="{77882D62-A16C-4BE9-BF8E-D20C900AF531}"/>
    <cellStyle name="40% - Accent5 3 4 3" xfId="5417" xr:uid="{00000000-0005-0000-0000-0000AE060000}"/>
    <cellStyle name="40% - Accent5 3 4 3 2" xfId="13859" xr:uid="{F62631F5-4239-46C4-BB0A-1DA45DEC96CD}"/>
    <cellStyle name="40% - Accent5 3 4 3 3" xfId="22305" xr:uid="{C369E244-6EAC-4BDA-B7B8-D154F39A3A6C}"/>
    <cellStyle name="40% - Accent5 3 4 4" xfId="9641" xr:uid="{BDCC6E1B-8E1A-4840-98DD-10AE2D936DCE}"/>
    <cellStyle name="40% - Accent5 3 4 5" xfId="18086" xr:uid="{BE917BAC-BA37-4C25-AB06-7F112F0D67BF}"/>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9E843F4C-1E66-4FD1-9006-50CE2A5A2A66}"/>
    <cellStyle name="40% - Accent5 3 5 2 2 3" xfId="24863" xr:uid="{C5E1FED7-684E-4891-B0D0-183393662516}"/>
    <cellStyle name="40% - Accent5 3 5 2 3" xfId="12199" xr:uid="{2D0F0BDD-67FB-4D4F-B2FC-161D9E841E1F}"/>
    <cellStyle name="40% - Accent5 3 5 2 4" xfId="20646" xr:uid="{DBC729AD-86AD-42F9-8C35-1E353EE99919}"/>
    <cellStyle name="40% - Accent5 3 5 3" xfId="5830" xr:uid="{00000000-0005-0000-0000-0000B2060000}"/>
    <cellStyle name="40% - Accent5 3 5 3 2" xfId="14272" xr:uid="{5AD2673A-83C0-42B6-B132-1D96255F3638}"/>
    <cellStyle name="40% - Accent5 3 5 3 3" xfId="22718" xr:uid="{2A0C2D63-393E-4C5F-B60A-3A4C01E67C9A}"/>
    <cellStyle name="40% - Accent5 3 5 4" xfId="10054" xr:uid="{25AA3E4A-733F-49FE-AB64-9AB27C4816D6}"/>
    <cellStyle name="40% - Accent5 3 5 5" xfId="18499" xr:uid="{0EFF9DB9-1449-4B73-B660-5F12B0278A6F}"/>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3D4D1AF0-699F-40DE-BF23-7AB09684DC38}"/>
    <cellStyle name="40% - Accent5 3 6 2 2 3" xfId="25276" xr:uid="{9DFD1C9D-8010-449B-A297-22AB97030999}"/>
    <cellStyle name="40% - Accent5 3 6 2 3" xfId="12612" xr:uid="{C2EC0417-A470-4259-923A-488B16DB41C8}"/>
    <cellStyle name="40% - Accent5 3 6 2 4" xfId="21059" xr:uid="{A85CD7B8-0D32-4C38-B26D-3BAC3FFE1DFA}"/>
    <cellStyle name="40% - Accent5 3 6 3" xfId="6243" xr:uid="{00000000-0005-0000-0000-0000B6060000}"/>
    <cellStyle name="40% - Accent5 3 6 3 2" xfId="14685" xr:uid="{61F783A7-2CC0-4CED-A4D7-3ABADDB275DC}"/>
    <cellStyle name="40% - Accent5 3 6 3 3" xfId="23131" xr:uid="{5F3C1AD4-1F9C-43B3-B56A-608D09629506}"/>
    <cellStyle name="40% - Accent5 3 6 4" xfId="10467" xr:uid="{BE0C19D0-C82E-424D-ACCC-6F210047F998}"/>
    <cellStyle name="40% - Accent5 3 6 5" xfId="18912" xr:uid="{6D4D53B4-3EA6-4EA8-B089-00692CEC2514}"/>
    <cellStyle name="40% - Accent5 3 7" xfId="2349" xr:uid="{00000000-0005-0000-0000-0000B7060000}"/>
    <cellStyle name="40% - Accent5 3 7 2" xfId="6656" xr:uid="{00000000-0005-0000-0000-0000B8060000}"/>
    <cellStyle name="40% - Accent5 3 7 2 2" xfId="15098" xr:uid="{D1BBB84C-1171-49B0-81B7-2CDFC70ADDAE}"/>
    <cellStyle name="40% - Accent5 3 7 2 3" xfId="23544" xr:uid="{0ABA425C-64AC-4E6F-961A-E2769962C6A2}"/>
    <cellStyle name="40% - Accent5 3 7 3" xfId="10880" xr:uid="{44F65D72-C164-4C7F-A127-4703AF5C5C1E}"/>
    <cellStyle name="40% - Accent5 3 7 4" xfId="19325" xr:uid="{683FC2A4-07BA-48E0-877F-CA1035E3C247}"/>
    <cellStyle name="40% - Accent5 3 8" xfId="4590" xr:uid="{00000000-0005-0000-0000-0000B9060000}"/>
    <cellStyle name="40% - Accent5 3 8 2" xfId="13032" xr:uid="{A901237B-C483-449F-BA76-C3494A9889F9}"/>
    <cellStyle name="40% - Accent5 3 8 3" xfId="21478" xr:uid="{8343B89C-DEDF-4070-9D9D-0BC2BC669BCB}"/>
    <cellStyle name="40% - Accent5 3 9" xfId="8814" xr:uid="{CD3EF8CE-C1FA-466D-AEEF-CDC764AD9966}"/>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B3101C7F-237B-445B-A584-4F9694C087B0}"/>
    <cellStyle name="40% - Accent5 4 2 2 2 3" xfId="24039" xr:uid="{421A21E1-F39A-4FBB-AFF3-A4DC00449C1A}"/>
    <cellStyle name="40% - Accent5 4 2 2 3" xfId="11375" xr:uid="{2CF0B4F4-E480-4B56-AE5C-31E27870A0EF}"/>
    <cellStyle name="40% - Accent5 4 2 2 4" xfId="19822" xr:uid="{327E2954-3B24-475E-A4B7-1E4988D2DAD3}"/>
    <cellStyle name="40% - Accent5 4 2 3" xfId="5006" xr:uid="{00000000-0005-0000-0000-0000BE060000}"/>
    <cellStyle name="40% - Accent5 4 2 3 2" xfId="13448" xr:uid="{4E4BE2E4-D881-4D47-AC6A-EED4187713D3}"/>
    <cellStyle name="40% - Accent5 4 2 3 3" xfId="21894" xr:uid="{93567098-A3E4-4A6C-BD21-4C68C6E8719B}"/>
    <cellStyle name="40% - Accent5 4 2 4" xfId="9230" xr:uid="{54046BE9-75C7-4074-92A6-45F2E09C6FA7}"/>
    <cellStyle name="40% - Accent5 4 2 5" xfId="17675" xr:uid="{CF62A1E4-8B10-456F-816F-A044177A5D83}"/>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414AD441-0E6C-4340-B323-E242E69C3C69}"/>
    <cellStyle name="40% - Accent5 4 3 2 2 3" xfId="24452" xr:uid="{5C2D60BD-BB7E-45C6-AEE7-B62BE7698E66}"/>
    <cellStyle name="40% - Accent5 4 3 2 3" xfId="11788" xr:uid="{B1A10135-2C53-4921-8863-F217A4044F61}"/>
    <cellStyle name="40% - Accent5 4 3 2 4" xfId="20235" xr:uid="{C351B46C-0BD0-43A7-A580-2ACE33BEB6DA}"/>
    <cellStyle name="40% - Accent5 4 3 3" xfId="5419" xr:uid="{00000000-0005-0000-0000-0000C2060000}"/>
    <cellStyle name="40% - Accent5 4 3 3 2" xfId="13861" xr:uid="{78026B60-C647-4353-AAD7-B2D7772D4C3E}"/>
    <cellStyle name="40% - Accent5 4 3 3 3" xfId="22307" xr:uid="{19FCC26C-FC8C-47CB-845A-5F820CB14F69}"/>
    <cellStyle name="40% - Accent5 4 3 4" xfId="9643" xr:uid="{D7B6DDA4-62EC-4666-8E09-A88E8D1A8821}"/>
    <cellStyle name="40% - Accent5 4 3 5" xfId="18088" xr:uid="{C62261E1-CE4A-4FC8-BD23-799979806A4A}"/>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92AFE660-D215-455A-95C0-1E69738ADBF7}"/>
    <cellStyle name="40% - Accent5 4 4 2 2 3" xfId="24865" xr:uid="{CA93D046-408D-4D5D-A320-9A9F3F4C0032}"/>
    <cellStyle name="40% - Accent5 4 4 2 3" xfId="12201" xr:uid="{5AB4289B-48C6-4DEA-A397-92970ADD9627}"/>
    <cellStyle name="40% - Accent5 4 4 2 4" xfId="20648" xr:uid="{31B54302-3DE6-4ACA-8DA1-F6C1E5EEEE22}"/>
    <cellStyle name="40% - Accent5 4 4 3" xfId="5832" xr:uid="{00000000-0005-0000-0000-0000C6060000}"/>
    <cellStyle name="40% - Accent5 4 4 3 2" xfId="14274" xr:uid="{1122818B-7920-42F0-9E52-13073BB76D60}"/>
    <cellStyle name="40% - Accent5 4 4 3 3" xfId="22720" xr:uid="{6FEF0F02-CEFB-44EA-AA18-37AC8ECDE4B5}"/>
    <cellStyle name="40% - Accent5 4 4 4" xfId="10056" xr:uid="{E62D3BDF-598D-411E-98EF-3C2F2D0511CB}"/>
    <cellStyle name="40% - Accent5 4 4 5" xfId="18501" xr:uid="{A6B6E2B7-5E1C-4F28-9808-C215795077FC}"/>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71F67AF7-91C5-45F3-8A6D-AE5F2E4A06A1}"/>
    <cellStyle name="40% - Accent5 4 5 2 2 3" xfId="25278" xr:uid="{DDFE47A1-D334-4E53-B0DE-85A4D4E05B58}"/>
    <cellStyle name="40% - Accent5 4 5 2 3" xfId="12614" xr:uid="{0094C21D-657A-477C-9A91-574EB456EDC1}"/>
    <cellStyle name="40% - Accent5 4 5 2 4" xfId="21061" xr:uid="{EDF08A3F-C1AC-4BED-AAE8-719BCAD3BFCE}"/>
    <cellStyle name="40% - Accent5 4 5 3" xfId="6245" xr:uid="{00000000-0005-0000-0000-0000CA060000}"/>
    <cellStyle name="40% - Accent5 4 5 3 2" xfId="14687" xr:uid="{C5ABC2C8-36FA-4AA3-8FEC-0B3A1AA11F40}"/>
    <cellStyle name="40% - Accent5 4 5 3 3" xfId="23133" xr:uid="{944F62BB-9DD0-4142-B7A5-E8098D869DD1}"/>
    <cellStyle name="40% - Accent5 4 5 4" xfId="10469" xr:uid="{CEB962E8-B7C2-495A-89EC-1E155D3A2C73}"/>
    <cellStyle name="40% - Accent5 4 5 5" xfId="18914" xr:uid="{35BBF302-3FEE-481F-AA03-2199BB38BFE4}"/>
    <cellStyle name="40% - Accent5 4 6" xfId="2351" xr:uid="{00000000-0005-0000-0000-0000CB060000}"/>
    <cellStyle name="40% - Accent5 4 6 2" xfId="6658" xr:uid="{00000000-0005-0000-0000-0000CC060000}"/>
    <cellStyle name="40% - Accent5 4 6 2 2" xfId="15100" xr:uid="{37D3871F-37A4-4380-AA95-03F642E0099E}"/>
    <cellStyle name="40% - Accent5 4 6 2 3" xfId="23546" xr:uid="{377CB21A-60D7-4EE7-9D81-C28493EA50A8}"/>
    <cellStyle name="40% - Accent5 4 6 3" xfId="10882" xr:uid="{1D8A55FA-9D57-4246-A503-68068BC5C7AD}"/>
    <cellStyle name="40% - Accent5 4 6 4" xfId="19327" xr:uid="{88A63649-930E-46BB-B3D6-9F78EFFC33D9}"/>
    <cellStyle name="40% - Accent5 4 7" xfId="4592" xr:uid="{00000000-0005-0000-0000-0000CD060000}"/>
    <cellStyle name="40% - Accent5 4 7 2" xfId="13034" xr:uid="{C6DD3DDF-20FA-4CE6-B916-3C4C5DBA3947}"/>
    <cellStyle name="40% - Accent5 4 7 3" xfId="21480" xr:uid="{DDA750A3-FEA5-4237-B969-9D3345B8235E}"/>
    <cellStyle name="40% - Accent5 4 8" xfId="8816" xr:uid="{EBB03FB7-9C42-40D2-AFE0-FB5E929FA835}"/>
    <cellStyle name="40% - Accent5 4 9" xfId="17258" xr:uid="{51284855-4648-4C85-B604-0455F7579AB0}"/>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828F22A9-D147-4AEC-9F91-23A43371EE12}"/>
    <cellStyle name="40% - Accent5 5 2 2 3" xfId="24032" xr:uid="{7CD421D8-5542-4FDE-A269-840F65DA3F55}"/>
    <cellStyle name="40% - Accent5 5 2 3" xfId="11368" xr:uid="{C30EF861-587D-40E3-975E-A22CFA2B4D2F}"/>
    <cellStyle name="40% - Accent5 5 2 4" xfId="19815" xr:uid="{3BE65D4E-61B9-46ED-BCEA-8D7BA75ADED5}"/>
    <cellStyle name="40% - Accent5 5 3" xfId="4999" xr:uid="{00000000-0005-0000-0000-0000D1060000}"/>
    <cellStyle name="40% - Accent5 5 3 2" xfId="13441" xr:uid="{9B8CD5C0-B064-487B-9BFF-139355530105}"/>
    <cellStyle name="40% - Accent5 5 3 3" xfId="21887" xr:uid="{D9A1A3FA-A20D-4454-91D0-C44120D8825A}"/>
    <cellStyle name="40% - Accent5 5 4" xfId="9223" xr:uid="{24D5872D-AD81-467A-93C2-AC487D7DE066}"/>
    <cellStyle name="40% - Accent5 5 5" xfId="17668" xr:uid="{4940DADF-2E03-41D9-96E1-BF2DF0710271}"/>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98C246B9-3C3D-475D-9C4F-97BBE6E30245}"/>
    <cellStyle name="40% - Accent5 6 2 2 3" xfId="24445" xr:uid="{F5BEAC7B-D958-4563-BE71-331917DAEFBC}"/>
    <cellStyle name="40% - Accent5 6 2 3" xfId="11781" xr:uid="{EBFB01B3-68F3-4F41-A289-D1ACD1CFDF14}"/>
    <cellStyle name="40% - Accent5 6 2 4" xfId="20228" xr:uid="{8D763BA0-0CC8-45A3-A60C-50116A2A8663}"/>
    <cellStyle name="40% - Accent5 6 3" xfId="5412" xr:uid="{00000000-0005-0000-0000-0000D5060000}"/>
    <cellStyle name="40% - Accent5 6 3 2" xfId="13854" xr:uid="{3E19E78B-CFD2-43ED-A274-0E8652B8D25F}"/>
    <cellStyle name="40% - Accent5 6 3 3" xfId="22300" xr:uid="{C041634B-4E28-4E08-BACD-5748EE4C9B26}"/>
    <cellStyle name="40% - Accent5 6 4" xfId="9636" xr:uid="{6B3966DB-5C54-4FE3-A696-5251A2E7BEA9}"/>
    <cellStyle name="40% - Accent5 6 5" xfId="18081" xr:uid="{DAEB9FCE-51F4-4B77-A7C5-1E7B04EE7F9A}"/>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7213E843-02FC-4726-AB71-3FF4D90E635A}"/>
    <cellStyle name="40% - Accent5 7 2 2 3" xfId="24858" xr:uid="{E396478B-32A6-4F2B-943F-3909DF879FD1}"/>
    <cellStyle name="40% - Accent5 7 2 3" xfId="12194" xr:uid="{05295499-0839-4623-9653-AFED5EDEC73B}"/>
    <cellStyle name="40% - Accent5 7 2 4" xfId="20641" xr:uid="{EAF1D5C5-8F6E-4800-9DE4-1D1482E2846B}"/>
    <cellStyle name="40% - Accent5 7 3" xfId="5825" xr:uid="{00000000-0005-0000-0000-0000D9060000}"/>
    <cellStyle name="40% - Accent5 7 3 2" xfId="14267" xr:uid="{7527D131-65C8-40C8-965D-13CA83BEB2F4}"/>
    <cellStyle name="40% - Accent5 7 3 3" xfId="22713" xr:uid="{1A0F9AAB-61FB-4FA2-9C85-2E4879874A0F}"/>
    <cellStyle name="40% - Accent5 7 4" xfId="10049" xr:uid="{0E272048-007D-499F-9A38-301B75BD42B2}"/>
    <cellStyle name="40% - Accent5 7 5" xfId="18494" xr:uid="{AEBF88E2-A90D-4EE9-9B85-17087A0D4475}"/>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BC27309D-56FD-4ECD-B670-9AC9ED182A27}"/>
    <cellStyle name="40% - Accent5 8 2 2 3" xfId="25271" xr:uid="{651BC267-BDEE-4BB5-B465-19E340D28C9E}"/>
    <cellStyle name="40% - Accent5 8 2 3" xfId="12607" xr:uid="{6D0DFC77-4901-4CA0-AC89-06305B10283D}"/>
    <cellStyle name="40% - Accent5 8 2 4" xfId="21054" xr:uid="{1649DBE9-DD54-4265-914B-625B282CE21E}"/>
    <cellStyle name="40% - Accent5 8 3" xfId="6238" xr:uid="{00000000-0005-0000-0000-0000DD060000}"/>
    <cellStyle name="40% - Accent5 8 3 2" xfId="14680" xr:uid="{E8D819F9-2AA1-426E-BF0D-EDB7119A77A3}"/>
    <cellStyle name="40% - Accent5 8 3 3" xfId="23126" xr:uid="{728E227D-3DE1-4C4A-AEB8-E1AB8B4B9094}"/>
    <cellStyle name="40% - Accent5 8 4" xfId="10462" xr:uid="{7681B221-8AAF-4609-87D2-B246DED00D72}"/>
    <cellStyle name="40% - Accent5 8 5" xfId="18907" xr:uid="{94E40AC3-88B2-4F87-9FE9-43C2F0370C78}"/>
    <cellStyle name="40% - Accent5 9" xfId="2344" xr:uid="{00000000-0005-0000-0000-0000DE060000}"/>
    <cellStyle name="40% - Accent5 9 2" xfId="6651" xr:uid="{00000000-0005-0000-0000-0000DF060000}"/>
    <cellStyle name="40% - Accent5 9 2 2" xfId="15093" xr:uid="{868E35E9-B28B-4F01-A4DB-905063983036}"/>
    <cellStyle name="40% - Accent5 9 2 3" xfId="23539" xr:uid="{9280C172-3212-4FC7-83C5-31A4A2F62F5D}"/>
    <cellStyle name="40% - Accent5 9 3" xfId="10875" xr:uid="{7D5AEFAA-3C4B-4CA2-81C0-2D5278BD4C7D}"/>
    <cellStyle name="40% - Accent5 9 4" xfId="19320" xr:uid="{DB8483EE-6FBB-41EE-9B45-01E14F5445F1}"/>
    <cellStyle name="40% - Accent6" xfId="89" builtinId="51" customBuiltin="1"/>
    <cellStyle name="40% - Accent6 10" xfId="4593" xr:uid="{00000000-0005-0000-0000-0000E1060000}"/>
    <cellStyle name="40% - Accent6 10 2" xfId="13035" xr:uid="{DF274315-F5B6-4734-82C8-A9F64F3C4F4D}"/>
    <cellStyle name="40% - Accent6 10 3" xfId="21481" xr:uid="{8823BE6E-9C05-40F0-9950-D694AA5EDDF8}"/>
    <cellStyle name="40% - Accent6 11" xfId="8817" xr:uid="{2A876668-7207-4056-85A2-A804E5BB668F}"/>
    <cellStyle name="40% - Accent6 12" xfId="17259" xr:uid="{703C3264-E54D-4B62-A9B0-495A43DBFD5E}"/>
    <cellStyle name="40% - Accent6 2" xfId="90" xr:uid="{00000000-0005-0000-0000-0000E2060000}"/>
    <cellStyle name="40% - Accent6 2 10" xfId="8818" xr:uid="{4EA0F98B-984A-4030-B48A-535C72B0D861}"/>
    <cellStyle name="40% - Accent6 2 11" xfId="17260" xr:uid="{610EC0CA-0E0C-454E-A273-AF8740489F78}"/>
    <cellStyle name="40% - Accent6 2 2" xfId="91" xr:uid="{00000000-0005-0000-0000-0000E3060000}"/>
    <cellStyle name="40% - Accent6 2 2 10" xfId="17261" xr:uid="{5C33627D-C591-4033-85EA-D02863598AD8}"/>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38D2D3A3-4519-4FEA-AB92-2492A1B4184A}"/>
    <cellStyle name="40% - Accent6 2 2 2 2 2 2 3" xfId="24043" xr:uid="{C387B8B1-C29F-4E59-B2CC-1A231E556A0D}"/>
    <cellStyle name="40% - Accent6 2 2 2 2 2 3" xfId="11379" xr:uid="{ED0FFE5F-A5F0-46D8-8B46-8AEE82437970}"/>
    <cellStyle name="40% - Accent6 2 2 2 2 2 4" xfId="19826" xr:uid="{B7FA5526-5271-4394-84CA-FA12396EE3E1}"/>
    <cellStyle name="40% - Accent6 2 2 2 2 3" xfId="5010" xr:uid="{00000000-0005-0000-0000-0000E8060000}"/>
    <cellStyle name="40% - Accent6 2 2 2 2 3 2" xfId="13452" xr:uid="{DA6C160F-5F21-4394-8BCD-D20592DF65F0}"/>
    <cellStyle name="40% - Accent6 2 2 2 2 3 3" xfId="21898" xr:uid="{0CE7AE23-FB0E-4E05-9388-48093B508D6E}"/>
    <cellStyle name="40% - Accent6 2 2 2 2 4" xfId="9234" xr:uid="{331A7C24-EF05-42F3-AAE4-E883ABEF9F2F}"/>
    <cellStyle name="40% - Accent6 2 2 2 2 5" xfId="17679" xr:uid="{800889E3-FC9C-41BE-9F48-AE16189C4073}"/>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5488081A-3A48-46C0-943F-A608F2D02562}"/>
    <cellStyle name="40% - Accent6 2 2 2 3 2 2 3" xfId="24456" xr:uid="{2DB54F31-DEEC-46F2-B664-862B8B7C36A2}"/>
    <cellStyle name="40% - Accent6 2 2 2 3 2 3" xfId="11792" xr:uid="{F8A8587C-544D-4A05-A66B-E0670B8EC0C3}"/>
    <cellStyle name="40% - Accent6 2 2 2 3 2 4" xfId="20239" xr:uid="{571E9632-DD0E-49C7-843A-FB65DD58E8A2}"/>
    <cellStyle name="40% - Accent6 2 2 2 3 3" xfId="5423" xr:uid="{00000000-0005-0000-0000-0000EC060000}"/>
    <cellStyle name="40% - Accent6 2 2 2 3 3 2" xfId="13865" xr:uid="{01E43D59-576A-4FFE-9DE9-DE2A359CA9CD}"/>
    <cellStyle name="40% - Accent6 2 2 2 3 3 3" xfId="22311" xr:uid="{3088DFEA-A847-4398-9683-33F318D2A5BE}"/>
    <cellStyle name="40% - Accent6 2 2 2 3 4" xfId="9647" xr:uid="{5EC5FC0B-3037-47A1-87FF-CA7C25CFDD6E}"/>
    <cellStyle name="40% - Accent6 2 2 2 3 5" xfId="18092" xr:uid="{24E4452E-ED3E-4BE1-B9CC-A8FE52F09B75}"/>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E8E01005-532D-4EFA-BB1D-63AA0D06BF35}"/>
    <cellStyle name="40% - Accent6 2 2 2 4 2 2 3" xfId="24869" xr:uid="{826C8DB7-37AB-4EF0-B195-EB76CEDF5BA0}"/>
    <cellStyle name="40% - Accent6 2 2 2 4 2 3" xfId="12205" xr:uid="{59CEB70A-447D-455B-8A49-29B94DB189EB}"/>
    <cellStyle name="40% - Accent6 2 2 2 4 2 4" xfId="20652" xr:uid="{DA74959B-F5B1-4615-B8DB-FF0BFC2BEA4E}"/>
    <cellStyle name="40% - Accent6 2 2 2 4 3" xfId="5836" xr:uid="{00000000-0005-0000-0000-0000F0060000}"/>
    <cellStyle name="40% - Accent6 2 2 2 4 3 2" xfId="14278" xr:uid="{1E81A4D4-128D-4C95-948A-479FDBFA601E}"/>
    <cellStyle name="40% - Accent6 2 2 2 4 3 3" xfId="22724" xr:uid="{57676CE0-F956-4E90-8BFA-3C265DE39335}"/>
    <cellStyle name="40% - Accent6 2 2 2 4 4" xfId="10060" xr:uid="{B0455C28-0784-4A0D-BDEB-419CDE6DF04D}"/>
    <cellStyle name="40% - Accent6 2 2 2 4 5" xfId="18505" xr:uid="{5B72E899-9377-4F6E-A74C-05A511F4629E}"/>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6735788F-F091-4A28-9808-58C4892E8A77}"/>
    <cellStyle name="40% - Accent6 2 2 2 5 2 2 3" xfId="25282" xr:uid="{681A88A8-5661-4F09-86F0-9D9C72CCA7F3}"/>
    <cellStyle name="40% - Accent6 2 2 2 5 2 3" xfId="12618" xr:uid="{1EBE03C3-5E21-4A1B-ACEF-F0B038F5D420}"/>
    <cellStyle name="40% - Accent6 2 2 2 5 2 4" xfId="21065" xr:uid="{F55A1921-7000-4C3D-97FD-D5A623BC72E3}"/>
    <cellStyle name="40% - Accent6 2 2 2 5 3" xfId="6249" xr:uid="{00000000-0005-0000-0000-0000F4060000}"/>
    <cellStyle name="40% - Accent6 2 2 2 5 3 2" xfId="14691" xr:uid="{A7BEE5E5-A85F-44FE-B405-3EFC6D8EA157}"/>
    <cellStyle name="40% - Accent6 2 2 2 5 3 3" xfId="23137" xr:uid="{DD812AF9-CF15-4FBD-900D-087430527C0C}"/>
    <cellStyle name="40% - Accent6 2 2 2 5 4" xfId="10473" xr:uid="{A9C05D70-BAA8-499B-BECD-E888C8A6AE22}"/>
    <cellStyle name="40% - Accent6 2 2 2 5 5" xfId="18918" xr:uid="{B108770F-E2FA-4F07-8CD8-EC0E88CE0447}"/>
    <cellStyle name="40% - Accent6 2 2 2 6" xfId="2355" xr:uid="{00000000-0005-0000-0000-0000F5060000}"/>
    <cellStyle name="40% - Accent6 2 2 2 6 2" xfId="6662" xr:uid="{00000000-0005-0000-0000-0000F6060000}"/>
    <cellStyle name="40% - Accent6 2 2 2 6 2 2" xfId="15104" xr:uid="{D32F6A14-87FA-4D39-8F21-668C604D6C7C}"/>
    <cellStyle name="40% - Accent6 2 2 2 6 2 3" xfId="23550" xr:uid="{9E237535-1F49-4CC2-9AE1-11482D73D8A6}"/>
    <cellStyle name="40% - Accent6 2 2 2 6 3" xfId="10886" xr:uid="{327210CB-58D0-4E29-B443-BFE9242620B7}"/>
    <cellStyle name="40% - Accent6 2 2 2 6 4" xfId="19331" xr:uid="{57B8ED80-873C-4ACF-81FE-EC55F801B979}"/>
    <cellStyle name="40% - Accent6 2 2 2 7" xfId="4596" xr:uid="{00000000-0005-0000-0000-0000F7060000}"/>
    <cellStyle name="40% - Accent6 2 2 2 7 2" xfId="13038" xr:uid="{E8137EAB-A31B-461A-9D82-6671C3F6A01E}"/>
    <cellStyle name="40% - Accent6 2 2 2 7 3" xfId="21484" xr:uid="{5FE187A3-006E-4BEE-81DC-E7191D857B2D}"/>
    <cellStyle name="40% - Accent6 2 2 2 8" xfId="8820" xr:uid="{0801DF9B-5039-4CF9-9B80-0E14739CD565}"/>
    <cellStyle name="40% - Accent6 2 2 2 9" xfId="17262" xr:uid="{67425818-D857-48FF-A3D4-6A7726529C47}"/>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0AD7B169-3ACC-4408-AD31-3D6D64A8E06D}"/>
    <cellStyle name="40% - Accent6 2 2 3 2 2 3" xfId="24042" xr:uid="{CF0A07F5-1A56-4A65-993B-E8839352956A}"/>
    <cellStyle name="40% - Accent6 2 2 3 2 3" xfId="11378" xr:uid="{EC774D79-5A65-4B4B-8BC6-C17712CA4FC8}"/>
    <cellStyle name="40% - Accent6 2 2 3 2 4" xfId="19825" xr:uid="{BBF81684-0B2D-429F-871B-D1E11BED478F}"/>
    <cellStyle name="40% - Accent6 2 2 3 3" xfId="5009" xr:uid="{00000000-0005-0000-0000-0000FB060000}"/>
    <cellStyle name="40% - Accent6 2 2 3 3 2" xfId="13451" xr:uid="{1284AB28-5BE5-45D8-BA78-BD1428C3AE53}"/>
    <cellStyle name="40% - Accent6 2 2 3 3 3" xfId="21897" xr:uid="{C993D927-2AD4-4C69-9E2D-18C0D7E747CE}"/>
    <cellStyle name="40% - Accent6 2 2 3 4" xfId="9233" xr:uid="{0F621C7C-B838-4FD5-BC01-443EB7D9DE51}"/>
    <cellStyle name="40% - Accent6 2 2 3 5" xfId="17678" xr:uid="{6AEF058F-DADC-4D1A-BBE4-1CECEA941C41}"/>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F62350D3-99E9-47E2-941E-7414984CF2A6}"/>
    <cellStyle name="40% - Accent6 2 2 4 2 2 3" xfId="24455" xr:uid="{620F816C-5F4D-404D-85E1-22E7E35FE314}"/>
    <cellStyle name="40% - Accent6 2 2 4 2 3" xfId="11791" xr:uid="{3996D33A-BAA5-4A6D-BE6C-D0281C03D657}"/>
    <cellStyle name="40% - Accent6 2 2 4 2 4" xfId="20238" xr:uid="{5893AB66-7E99-4FB2-A7FF-44411BED416E}"/>
    <cellStyle name="40% - Accent6 2 2 4 3" xfId="5422" xr:uid="{00000000-0005-0000-0000-0000FF060000}"/>
    <cellStyle name="40% - Accent6 2 2 4 3 2" xfId="13864" xr:uid="{4D2F433D-640C-476A-ADC3-3688C275161D}"/>
    <cellStyle name="40% - Accent6 2 2 4 3 3" xfId="22310" xr:uid="{46ADD31E-CD88-491C-AAAC-0E72CD663A4A}"/>
    <cellStyle name="40% - Accent6 2 2 4 4" xfId="9646" xr:uid="{25C2F0DA-2162-4878-A347-B07264CF1ED9}"/>
    <cellStyle name="40% - Accent6 2 2 4 5" xfId="18091" xr:uid="{D8C0DDE8-31C1-451C-BF00-D4F4AA69FF71}"/>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FDBB1EC4-D09A-4DD6-ADA8-DD28F4EAD2E2}"/>
    <cellStyle name="40% - Accent6 2 2 5 2 2 3" xfId="24868" xr:uid="{A2B44756-2082-439A-80A0-77BF8005865F}"/>
    <cellStyle name="40% - Accent6 2 2 5 2 3" xfId="12204" xr:uid="{CEE5D24A-E2A1-4AEC-87CA-FCA6A853A13B}"/>
    <cellStyle name="40% - Accent6 2 2 5 2 4" xfId="20651" xr:uid="{6ECC19F4-E03F-4FB6-B959-245FDFA5B44B}"/>
    <cellStyle name="40% - Accent6 2 2 5 3" xfId="5835" xr:uid="{00000000-0005-0000-0000-000003070000}"/>
    <cellStyle name="40% - Accent6 2 2 5 3 2" xfId="14277" xr:uid="{19D00F3B-A7EE-46FF-A70A-CA0D643539FA}"/>
    <cellStyle name="40% - Accent6 2 2 5 3 3" xfId="22723" xr:uid="{94160AEC-A995-4E51-B8F3-2901E6993E21}"/>
    <cellStyle name="40% - Accent6 2 2 5 4" xfId="10059" xr:uid="{5C43DB86-53A3-4FBD-A950-E2B12C1EC4F1}"/>
    <cellStyle name="40% - Accent6 2 2 5 5" xfId="18504" xr:uid="{E994F639-26AB-4F1E-80EC-0BA0CB4E3058}"/>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16F52991-7437-483A-82A0-CFBACDB33C94}"/>
    <cellStyle name="40% - Accent6 2 2 6 2 2 3" xfId="25281" xr:uid="{5D8AF7F8-12B3-4681-A679-9EC68BF56028}"/>
    <cellStyle name="40% - Accent6 2 2 6 2 3" xfId="12617" xr:uid="{8841EDFD-CEC4-4498-B94A-00B645F01557}"/>
    <cellStyle name="40% - Accent6 2 2 6 2 4" xfId="21064" xr:uid="{4DB47092-66E6-4256-970D-C51844D6702A}"/>
    <cellStyle name="40% - Accent6 2 2 6 3" xfId="6248" xr:uid="{00000000-0005-0000-0000-000007070000}"/>
    <cellStyle name="40% - Accent6 2 2 6 3 2" xfId="14690" xr:uid="{54FC8F36-723B-446D-81CD-5B13B35F73E7}"/>
    <cellStyle name="40% - Accent6 2 2 6 3 3" xfId="23136" xr:uid="{64A72548-C366-4D01-8834-39DD3872A8A7}"/>
    <cellStyle name="40% - Accent6 2 2 6 4" xfId="10472" xr:uid="{643469B7-2283-49AB-8C15-E769FB230843}"/>
    <cellStyle name="40% - Accent6 2 2 6 5" xfId="18917" xr:uid="{C25F6A71-0242-4204-A578-0E93C0157B8E}"/>
    <cellStyle name="40% - Accent6 2 2 7" xfId="2354" xr:uid="{00000000-0005-0000-0000-000008070000}"/>
    <cellStyle name="40% - Accent6 2 2 7 2" xfId="6661" xr:uid="{00000000-0005-0000-0000-000009070000}"/>
    <cellStyle name="40% - Accent6 2 2 7 2 2" xfId="15103" xr:uid="{D7A928C8-5BAB-4BBF-BD34-B115D38B915F}"/>
    <cellStyle name="40% - Accent6 2 2 7 2 3" xfId="23549" xr:uid="{930DF9AD-479F-40B2-9BCC-70155D8A352B}"/>
    <cellStyle name="40% - Accent6 2 2 7 3" xfId="10885" xr:uid="{FB877450-8763-425D-9072-6940C08AE30D}"/>
    <cellStyle name="40% - Accent6 2 2 7 4" xfId="19330" xr:uid="{88C689C0-4315-40F1-925A-4B57A5274468}"/>
    <cellStyle name="40% - Accent6 2 2 8" xfId="4595" xr:uid="{00000000-0005-0000-0000-00000A070000}"/>
    <cellStyle name="40% - Accent6 2 2 8 2" xfId="13037" xr:uid="{A98B1BC1-5CE2-459D-BEC2-4E873251EB93}"/>
    <cellStyle name="40% - Accent6 2 2 8 3" xfId="21483" xr:uid="{45CFCA16-4DD0-4238-823D-588B08301C84}"/>
    <cellStyle name="40% - Accent6 2 2 9" xfId="8819" xr:uid="{4CE0A731-AE50-40E2-89E5-1701AEE4A82E}"/>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A9C5B5C5-0AAA-468D-8ABC-2E50930A187E}"/>
    <cellStyle name="40% - Accent6 2 3 2 2 2 3" xfId="24044" xr:uid="{DB84B4A4-05AB-4485-BADB-77DA8C3F5D08}"/>
    <cellStyle name="40% - Accent6 2 3 2 2 3" xfId="11380" xr:uid="{49A426B6-CE5F-4435-9949-050A6936643D}"/>
    <cellStyle name="40% - Accent6 2 3 2 2 4" xfId="19827" xr:uid="{30A4FEB4-51D7-4473-98B6-9C4E43A54740}"/>
    <cellStyle name="40% - Accent6 2 3 2 3" xfId="5011" xr:uid="{00000000-0005-0000-0000-00000F070000}"/>
    <cellStyle name="40% - Accent6 2 3 2 3 2" xfId="13453" xr:uid="{40DCE1B0-49CE-4F2B-97E9-C51A0B40AACC}"/>
    <cellStyle name="40% - Accent6 2 3 2 3 3" xfId="21899" xr:uid="{558F9B05-E4EB-4AE7-ABC2-906A82B51EC5}"/>
    <cellStyle name="40% - Accent6 2 3 2 4" xfId="9235" xr:uid="{D586FEF5-2678-4112-8710-DE565F46CC24}"/>
    <cellStyle name="40% - Accent6 2 3 2 5" xfId="17680" xr:uid="{465E849D-D4FE-4877-97FB-649C2E9536E7}"/>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2943A3B2-B728-4048-B4E2-F8635AED4E15}"/>
    <cellStyle name="40% - Accent6 2 3 3 2 2 3" xfId="24457" xr:uid="{2D0F077C-B0CB-49C7-8612-7A3BB4607346}"/>
    <cellStyle name="40% - Accent6 2 3 3 2 3" xfId="11793" xr:uid="{30083F40-39E9-4612-A8D1-21FCF93316B8}"/>
    <cellStyle name="40% - Accent6 2 3 3 2 4" xfId="20240" xr:uid="{FF82AA7A-3399-4FB7-8EE9-F603A75797E0}"/>
    <cellStyle name="40% - Accent6 2 3 3 3" xfId="5424" xr:uid="{00000000-0005-0000-0000-000013070000}"/>
    <cellStyle name="40% - Accent6 2 3 3 3 2" xfId="13866" xr:uid="{AF0AE933-8990-4E31-AAB6-ACD82BD0C915}"/>
    <cellStyle name="40% - Accent6 2 3 3 3 3" xfId="22312" xr:uid="{0FD5539A-EE94-4D83-9635-97FA73E411D6}"/>
    <cellStyle name="40% - Accent6 2 3 3 4" xfId="9648" xr:uid="{DC768743-A52F-473D-BF84-9FFCCA50E7B4}"/>
    <cellStyle name="40% - Accent6 2 3 3 5" xfId="18093" xr:uid="{C1B923BC-7E42-4806-A3C5-B0E8FFD8B9D7}"/>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6DCE3A54-11AE-4364-A3EF-FEB8D9DEA548}"/>
    <cellStyle name="40% - Accent6 2 3 4 2 2 3" xfId="24870" xr:uid="{F856FB60-1D59-4C60-B5CD-1962B8FFA63D}"/>
    <cellStyle name="40% - Accent6 2 3 4 2 3" xfId="12206" xr:uid="{EE6DF519-212B-4260-B820-6FAA35230362}"/>
    <cellStyle name="40% - Accent6 2 3 4 2 4" xfId="20653" xr:uid="{67024092-6CA3-4A35-9D4C-36F449AFBEC9}"/>
    <cellStyle name="40% - Accent6 2 3 4 3" xfId="5837" xr:uid="{00000000-0005-0000-0000-000017070000}"/>
    <cellStyle name="40% - Accent6 2 3 4 3 2" xfId="14279" xr:uid="{E10F69C0-5FB7-40B8-A5F7-3A209F0AB8EC}"/>
    <cellStyle name="40% - Accent6 2 3 4 3 3" xfId="22725" xr:uid="{8F3BC94F-FA73-47CB-9435-659E611C89D4}"/>
    <cellStyle name="40% - Accent6 2 3 4 4" xfId="10061" xr:uid="{C7B2ADF8-1C7A-4059-B5B4-F98FB52ADBA8}"/>
    <cellStyle name="40% - Accent6 2 3 4 5" xfId="18506" xr:uid="{39BE43C0-7F43-4CFE-9349-9AC35CB33912}"/>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F09C0861-919A-4441-84C6-F3D1D613450B}"/>
    <cellStyle name="40% - Accent6 2 3 5 2 2 3" xfId="25283" xr:uid="{5671026A-D702-4376-8BD7-4574F25FB081}"/>
    <cellStyle name="40% - Accent6 2 3 5 2 3" xfId="12619" xr:uid="{7ACE2F29-4EEC-499B-8E66-313C2E2412D5}"/>
    <cellStyle name="40% - Accent6 2 3 5 2 4" xfId="21066" xr:uid="{D67939C5-3D37-4FD1-8607-96EFCC1BE126}"/>
    <cellStyle name="40% - Accent6 2 3 5 3" xfId="6250" xr:uid="{00000000-0005-0000-0000-00001B070000}"/>
    <cellStyle name="40% - Accent6 2 3 5 3 2" xfId="14692" xr:uid="{1D81FB6D-5B07-47C5-AE1F-68A5D8145D34}"/>
    <cellStyle name="40% - Accent6 2 3 5 3 3" xfId="23138" xr:uid="{C3D9104B-1744-40E1-A54B-D43D91DF4211}"/>
    <cellStyle name="40% - Accent6 2 3 5 4" xfId="10474" xr:uid="{4E69C1C1-15F0-4F9F-93F8-1A3F57EE1F08}"/>
    <cellStyle name="40% - Accent6 2 3 5 5" xfId="18919" xr:uid="{D5144FC6-D628-48FD-8D46-DC55DC4F0BB6}"/>
    <cellStyle name="40% - Accent6 2 3 6" xfId="2356" xr:uid="{00000000-0005-0000-0000-00001C070000}"/>
    <cellStyle name="40% - Accent6 2 3 6 2" xfId="6663" xr:uid="{00000000-0005-0000-0000-00001D070000}"/>
    <cellStyle name="40% - Accent6 2 3 6 2 2" xfId="15105" xr:uid="{F55F2094-0ADA-43B0-8171-9A27FB3E2F0A}"/>
    <cellStyle name="40% - Accent6 2 3 6 2 3" xfId="23551" xr:uid="{3836AC32-5FB4-442A-B841-22603952ACD6}"/>
    <cellStyle name="40% - Accent6 2 3 6 3" xfId="10887" xr:uid="{DF2EE546-7838-48C3-8590-F663EC541DA8}"/>
    <cellStyle name="40% - Accent6 2 3 6 4" xfId="19332" xr:uid="{88B819B8-3F7D-4262-B4F9-5FF9416A739B}"/>
    <cellStyle name="40% - Accent6 2 3 7" xfId="4597" xr:uid="{00000000-0005-0000-0000-00001E070000}"/>
    <cellStyle name="40% - Accent6 2 3 7 2" xfId="13039" xr:uid="{D3CB3AFB-09D4-4D43-939A-BDDB89CA0E49}"/>
    <cellStyle name="40% - Accent6 2 3 7 3" xfId="21485" xr:uid="{0C67D89D-D6E7-43DB-AFB7-E3B537FBBF86}"/>
    <cellStyle name="40% - Accent6 2 3 8" xfId="8821" xr:uid="{991AD24B-F37E-4A49-B07E-F9126FAC8FDE}"/>
    <cellStyle name="40% - Accent6 2 3 9" xfId="17263" xr:uid="{E9D1DE1F-525E-4C91-830B-2FEDB4222EED}"/>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3EE344D4-A8F5-497C-B4FB-7A6D4A33CA80}"/>
    <cellStyle name="40% - Accent6 2 4 2 2 3" xfId="24041" xr:uid="{6E0791AF-F204-49C1-B77C-0DC97F791D5D}"/>
    <cellStyle name="40% - Accent6 2 4 2 3" xfId="11377" xr:uid="{480C91F8-7348-4AEF-B991-89F9402E0299}"/>
    <cellStyle name="40% - Accent6 2 4 2 4" xfId="19824" xr:uid="{21C3EF55-2601-4434-9A4F-B82F22CF1CD7}"/>
    <cellStyle name="40% - Accent6 2 4 3" xfId="5008" xr:uid="{00000000-0005-0000-0000-000022070000}"/>
    <cellStyle name="40% - Accent6 2 4 3 2" xfId="13450" xr:uid="{A819C060-2C62-44F4-8A09-FC514FD5FDC9}"/>
    <cellStyle name="40% - Accent6 2 4 3 3" xfId="21896" xr:uid="{8F282748-340B-4F40-A597-C401D51B35ED}"/>
    <cellStyle name="40% - Accent6 2 4 4" xfId="9232" xr:uid="{9FF45A5D-AD7F-4AE5-BE0F-A508ECDCEF7F}"/>
    <cellStyle name="40% - Accent6 2 4 5" xfId="17677" xr:uid="{009EC01A-1C56-4E71-A785-501505F7ED1A}"/>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486758D6-2679-4385-B25A-2CD4B5052D5E}"/>
    <cellStyle name="40% - Accent6 2 5 2 2 3" xfId="24454" xr:uid="{38849B1B-DC0E-4AF5-9154-E0CDA9688E37}"/>
    <cellStyle name="40% - Accent6 2 5 2 3" xfId="11790" xr:uid="{DB714EC7-9DF1-483A-A14D-6393DD7E143D}"/>
    <cellStyle name="40% - Accent6 2 5 2 4" xfId="20237" xr:uid="{98B86923-711B-4E06-8B51-6D207F0D593A}"/>
    <cellStyle name="40% - Accent6 2 5 3" xfId="5421" xr:uid="{00000000-0005-0000-0000-000026070000}"/>
    <cellStyle name="40% - Accent6 2 5 3 2" xfId="13863" xr:uid="{3BCA446C-991E-43F3-8B39-82130A5C0C82}"/>
    <cellStyle name="40% - Accent6 2 5 3 3" xfId="22309" xr:uid="{57B5660B-5188-4EAC-BF13-BED7FF543B4D}"/>
    <cellStyle name="40% - Accent6 2 5 4" xfId="9645" xr:uid="{0417A6FD-1561-4802-8727-905732629671}"/>
    <cellStyle name="40% - Accent6 2 5 5" xfId="18090" xr:uid="{D51F4F84-42B1-4996-B021-AD1E0E05C702}"/>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E2D245E2-95FF-4A3B-AB73-4A23F3B173B2}"/>
    <cellStyle name="40% - Accent6 2 6 2 2 3" xfId="24867" xr:uid="{08CDA9F7-D475-4BDA-813A-31427B977830}"/>
    <cellStyle name="40% - Accent6 2 6 2 3" xfId="12203" xr:uid="{91833EC9-5CBF-4BD3-B7DC-A4F94B7FA2DE}"/>
    <cellStyle name="40% - Accent6 2 6 2 4" xfId="20650" xr:uid="{39C2F6ED-1B05-4F10-80E2-E7E6199F84C4}"/>
    <cellStyle name="40% - Accent6 2 6 3" xfId="5834" xr:uid="{00000000-0005-0000-0000-00002A070000}"/>
    <cellStyle name="40% - Accent6 2 6 3 2" xfId="14276" xr:uid="{C9ED896D-9F3A-4C1A-99E3-18850E932F6A}"/>
    <cellStyle name="40% - Accent6 2 6 3 3" xfId="22722" xr:uid="{39B0171E-6ACE-454D-807C-1B4F5B1971B1}"/>
    <cellStyle name="40% - Accent6 2 6 4" xfId="10058" xr:uid="{ECAA78BE-2D5B-45FF-B520-1B59B7AB4D73}"/>
    <cellStyle name="40% - Accent6 2 6 5" xfId="18503" xr:uid="{F62E52A7-8649-4079-838F-5C97C5A3251B}"/>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D6787BA0-E61B-4A0F-A8D2-6851638EB4D4}"/>
    <cellStyle name="40% - Accent6 2 7 2 2 3" xfId="25280" xr:uid="{3007B030-746E-43DD-8CAE-1DF5DCC138A4}"/>
    <cellStyle name="40% - Accent6 2 7 2 3" xfId="12616" xr:uid="{CEBD025E-4DD2-4F8E-9691-59CB14247EF8}"/>
    <cellStyle name="40% - Accent6 2 7 2 4" xfId="21063" xr:uid="{FA2B26DF-48FF-40C5-9D9F-E21EDD5FA0BE}"/>
    <cellStyle name="40% - Accent6 2 7 3" xfId="6247" xr:uid="{00000000-0005-0000-0000-00002E070000}"/>
    <cellStyle name="40% - Accent6 2 7 3 2" xfId="14689" xr:uid="{B4426DBD-A8B5-4B8F-B6DC-A718C236E176}"/>
    <cellStyle name="40% - Accent6 2 7 3 3" xfId="23135" xr:uid="{F7C62AC5-96E1-4E18-94AB-1A59566A1B75}"/>
    <cellStyle name="40% - Accent6 2 7 4" xfId="10471" xr:uid="{57A7AAFF-C84E-4E0D-9A69-15C335D8089C}"/>
    <cellStyle name="40% - Accent6 2 7 5" xfId="18916" xr:uid="{91344F6D-20E7-48EF-BB9A-437581A358FF}"/>
    <cellStyle name="40% - Accent6 2 8" xfId="2353" xr:uid="{00000000-0005-0000-0000-00002F070000}"/>
    <cellStyle name="40% - Accent6 2 8 2" xfId="6660" xr:uid="{00000000-0005-0000-0000-000030070000}"/>
    <cellStyle name="40% - Accent6 2 8 2 2" xfId="15102" xr:uid="{A2BACB9B-67BB-4939-B22B-4A923349476B}"/>
    <cellStyle name="40% - Accent6 2 8 2 3" xfId="23548" xr:uid="{3D649EBF-F698-4E3A-99F9-9F3229C6CA52}"/>
    <cellStyle name="40% - Accent6 2 8 3" xfId="10884" xr:uid="{6B8DF142-C7EE-4945-9B99-D214A52CBC6E}"/>
    <cellStyle name="40% - Accent6 2 8 4" xfId="19329" xr:uid="{D1575193-C7A9-4505-927F-398548713205}"/>
    <cellStyle name="40% - Accent6 2 9" xfId="4594" xr:uid="{00000000-0005-0000-0000-000031070000}"/>
    <cellStyle name="40% - Accent6 2 9 2" xfId="13036" xr:uid="{A28C2278-E271-4422-9531-2A0A1854692F}"/>
    <cellStyle name="40% - Accent6 2 9 3" xfId="21482" xr:uid="{598FD88E-1343-40F0-BD65-7559C4FAABA0}"/>
    <cellStyle name="40% - Accent6 3" xfId="94" xr:uid="{00000000-0005-0000-0000-000032070000}"/>
    <cellStyle name="40% - Accent6 3 10" xfId="17264" xr:uid="{EDA73285-BE1D-4D8E-9538-CB2811DBEFC1}"/>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CE0F43B4-32C4-4A6A-83A2-65255A81B27C}"/>
    <cellStyle name="40% - Accent6 3 2 2 2 2 3" xfId="24046" xr:uid="{35DE3256-DE62-417A-A303-C95F782D2D01}"/>
    <cellStyle name="40% - Accent6 3 2 2 2 3" xfId="11382" xr:uid="{71565647-002D-46F4-829F-A4303AADD010}"/>
    <cellStyle name="40% - Accent6 3 2 2 2 4" xfId="19829" xr:uid="{E6B70F78-1D82-4B72-9DFA-200BD378119A}"/>
    <cellStyle name="40% - Accent6 3 2 2 3" xfId="5013" xr:uid="{00000000-0005-0000-0000-000037070000}"/>
    <cellStyle name="40% - Accent6 3 2 2 3 2" xfId="13455" xr:uid="{F888683E-1307-4825-8456-AE397555F5BC}"/>
    <cellStyle name="40% - Accent6 3 2 2 3 3" xfId="21901" xr:uid="{2E726EC7-CEEA-4A28-8C9A-9EBBB0542202}"/>
    <cellStyle name="40% - Accent6 3 2 2 4" xfId="9237" xr:uid="{3C351011-01AF-4E68-B3CF-56354DAAA278}"/>
    <cellStyle name="40% - Accent6 3 2 2 5" xfId="17682" xr:uid="{9D90E37E-3FFC-410C-AE91-7A8CA004A5A7}"/>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A2738D09-2934-4B7E-88E4-563F2D2CAF75}"/>
    <cellStyle name="40% - Accent6 3 2 3 2 2 3" xfId="24459" xr:uid="{B0038EB7-2A1C-4343-A69C-E8AD3301249F}"/>
    <cellStyle name="40% - Accent6 3 2 3 2 3" xfId="11795" xr:uid="{EF318473-C0B8-4CAA-8A0B-0F1F9164E25B}"/>
    <cellStyle name="40% - Accent6 3 2 3 2 4" xfId="20242" xr:uid="{6B90449C-7D34-44D7-B84A-C3E5D68360C8}"/>
    <cellStyle name="40% - Accent6 3 2 3 3" xfId="5426" xr:uid="{00000000-0005-0000-0000-00003B070000}"/>
    <cellStyle name="40% - Accent6 3 2 3 3 2" xfId="13868" xr:uid="{5A891B0B-8AD8-4093-A08C-E8CC55536691}"/>
    <cellStyle name="40% - Accent6 3 2 3 3 3" xfId="22314" xr:uid="{2DF8529C-A408-40A4-9F19-75850903F567}"/>
    <cellStyle name="40% - Accent6 3 2 3 4" xfId="9650" xr:uid="{1BDC4309-AB53-428B-85BE-E8167977381E}"/>
    <cellStyle name="40% - Accent6 3 2 3 5" xfId="18095" xr:uid="{D38231DE-CDB4-4E8B-B0A0-339D9A341608}"/>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07160CA4-1EF1-4DE6-9B1A-EA0F563D9A10}"/>
    <cellStyle name="40% - Accent6 3 2 4 2 2 3" xfId="24872" xr:uid="{D3D2A042-77FA-435B-9C0C-BE09CA57C348}"/>
    <cellStyle name="40% - Accent6 3 2 4 2 3" xfId="12208" xr:uid="{19268EB7-763F-45BB-9CB5-D3B8602F3366}"/>
    <cellStyle name="40% - Accent6 3 2 4 2 4" xfId="20655" xr:uid="{FCD952D4-FD97-423D-AACA-A1BEBC55C656}"/>
    <cellStyle name="40% - Accent6 3 2 4 3" xfId="5839" xr:uid="{00000000-0005-0000-0000-00003F070000}"/>
    <cellStyle name="40% - Accent6 3 2 4 3 2" xfId="14281" xr:uid="{51B9A7D9-CC13-453D-8DC5-4C75E621997E}"/>
    <cellStyle name="40% - Accent6 3 2 4 3 3" xfId="22727" xr:uid="{80B716A7-D99E-4051-BFBD-6BE90092A27C}"/>
    <cellStyle name="40% - Accent6 3 2 4 4" xfId="10063" xr:uid="{632AF541-73EA-4FEC-B16B-FD5091F80290}"/>
    <cellStyle name="40% - Accent6 3 2 4 5" xfId="18508" xr:uid="{B697FC83-0C26-40A4-B706-FFFD0760E160}"/>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A4A80A23-D7AD-43B2-BC5D-B7DC11357412}"/>
    <cellStyle name="40% - Accent6 3 2 5 2 2 3" xfId="25285" xr:uid="{2F51D760-5804-4FF9-8A40-8F2598B515CA}"/>
    <cellStyle name="40% - Accent6 3 2 5 2 3" xfId="12621" xr:uid="{7A3C7EDB-51A7-4209-9757-AFF6D0E9FCCA}"/>
    <cellStyle name="40% - Accent6 3 2 5 2 4" xfId="21068" xr:uid="{9978603D-B150-49B5-8244-6B20AA2F135D}"/>
    <cellStyle name="40% - Accent6 3 2 5 3" xfId="6252" xr:uid="{00000000-0005-0000-0000-000043070000}"/>
    <cellStyle name="40% - Accent6 3 2 5 3 2" xfId="14694" xr:uid="{E0347B6D-B3AE-4BA8-BFD2-5517B002D240}"/>
    <cellStyle name="40% - Accent6 3 2 5 3 3" xfId="23140" xr:uid="{D95F8E4F-41DF-4AEE-85B1-3706550529A6}"/>
    <cellStyle name="40% - Accent6 3 2 5 4" xfId="10476" xr:uid="{CC850451-537D-4324-956A-B54C5829FE81}"/>
    <cellStyle name="40% - Accent6 3 2 5 5" xfId="18921" xr:uid="{C3C489A9-E653-4086-A5BC-12696CBA345E}"/>
    <cellStyle name="40% - Accent6 3 2 6" xfId="2358" xr:uid="{00000000-0005-0000-0000-000044070000}"/>
    <cellStyle name="40% - Accent6 3 2 6 2" xfId="6665" xr:uid="{00000000-0005-0000-0000-000045070000}"/>
    <cellStyle name="40% - Accent6 3 2 6 2 2" xfId="15107" xr:uid="{AD8AEA62-DD82-4143-B221-A61CAC5AC6EC}"/>
    <cellStyle name="40% - Accent6 3 2 6 2 3" xfId="23553" xr:uid="{CD5127F2-6C80-4475-A9CE-831AB486CFE9}"/>
    <cellStyle name="40% - Accent6 3 2 6 3" xfId="10889" xr:uid="{587704D8-C4FC-4B8C-9D14-FD0FA0A5D06D}"/>
    <cellStyle name="40% - Accent6 3 2 6 4" xfId="19334" xr:uid="{7BB2D434-00BA-475F-B66C-CD748A442A3A}"/>
    <cellStyle name="40% - Accent6 3 2 7" xfId="4599" xr:uid="{00000000-0005-0000-0000-000046070000}"/>
    <cellStyle name="40% - Accent6 3 2 7 2" xfId="13041" xr:uid="{5BAB8D89-6EED-46CD-9763-1F329C324F45}"/>
    <cellStyle name="40% - Accent6 3 2 7 3" xfId="21487" xr:uid="{E8CEA15A-DFBC-4670-B735-A65BFEF60A3B}"/>
    <cellStyle name="40% - Accent6 3 2 8" xfId="8823" xr:uid="{D0F48A8C-382F-4369-B0D0-7CCFA1632741}"/>
    <cellStyle name="40% - Accent6 3 2 9" xfId="17265" xr:uid="{787E7399-673F-4429-953B-06E0113964E1}"/>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5E94AA0F-1224-4957-86C7-1B96F8FA3F1C}"/>
    <cellStyle name="40% - Accent6 3 3 2 2 3" xfId="24045" xr:uid="{F0FC1DD2-61EE-458D-8F93-E4CBD74135B4}"/>
    <cellStyle name="40% - Accent6 3 3 2 3" xfId="11381" xr:uid="{0846DBF5-418F-46BB-BE16-E5787DE46026}"/>
    <cellStyle name="40% - Accent6 3 3 2 4" xfId="19828" xr:uid="{F6603AC1-6B3C-4642-BF34-8079812B2CBF}"/>
    <cellStyle name="40% - Accent6 3 3 3" xfId="5012" xr:uid="{00000000-0005-0000-0000-00004A070000}"/>
    <cellStyle name="40% - Accent6 3 3 3 2" xfId="13454" xr:uid="{B89F29AC-F7E4-46C4-8563-6B1F8A9E95DC}"/>
    <cellStyle name="40% - Accent6 3 3 3 3" xfId="21900" xr:uid="{6CE80F4A-94E6-4573-AFA0-7AEE5C616FA3}"/>
    <cellStyle name="40% - Accent6 3 3 4" xfId="9236" xr:uid="{CF227147-6947-421A-AE5A-779DD82DABC5}"/>
    <cellStyle name="40% - Accent6 3 3 5" xfId="17681" xr:uid="{068D432E-C68A-4729-B3B4-9EA4C7733BFD}"/>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405014DA-6C77-44E0-A2A6-D092EA5FF199}"/>
    <cellStyle name="40% - Accent6 3 4 2 2 3" xfId="24458" xr:uid="{CD96BF24-00FD-4002-B001-78EBFC403A57}"/>
    <cellStyle name="40% - Accent6 3 4 2 3" xfId="11794" xr:uid="{2CA12DD4-AE19-42C9-9797-C4987626102D}"/>
    <cellStyle name="40% - Accent6 3 4 2 4" xfId="20241" xr:uid="{A29D5E54-F60F-4F9F-94C3-0DBBBC082CCB}"/>
    <cellStyle name="40% - Accent6 3 4 3" xfId="5425" xr:uid="{00000000-0005-0000-0000-00004E070000}"/>
    <cellStyle name="40% - Accent6 3 4 3 2" xfId="13867" xr:uid="{24737281-790B-4568-9BDC-D03722D219C0}"/>
    <cellStyle name="40% - Accent6 3 4 3 3" xfId="22313" xr:uid="{F4D4A045-AA04-484A-8434-D3188733B69E}"/>
    <cellStyle name="40% - Accent6 3 4 4" xfId="9649" xr:uid="{5600BA56-D3B9-4A68-BB8A-AC12A248438E}"/>
    <cellStyle name="40% - Accent6 3 4 5" xfId="18094" xr:uid="{C6D25A94-1CF1-4B7E-BBB8-65F42D49D9C6}"/>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BC5517A4-0891-44E6-BA3A-6ED195D0541B}"/>
    <cellStyle name="40% - Accent6 3 5 2 2 3" xfId="24871" xr:uid="{B06E1DD3-A89A-436C-8BEB-FD8794377E16}"/>
    <cellStyle name="40% - Accent6 3 5 2 3" xfId="12207" xr:uid="{B37EA96C-1BF7-46D6-9454-4249256BD99B}"/>
    <cellStyle name="40% - Accent6 3 5 2 4" xfId="20654" xr:uid="{740798B1-40FB-4907-AB75-3451CAB439E7}"/>
    <cellStyle name="40% - Accent6 3 5 3" xfId="5838" xr:uid="{00000000-0005-0000-0000-000052070000}"/>
    <cellStyle name="40% - Accent6 3 5 3 2" xfId="14280" xr:uid="{33DB5778-FD78-4AE0-9A3E-C4C66C80AC84}"/>
    <cellStyle name="40% - Accent6 3 5 3 3" xfId="22726" xr:uid="{C35804B7-3304-41AA-B065-A37F524ABA1B}"/>
    <cellStyle name="40% - Accent6 3 5 4" xfId="10062" xr:uid="{498D8B5D-45E5-403F-B0F8-883010F26BA1}"/>
    <cellStyle name="40% - Accent6 3 5 5" xfId="18507" xr:uid="{B5CEB383-894C-4F5F-9C3D-C73BF6D1C017}"/>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38C5DF73-6B55-4B01-8346-F134D1536B10}"/>
    <cellStyle name="40% - Accent6 3 6 2 2 3" xfId="25284" xr:uid="{BA8ED8E6-3329-4A55-8BFC-AA9147F59743}"/>
    <cellStyle name="40% - Accent6 3 6 2 3" xfId="12620" xr:uid="{81D64BDE-AD49-480F-B289-07090C257E66}"/>
    <cellStyle name="40% - Accent6 3 6 2 4" xfId="21067" xr:uid="{6A28EE0B-3C0A-4971-A8CA-776704CCBE60}"/>
    <cellStyle name="40% - Accent6 3 6 3" xfId="6251" xr:uid="{00000000-0005-0000-0000-000056070000}"/>
    <cellStyle name="40% - Accent6 3 6 3 2" xfId="14693" xr:uid="{B00CC664-0D5F-462B-865A-C4B6E93894D2}"/>
    <cellStyle name="40% - Accent6 3 6 3 3" xfId="23139" xr:uid="{573741EB-C0D8-4A96-82FD-ED78F588D799}"/>
    <cellStyle name="40% - Accent6 3 6 4" xfId="10475" xr:uid="{1C96C1B0-8E06-4832-A396-E9019B6BC844}"/>
    <cellStyle name="40% - Accent6 3 6 5" xfId="18920" xr:uid="{47B5EFE3-83C9-4AA3-8299-A11E0F537A4A}"/>
    <cellStyle name="40% - Accent6 3 7" xfId="2357" xr:uid="{00000000-0005-0000-0000-000057070000}"/>
    <cellStyle name="40% - Accent6 3 7 2" xfId="6664" xr:uid="{00000000-0005-0000-0000-000058070000}"/>
    <cellStyle name="40% - Accent6 3 7 2 2" xfId="15106" xr:uid="{6DE23F75-5DA2-4755-A92A-23E1A154EE59}"/>
    <cellStyle name="40% - Accent6 3 7 2 3" xfId="23552" xr:uid="{08A187BF-551C-4D08-9D25-152C4B370E85}"/>
    <cellStyle name="40% - Accent6 3 7 3" xfId="10888" xr:uid="{CAB9F629-84B6-428D-AF5A-3AAB9F271437}"/>
    <cellStyle name="40% - Accent6 3 7 4" xfId="19333" xr:uid="{2C0109F4-F99A-430F-8ECA-9AA9DE3DACC3}"/>
    <cellStyle name="40% - Accent6 3 8" xfId="4598" xr:uid="{00000000-0005-0000-0000-000059070000}"/>
    <cellStyle name="40% - Accent6 3 8 2" xfId="13040" xr:uid="{1A82EC92-1A85-4456-9890-D1512AF5EEEC}"/>
    <cellStyle name="40% - Accent6 3 8 3" xfId="21486" xr:uid="{108DE4DE-EFB3-49CF-8E61-F7B363080B9F}"/>
    <cellStyle name="40% - Accent6 3 9" xfId="8822" xr:uid="{C40FAF1F-086B-41B1-91C0-B9B136C744F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D2094310-A9D6-4F2F-9E73-93A91CC028D4}"/>
    <cellStyle name="40% - Accent6 4 2 2 2 3" xfId="24047" xr:uid="{53CCFB72-899C-42C3-B7B0-59107B3D9781}"/>
    <cellStyle name="40% - Accent6 4 2 2 3" xfId="11383" xr:uid="{D4433004-194E-4E0F-866D-3AD260B14326}"/>
    <cellStyle name="40% - Accent6 4 2 2 4" xfId="19830" xr:uid="{B4711913-7CCF-4B77-A702-1958B4ABB827}"/>
    <cellStyle name="40% - Accent6 4 2 3" xfId="5014" xr:uid="{00000000-0005-0000-0000-00005E070000}"/>
    <cellStyle name="40% - Accent6 4 2 3 2" xfId="13456" xr:uid="{EC14189A-00C1-4EA1-B492-CCDA9EA4C18A}"/>
    <cellStyle name="40% - Accent6 4 2 3 3" xfId="21902" xr:uid="{C5D9F2F0-6C06-4319-AD69-8BC51D9D53C2}"/>
    <cellStyle name="40% - Accent6 4 2 4" xfId="9238" xr:uid="{2E6C853F-9713-48F1-BF3A-4659B6CDF79E}"/>
    <cellStyle name="40% - Accent6 4 2 5" xfId="17683" xr:uid="{795953D8-9552-4663-995B-D56698980D16}"/>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EB9B2C37-B2DD-4982-91FD-FBA5193B8FF2}"/>
    <cellStyle name="40% - Accent6 4 3 2 2 3" xfId="24460" xr:uid="{E3F66B3A-59F1-49D6-8B75-A5AF0A849968}"/>
    <cellStyle name="40% - Accent6 4 3 2 3" xfId="11796" xr:uid="{13FA7594-B91F-4D23-9A17-37FED9F79705}"/>
    <cellStyle name="40% - Accent6 4 3 2 4" xfId="20243" xr:uid="{666A18EB-8936-4D46-899B-4BDA424FA3CA}"/>
    <cellStyle name="40% - Accent6 4 3 3" xfId="5427" xr:uid="{00000000-0005-0000-0000-000062070000}"/>
    <cellStyle name="40% - Accent6 4 3 3 2" xfId="13869" xr:uid="{F519D0D0-F33E-4368-8494-F923171A6052}"/>
    <cellStyle name="40% - Accent6 4 3 3 3" xfId="22315" xr:uid="{4380E599-52AC-4D33-BF83-D6ED69E41D0A}"/>
    <cellStyle name="40% - Accent6 4 3 4" xfId="9651" xr:uid="{642B30E0-86D5-4B98-BF85-951C4818514E}"/>
    <cellStyle name="40% - Accent6 4 3 5" xfId="18096" xr:uid="{634AC207-BF5C-4EF5-8EFE-2755F954124E}"/>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D5EC2547-71C6-47DE-8C41-F5D9F3685F10}"/>
    <cellStyle name="40% - Accent6 4 4 2 2 3" xfId="24873" xr:uid="{007734DD-91FE-42A3-AB31-6E8F0D09E1F3}"/>
    <cellStyle name="40% - Accent6 4 4 2 3" xfId="12209" xr:uid="{051BB71C-BEF1-4436-AB3A-302FB138DCE1}"/>
    <cellStyle name="40% - Accent6 4 4 2 4" xfId="20656" xr:uid="{A5821132-2A7C-4D08-B9AE-979B32A8C598}"/>
    <cellStyle name="40% - Accent6 4 4 3" xfId="5840" xr:uid="{00000000-0005-0000-0000-000066070000}"/>
    <cellStyle name="40% - Accent6 4 4 3 2" xfId="14282" xr:uid="{3751169D-B581-4516-987C-10553549579C}"/>
    <cellStyle name="40% - Accent6 4 4 3 3" xfId="22728" xr:uid="{5FEB5C83-577C-466F-A8FC-E68A5F5C0AD9}"/>
    <cellStyle name="40% - Accent6 4 4 4" xfId="10064" xr:uid="{9FCD8173-7E09-4771-A753-BF85772F3256}"/>
    <cellStyle name="40% - Accent6 4 4 5" xfId="18509" xr:uid="{924E9CE1-F66E-4FC6-94FC-F2DA85C158A1}"/>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82491C1C-9545-49BF-8526-C757134AE910}"/>
    <cellStyle name="40% - Accent6 4 5 2 2 3" xfId="25286" xr:uid="{364CE66C-554A-418F-B3CE-0664EC16E2BC}"/>
    <cellStyle name="40% - Accent6 4 5 2 3" xfId="12622" xr:uid="{8D22AA2A-DDBB-4581-AEA1-BB205EC3B86E}"/>
    <cellStyle name="40% - Accent6 4 5 2 4" xfId="21069" xr:uid="{C5A6660E-563F-4A65-95C9-D8D586D0A0D5}"/>
    <cellStyle name="40% - Accent6 4 5 3" xfId="6253" xr:uid="{00000000-0005-0000-0000-00006A070000}"/>
    <cellStyle name="40% - Accent6 4 5 3 2" xfId="14695" xr:uid="{A5C137AC-A1FD-45A0-ABCD-27FB5CC93D1B}"/>
    <cellStyle name="40% - Accent6 4 5 3 3" xfId="23141" xr:uid="{E82EBA80-A805-4042-BC78-76189B173BFC}"/>
    <cellStyle name="40% - Accent6 4 5 4" xfId="10477" xr:uid="{51F75259-0364-4A99-8EA8-1202B0FA99AB}"/>
    <cellStyle name="40% - Accent6 4 5 5" xfId="18922" xr:uid="{8F61C495-2FF0-4AF9-BB60-2D1F432C72BB}"/>
    <cellStyle name="40% - Accent6 4 6" xfId="2359" xr:uid="{00000000-0005-0000-0000-00006B070000}"/>
    <cellStyle name="40% - Accent6 4 6 2" xfId="6666" xr:uid="{00000000-0005-0000-0000-00006C070000}"/>
    <cellStyle name="40% - Accent6 4 6 2 2" xfId="15108" xr:uid="{9911A287-7D49-4D1C-A01C-F624F034A330}"/>
    <cellStyle name="40% - Accent6 4 6 2 3" xfId="23554" xr:uid="{F2B43C81-55F6-4DE5-AACB-037295D34BAC}"/>
    <cellStyle name="40% - Accent6 4 6 3" xfId="10890" xr:uid="{F11B4A1F-5AF7-4C57-8691-0B432EA32FCE}"/>
    <cellStyle name="40% - Accent6 4 6 4" xfId="19335" xr:uid="{D04A0B2D-60FE-4D1C-B47F-8DF8B366BD62}"/>
    <cellStyle name="40% - Accent6 4 7" xfId="4600" xr:uid="{00000000-0005-0000-0000-00006D070000}"/>
    <cellStyle name="40% - Accent6 4 7 2" xfId="13042" xr:uid="{763CEF11-D044-4894-AF54-B9470FE2F308}"/>
    <cellStyle name="40% - Accent6 4 7 3" xfId="21488" xr:uid="{F2D2CAC6-217A-4F6A-AE47-885CD1AA611D}"/>
    <cellStyle name="40% - Accent6 4 8" xfId="8824" xr:uid="{904D0027-55F6-4188-A968-19279E28DC34}"/>
    <cellStyle name="40% - Accent6 4 9" xfId="17266" xr:uid="{9CAF7B5D-88B7-48E7-9140-ECB60FF4680A}"/>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4A37C824-7803-4EE8-A4D1-A07169CE082F}"/>
    <cellStyle name="40% - Accent6 5 2 2 3" xfId="24040" xr:uid="{5134DB65-A7D8-498D-AFFB-9F1C305EB180}"/>
    <cellStyle name="40% - Accent6 5 2 3" xfId="11376" xr:uid="{EB0D9A6C-3DFD-4AA8-8EEA-EFCCEA8DE304}"/>
    <cellStyle name="40% - Accent6 5 2 4" xfId="19823" xr:uid="{62B6CB85-2126-4A5A-A81E-109A8E7160C9}"/>
    <cellStyle name="40% - Accent6 5 3" xfId="5007" xr:uid="{00000000-0005-0000-0000-000071070000}"/>
    <cellStyle name="40% - Accent6 5 3 2" xfId="13449" xr:uid="{410FB899-C6CE-4810-9399-1187C1AB921F}"/>
    <cellStyle name="40% - Accent6 5 3 3" xfId="21895" xr:uid="{DF22213D-7836-4516-AB98-3563ABB0D90C}"/>
    <cellStyle name="40% - Accent6 5 4" xfId="9231" xr:uid="{DE750146-20C3-4FA4-AF7B-321229CECE31}"/>
    <cellStyle name="40% - Accent6 5 5" xfId="17676" xr:uid="{BC522D2B-6EAD-4C6D-8532-642BC5261EA4}"/>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941BC7AF-FC69-4E82-B942-CFFF11884E1E}"/>
    <cellStyle name="40% - Accent6 6 2 2 3" xfId="24453" xr:uid="{2D42844E-FDC2-483B-A69E-909EC4C99564}"/>
    <cellStyle name="40% - Accent6 6 2 3" xfId="11789" xr:uid="{15446FF5-4BFD-4286-BADB-5ECDC060A8FA}"/>
    <cellStyle name="40% - Accent6 6 2 4" xfId="20236" xr:uid="{647F52FF-37B3-4F17-BB24-054CD21FB99E}"/>
    <cellStyle name="40% - Accent6 6 3" xfId="5420" xr:uid="{00000000-0005-0000-0000-000075070000}"/>
    <cellStyle name="40% - Accent6 6 3 2" xfId="13862" xr:uid="{09423307-3E6A-442E-AA22-A3D87C839951}"/>
    <cellStyle name="40% - Accent6 6 3 3" xfId="22308" xr:uid="{3C4D2042-8020-48B2-9F6F-18CDCF9AB8DE}"/>
    <cellStyle name="40% - Accent6 6 4" xfId="9644" xr:uid="{A9B5A5DB-1B13-449D-B793-E48E6E98CD03}"/>
    <cellStyle name="40% - Accent6 6 5" xfId="18089" xr:uid="{CCE1FB1C-D1CA-46A4-9416-89172715C8BB}"/>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2BB44DEB-3257-4C96-B54D-428D3455C5C6}"/>
    <cellStyle name="40% - Accent6 7 2 2 3" xfId="24866" xr:uid="{9E7FEE0D-CE35-4778-81B3-F752A44D9272}"/>
    <cellStyle name="40% - Accent6 7 2 3" xfId="12202" xr:uid="{563F055F-B064-483B-B39D-B46598F652D1}"/>
    <cellStyle name="40% - Accent6 7 2 4" xfId="20649" xr:uid="{B0D54978-E845-4F24-B9DF-7293897487A6}"/>
    <cellStyle name="40% - Accent6 7 3" xfId="5833" xr:uid="{00000000-0005-0000-0000-000079070000}"/>
    <cellStyle name="40% - Accent6 7 3 2" xfId="14275" xr:uid="{51D4189E-8E91-4694-AC75-F0B5331F999C}"/>
    <cellStyle name="40% - Accent6 7 3 3" xfId="22721" xr:uid="{6AAFAA03-D7C9-4648-8E47-03C8DE0B8DED}"/>
    <cellStyle name="40% - Accent6 7 4" xfId="10057" xr:uid="{B5B30F08-A9BC-41BF-86DA-E97010B5E0EE}"/>
    <cellStyle name="40% - Accent6 7 5" xfId="18502" xr:uid="{FFBBBA13-ACDF-4594-A1C1-38501E01EB3A}"/>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3F313151-BC54-42D3-83EB-70C646C5BF45}"/>
    <cellStyle name="40% - Accent6 8 2 2 3" xfId="25279" xr:uid="{EBDD1AE9-D03C-4FF0-ACE6-38AFFC041299}"/>
    <cellStyle name="40% - Accent6 8 2 3" xfId="12615" xr:uid="{1D20945F-66C6-4F8C-9386-DD11917E131C}"/>
    <cellStyle name="40% - Accent6 8 2 4" xfId="21062" xr:uid="{31C505BD-FA78-49CE-B551-70186AE187C4}"/>
    <cellStyle name="40% - Accent6 8 3" xfId="6246" xr:uid="{00000000-0005-0000-0000-00007D070000}"/>
    <cellStyle name="40% - Accent6 8 3 2" xfId="14688" xr:uid="{CFD408BE-BB9E-4039-A828-3B9C2841C817}"/>
    <cellStyle name="40% - Accent6 8 3 3" xfId="23134" xr:uid="{AA4B7DCC-9E4F-4F15-9F52-CEC50DDE57FC}"/>
    <cellStyle name="40% - Accent6 8 4" xfId="10470" xr:uid="{4F6FCFE5-4180-4E0D-A886-36C20698F01B}"/>
    <cellStyle name="40% - Accent6 8 5" xfId="18915" xr:uid="{10AE385A-8C0C-4084-948C-9B6F82D55F65}"/>
    <cellStyle name="40% - Accent6 9" xfId="2352" xr:uid="{00000000-0005-0000-0000-00007E070000}"/>
    <cellStyle name="40% - Accent6 9 2" xfId="6659" xr:uid="{00000000-0005-0000-0000-00007F070000}"/>
    <cellStyle name="40% - Accent6 9 2 2" xfId="15101" xr:uid="{403545E3-3B30-4ACA-B47A-5FD421C380A4}"/>
    <cellStyle name="40% - Accent6 9 2 3" xfId="23547" xr:uid="{5117A78B-FF3A-4AC5-9255-50CBDB2F7D7D}"/>
    <cellStyle name="40% - Accent6 9 3" xfId="10883" xr:uid="{9457759B-070F-4DB2-8BAC-D3DEDDA138C8}"/>
    <cellStyle name="40% - Accent6 9 4" xfId="19328" xr:uid="{3E99EFE4-0B0D-4504-A04F-E7903564D846}"/>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Bad 2 2" xfId="25654" xr:uid="{F69D1DE4-2136-4DFF-808B-E4AD393743F3}"/>
    <cellStyle name="Calculation" xfId="119" builtinId="22" customBuiltin="1"/>
    <cellStyle name="Calculation 2" xfId="120" xr:uid="{00000000-0005-0000-0000-000097070000}"/>
    <cellStyle name="Check Cell" xfId="121" builtinId="23" customBuiltin="1"/>
    <cellStyle name="Comma" xfId="4504" builtinId="3"/>
    <cellStyle name="Comma 10" xfId="25655" xr:uid="{F31B5208-6F31-44C8-A260-42FAEAF2B614}"/>
    <cellStyle name="Comma 11" xfId="25753" xr:uid="{2F3CC581-05E4-4A2C-B217-BE536E5BAC33}"/>
    <cellStyle name="Comma 2" xfId="122" xr:uid="{00000000-0005-0000-0000-00009A070000}"/>
    <cellStyle name="Comma 2 2" xfId="123" xr:uid="{00000000-0005-0000-0000-00009B070000}"/>
    <cellStyle name="Comma 2 3" xfId="25616" xr:uid="{E11F6C2B-976C-4179-88C5-C4C8936A9555}"/>
    <cellStyle name="Comma 3" xfId="124" xr:uid="{00000000-0005-0000-0000-00009C070000}"/>
    <cellStyle name="Comma 3 2" xfId="25765" xr:uid="{6B45B539-3F50-4F50-B24D-83BCC868B6AF}"/>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C62CC43D-05D0-4E5F-8673-FDA7F558239D}"/>
    <cellStyle name="Comma 4 2 2 2 10 2 3" xfId="23872" xr:uid="{585DF0B5-DE94-4E5E-80C5-1935A93434DE}"/>
    <cellStyle name="Comma 4 2 2 2 10 3" xfId="11208" xr:uid="{B2657F66-DAAE-4B9A-973E-137F44EFC794}"/>
    <cellStyle name="Comma 4 2 2 2 10 4" xfId="19655" xr:uid="{406D9C3D-CC5C-4B06-A325-4C2364BDDDE6}"/>
    <cellStyle name="Comma 4 2 2 2 11" xfId="4601" xr:uid="{00000000-0005-0000-0000-0000A3070000}"/>
    <cellStyle name="Comma 4 2 2 2 11 2" xfId="13043" xr:uid="{1D6EE956-AADE-4C19-8509-7E99FC22B1B1}"/>
    <cellStyle name="Comma 4 2 2 2 11 3" xfId="21489" xr:uid="{D062F260-7474-4817-B579-5B9109A306C4}"/>
    <cellStyle name="Comma 4 2 2 2 12" xfId="8825" xr:uid="{AA03C502-8E8A-49B4-90AB-9F223467EF8A}"/>
    <cellStyle name="Comma 4 2 2 2 13" xfId="17268" xr:uid="{5F05DE1F-E65C-4EEB-93CC-CD2FD1F2CFD5}"/>
    <cellStyle name="Comma 4 2 2 2 2" xfId="129" xr:uid="{00000000-0005-0000-0000-0000A4070000}"/>
    <cellStyle name="Comma 4 2 2 2 2 10" xfId="4602" xr:uid="{00000000-0005-0000-0000-0000A5070000}"/>
    <cellStyle name="Comma 4 2 2 2 2 10 2" xfId="13044" xr:uid="{B17F458F-FCB2-43A4-9210-BBFC7FC45D02}"/>
    <cellStyle name="Comma 4 2 2 2 2 10 3" xfId="21490" xr:uid="{2292CBBB-2559-46B0-BC0A-2BC12A094801}"/>
    <cellStyle name="Comma 4 2 2 2 2 11" xfId="8826" xr:uid="{F8049907-D891-43EE-9BFF-DA45B8414493}"/>
    <cellStyle name="Comma 4 2 2 2 2 12" xfId="17269" xr:uid="{27153CB1-BAEE-4772-9211-8F4FEDD31854}"/>
    <cellStyle name="Comma 4 2 2 2 2 2" xfId="130" xr:uid="{00000000-0005-0000-0000-0000A6070000}"/>
    <cellStyle name="Comma 4 2 2 2 2 2 10" xfId="8827" xr:uid="{C04675A1-55F2-46BB-A880-9A627B8D67F4}"/>
    <cellStyle name="Comma 4 2 2 2 2 2 11" xfId="17270" xr:uid="{69428110-496A-485A-8278-077135241A87}"/>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EEBA4605-F98B-4DBF-A64C-E4E791162383}"/>
    <cellStyle name="Comma 4 2 2 2 2 2 2 2 2 3" xfId="24050" xr:uid="{4CE657E8-9AF1-48B6-8B3C-B2D90C84F443}"/>
    <cellStyle name="Comma 4 2 2 2 2 2 2 2 3" xfId="11386" xr:uid="{046EFB66-0BCE-4A29-A57D-E6167B597FB4}"/>
    <cellStyle name="Comma 4 2 2 2 2 2 2 2 4" xfId="19833" xr:uid="{B551607F-9176-4FC9-AE4C-06D651140E9A}"/>
    <cellStyle name="Comma 4 2 2 2 2 2 2 3" xfId="5017" xr:uid="{00000000-0005-0000-0000-0000AA070000}"/>
    <cellStyle name="Comma 4 2 2 2 2 2 2 3 2" xfId="13459" xr:uid="{8C7EDF78-6052-4866-B9A3-DBAA69FD063F}"/>
    <cellStyle name="Comma 4 2 2 2 2 2 2 3 3" xfId="21905" xr:uid="{6C8AD664-860B-47C3-8FD0-D0AAF7FCB56C}"/>
    <cellStyle name="Comma 4 2 2 2 2 2 2 4" xfId="9241" xr:uid="{03CFB0D5-D3B9-46A5-957A-2737299D72B4}"/>
    <cellStyle name="Comma 4 2 2 2 2 2 2 5" xfId="17686" xr:uid="{BEDAA679-05F6-40A9-98F4-4B13F1A30991}"/>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5F72A628-A028-4CEC-90DF-EC57BC902DCD}"/>
    <cellStyle name="Comma 4 2 2 2 2 2 3 2 2 3" xfId="24463" xr:uid="{2928BD3D-8DED-4367-A42A-3F197E6ADB2C}"/>
    <cellStyle name="Comma 4 2 2 2 2 2 3 2 3" xfId="11799" xr:uid="{E2C3041E-CE37-4B78-8BE1-D9CBBB97AE03}"/>
    <cellStyle name="Comma 4 2 2 2 2 2 3 2 4" xfId="20246" xr:uid="{30266F58-312E-4DB7-AC2E-B082890BB1B1}"/>
    <cellStyle name="Comma 4 2 2 2 2 2 3 3" xfId="5430" xr:uid="{00000000-0005-0000-0000-0000AE070000}"/>
    <cellStyle name="Comma 4 2 2 2 2 2 3 3 2" xfId="13872" xr:uid="{892D7A36-8BE2-4723-9E6F-5FC3B7B404AA}"/>
    <cellStyle name="Comma 4 2 2 2 2 2 3 3 3" xfId="22318" xr:uid="{C22AE2E4-3B36-4477-B4C8-20051CF1BAA0}"/>
    <cellStyle name="Comma 4 2 2 2 2 2 3 4" xfId="9654" xr:uid="{37896184-2DD2-4853-B122-A69EFF4B9373}"/>
    <cellStyle name="Comma 4 2 2 2 2 2 3 5" xfId="18099" xr:uid="{09D6D368-83D9-4BB3-980D-7A90D490DA6A}"/>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0066EA44-7AFC-484F-BD76-6F828CD9A93E}"/>
    <cellStyle name="Comma 4 2 2 2 2 2 4 2 2 3" xfId="24876" xr:uid="{B57C3F0E-3418-4FA0-8268-EBA4D9CE796E}"/>
    <cellStyle name="Comma 4 2 2 2 2 2 4 2 3" xfId="12212" xr:uid="{741502C1-AC8A-46FC-AF09-97C5FDD685EF}"/>
    <cellStyle name="Comma 4 2 2 2 2 2 4 2 4" xfId="20659" xr:uid="{F78A6D23-EF10-4AA0-B53C-7165870F12A4}"/>
    <cellStyle name="Comma 4 2 2 2 2 2 4 3" xfId="5843" xr:uid="{00000000-0005-0000-0000-0000B2070000}"/>
    <cellStyle name="Comma 4 2 2 2 2 2 4 3 2" xfId="14285" xr:uid="{D419A383-3B0E-4187-8561-6011280E690B}"/>
    <cellStyle name="Comma 4 2 2 2 2 2 4 3 3" xfId="22731" xr:uid="{61008E37-F551-4638-B79D-E1E4F41A166E}"/>
    <cellStyle name="Comma 4 2 2 2 2 2 4 4" xfId="10067" xr:uid="{67125956-1FF7-4CE4-8CDD-09FD319D40C0}"/>
    <cellStyle name="Comma 4 2 2 2 2 2 4 5" xfId="18512" xr:uid="{EB21DDBB-FCCC-41C3-80B9-0ECCE41FCB3E}"/>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BE8307CB-F300-4BEC-A3C8-2489C0B9E6DA}"/>
    <cellStyle name="Comma 4 2 2 2 2 2 5 2 2 3" xfId="25289" xr:uid="{0AFDE10A-A4CF-4AF1-9966-CC6C92F84AFE}"/>
    <cellStyle name="Comma 4 2 2 2 2 2 5 2 3" xfId="12625" xr:uid="{76194F44-C3AF-4C6F-9593-E89FDD77D30E}"/>
    <cellStyle name="Comma 4 2 2 2 2 2 5 2 4" xfId="21072" xr:uid="{6A3EFBB4-E094-4BEF-A252-0872C5F42389}"/>
    <cellStyle name="Comma 4 2 2 2 2 2 5 3" xfId="6256" xr:uid="{00000000-0005-0000-0000-0000B6070000}"/>
    <cellStyle name="Comma 4 2 2 2 2 2 5 3 2" xfId="14698" xr:uid="{10303593-1828-4F86-9404-65A83030DB4A}"/>
    <cellStyle name="Comma 4 2 2 2 2 2 5 3 3" xfId="23144" xr:uid="{C7AC97B0-C6A1-4DFA-88FF-B4915157DA54}"/>
    <cellStyle name="Comma 4 2 2 2 2 2 5 4" xfId="10480" xr:uid="{87A426ED-98E6-480B-BD9A-4386A2311B6F}"/>
    <cellStyle name="Comma 4 2 2 2 2 2 5 5" xfId="18925" xr:uid="{BA7C7AAE-A2BA-4402-BFE2-28517D1C42E3}"/>
    <cellStyle name="Comma 4 2 2 2 2 2 6" xfId="2384" xr:uid="{00000000-0005-0000-0000-0000B7070000}"/>
    <cellStyle name="Comma 4 2 2 2 2 2 6 2" xfId="6669" xr:uid="{00000000-0005-0000-0000-0000B8070000}"/>
    <cellStyle name="Comma 4 2 2 2 2 2 6 2 2" xfId="15111" xr:uid="{E427C9C5-D3C3-4C80-BF21-C7C185E03C72}"/>
    <cellStyle name="Comma 4 2 2 2 2 2 6 2 3" xfId="23557" xr:uid="{8673357D-ACB7-4CDD-989B-DCA2ADB42C1F}"/>
    <cellStyle name="Comma 4 2 2 2 2 2 6 3" xfId="10893" xr:uid="{753C2BB8-25F8-4075-A48C-06E5530A6F39}"/>
    <cellStyle name="Comma 4 2 2 2 2 2 6 4" xfId="19338" xr:uid="{F5C3638C-8D96-406C-A695-1208171BADC2}"/>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A3042C87-7597-4B5B-8F39-5649B052A818}"/>
    <cellStyle name="Comma 4 2 2 2 2 2 8 2 3" xfId="23874" xr:uid="{CFB390A3-BBE3-47EC-A12F-745126F97606}"/>
    <cellStyle name="Comma 4 2 2 2 2 2 8 3" xfId="11210" xr:uid="{7D54436F-B524-43C8-9CB9-E5D12A5060C3}"/>
    <cellStyle name="Comma 4 2 2 2 2 2 8 4" xfId="19657" xr:uid="{1804EEE9-6C72-40AC-9A22-7B1CC1F24EC6}"/>
    <cellStyle name="Comma 4 2 2 2 2 2 9" xfId="4603" xr:uid="{00000000-0005-0000-0000-0000BC070000}"/>
    <cellStyle name="Comma 4 2 2 2 2 2 9 2" xfId="13045" xr:uid="{FB903F41-6C6C-4670-977E-2A9F67D10A2C}"/>
    <cellStyle name="Comma 4 2 2 2 2 2 9 3" xfId="21491" xr:uid="{22BC4458-C868-41CC-9635-D8D7B997C895}"/>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2C755D64-5E14-4CDB-BBBF-497ED7157101}"/>
    <cellStyle name="Comma 4 2 2 2 2 3 2 2 3" xfId="24049" xr:uid="{820AFA77-15C6-4876-A50A-E2ADA5EC6A4E}"/>
    <cellStyle name="Comma 4 2 2 2 2 3 2 3" xfId="11385" xr:uid="{18927421-F588-4DFA-B870-E38165BE818E}"/>
    <cellStyle name="Comma 4 2 2 2 2 3 2 4" xfId="19832" xr:uid="{5C650457-58F0-4985-9887-88311F32B7D3}"/>
    <cellStyle name="Comma 4 2 2 2 2 3 3" xfId="5016" xr:uid="{00000000-0005-0000-0000-0000C0070000}"/>
    <cellStyle name="Comma 4 2 2 2 2 3 3 2" xfId="13458" xr:uid="{78AFA371-DDCF-4E62-B782-FF770EEBDE93}"/>
    <cellStyle name="Comma 4 2 2 2 2 3 3 3" xfId="21904" xr:uid="{1989997B-BFA0-4A97-9823-93A69133996F}"/>
    <cellStyle name="Comma 4 2 2 2 2 3 4" xfId="9240" xr:uid="{B67E0475-AB18-41CF-BF79-7A27AD8068E9}"/>
    <cellStyle name="Comma 4 2 2 2 2 3 5" xfId="17685" xr:uid="{2F22F918-DA84-41BF-950B-BA9DD9B737F7}"/>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78EC2CB1-2986-4EDF-9E01-963C57A59C46}"/>
    <cellStyle name="Comma 4 2 2 2 2 4 2 2 3" xfId="24462" xr:uid="{1F98C3D6-A05B-4642-A839-B1CE82E06581}"/>
    <cellStyle name="Comma 4 2 2 2 2 4 2 3" xfId="11798" xr:uid="{29923CCA-A63C-47E9-AB03-9EE200263EED}"/>
    <cellStyle name="Comma 4 2 2 2 2 4 2 4" xfId="20245" xr:uid="{E99D4345-EB90-441A-9B26-734E796E562F}"/>
    <cellStyle name="Comma 4 2 2 2 2 4 3" xfId="5429" xr:uid="{00000000-0005-0000-0000-0000C4070000}"/>
    <cellStyle name="Comma 4 2 2 2 2 4 3 2" xfId="13871" xr:uid="{1A3DE990-B37A-4189-A002-AD01DDEBAFF1}"/>
    <cellStyle name="Comma 4 2 2 2 2 4 3 3" xfId="22317" xr:uid="{6F0A720D-6DCD-4A1F-AE7C-155B35EF082E}"/>
    <cellStyle name="Comma 4 2 2 2 2 4 4" xfId="9653" xr:uid="{19E116B6-F1A9-4F6E-89E2-D12B005E86BF}"/>
    <cellStyle name="Comma 4 2 2 2 2 4 5" xfId="18098" xr:uid="{D61EB1C0-DE26-4298-A488-8C4F40E45122}"/>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7913D8BD-DD39-410F-99DF-3A4DB1FBECB6}"/>
    <cellStyle name="Comma 4 2 2 2 2 5 2 2 3" xfId="24875" xr:uid="{B64B7F11-E683-46F8-9EC5-C98E51C49FC2}"/>
    <cellStyle name="Comma 4 2 2 2 2 5 2 3" xfId="12211" xr:uid="{C4A9BE79-5259-42F5-9C96-7FFEFC82F8C5}"/>
    <cellStyle name="Comma 4 2 2 2 2 5 2 4" xfId="20658" xr:uid="{93F66BCD-BA80-4954-90C6-5E3F54405A27}"/>
    <cellStyle name="Comma 4 2 2 2 2 5 3" xfId="5842" xr:uid="{00000000-0005-0000-0000-0000C8070000}"/>
    <cellStyle name="Comma 4 2 2 2 2 5 3 2" xfId="14284" xr:uid="{47C49FBA-A3ED-4460-8978-EE5478B1CC11}"/>
    <cellStyle name="Comma 4 2 2 2 2 5 3 3" xfId="22730" xr:uid="{01443B13-43A2-4336-B39B-D783ECD071F1}"/>
    <cellStyle name="Comma 4 2 2 2 2 5 4" xfId="10066" xr:uid="{C996F1EC-F88C-436B-ADB5-01B1AF5833C5}"/>
    <cellStyle name="Comma 4 2 2 2 2 5 5" xfId="18511" xr:uid="{C7A320E9-281A-4B0C-BA01-81C2DBCA6563}"/>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59C52AC8-4150-4DEF-8714-D338FD684A49}"/>
    <cellStyle name="Comma 4 2 2 2 2 6 2 2 3" xfId="25288" xr:uid="{A66B4F59-EA2F-4B3E-84D8-A4E10FE28B41}"/>
    <cellStyle name="Comma 4 2 2 2 2 6 2 3" xfId="12624" xr:uid="{FD25B29B-445B-4DBE-BBB7-0C347DB54615}"/>
    <cellStyle name="Comma 4 2 2 2 2 6 2 4" xfId="21071" xr:uid="{D3D6529B-76CB-4040-AB5B-826A1C192268}"/>
    <cellStyle name="Comma 4 2 2 2 2 6 3" xfId="6255" xr:uid="{00000000-0005-0000-0000-0000CC070000}"/>
    <cellStyle name="Comma 4 2 2 2 2 6 3 2" xfId="14697" xr:uid="{30A6FA6F-C922-4283-99E7-EAABEE70E76B}"/>
    <cellStyle name="Comma 4 2 2 2 2 6 3 3" xfId="23143" xr:uid="{D5F695D9-2ACD-4A53-8A8A-74397C92978B}"/>
    <cellStyle name="Comma 4 2 2 2 2 6 4" xfId="10479" xr:uid="{91B36447-4837-4530-A418-137362F3A21F}"/>
    <cellStyle name="Comma 4 2 2 2 2 6 5" xfId="18924" xr:uid="{8F3FFBFF-4375-47CA-87E8-AD29CF736C9F}"/>
    <cellStyle name="Comma 4 2 2 2 2 7" xfId="2383" xr:uid="{00000000-0005-0000-0000-0000CD070000}"/>
    <cellStyle name="Comma 4 2 2 2 2 7 2" xfId="6668" xr:uid="{00000000-0005-0000-0000-0000CE070000}"/>
    <cellStyle name="Comma 4 2 2 2 2 7 2 2" xfId="15110" xr:uid="{42D6EE17-D38C-40D6-B96A-D6C40120AC34}"/>
    <cellStyle name="Comma 4 2 2 2 2 7 2 3" xfId="23556" xr:uid="{B821A652-5426-472F-A018-97D83E89419C}"/>
    <cellStyle name="Comma 4 2 2 2 2 7 3" xfId="10892" xr:uid="{2E052987-F4A5-4EC5-B373-6B4EEB370C9B}"/>
    <cellStyle name="Comma 4 2 2 2 2 7 4" xfId="19337" xr:uid="{8B4AD808-1EC6-4176-87C1-3864EF1716C0}"/>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31C69083-EF4E-419A-8284-641901CC66C3}"/>
    <cellStyle name="Comma 4 2 2 2 2 9 2 3" xfId="23873" xr:uid="{D1971674-099B-4A7D-91CC-FE0FA883623C}"/>
    <cellStyle name="Comma 4 2 2 2 2 9 3" xfId="11209" xr:uid="{2BF6F36B-6960-41BE-9ADE-5CD2A016846F}"/>
    <cellStyle name="Comma 4 2 2 2 2 9 4" xfId="19656" xr:uid="{D4C3ABC1-53A9-4FC3-AC9D-DFB0A2038021}"/>
    <cellStyle name="Comma 4 2 2 2 3" xfId="131" xr:uid="{00000000-0005-0000-0000-0000D2070000}"/>
    <cellStyle name="Comma 4 2 2 2 3 10" xfId="8828" xr:uid="{6884F8A6-7ACF-4F54-9517-01419DC4CEAC}"/>
    <cellStyle name="Comma 4 2 2 2 3 11" xfId="17271" xr:uid="{E057502F-22FF-4484-95B2-3BD23F0F7521}"/>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8040D71A-2567-4283-BBF7-31ACAA34F52B}"/>
    <cellStyle name="Comma 4 2 2 2 3 2 2 2 3" xfId="24051" xr:uid="{CBE01F76-8796-41FA-BCF8-983C0B85DEA5}"/>
    <cellStyle name="Comma 4 2 2 2 3 2 2 3" xfId="11387" xr:uid="{004B6D8C-7CD3-4E73-BAB8-AA2160DC4B58}"/>
    <cellStyle name="Comma 4 2 2 2 3 2 2 4" xfId="19834" xr:uid="{4C10C07B-9DE3-46C6-A4B9-154155F0ACDC}"/>
    <cellStyle name="Comma 4 2 2 2 3 2 3" xfId="5018" xr:uid="{00000000-0005-0000-0000-0000D6070000}"/>
    <cellStyle name="Comma 4 2 2 2 3 2 3 2" xfId="13460" xr:uid="{ECFFBF14-495A-44B7-9677-D9B46B165F66}"/>
    <cellStyle name="Comma 4 2 2 2 3 2 3 3" xfId="21906" xr:uid="{0CD25499-B754-4352-BCFA-247DA0616EA2}"/>
    <cellStyle name="Comma 4 2 2 2 3 2 4" xfId="9242" xr:uid="{795BC43C-35F1-42FE-B803-5FC92691EC61}"/>
    <cellStyle name="Comma 4 2 2 2 3 2 5" xfId="17687" xr:uid="{9A7647DE-C482-4ECE-8A56-7798B0D40638}"/>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122BA88A-9545-4F86-9742-A0C0F07FEC3A}"/>
    <cellStyle name="Comma 4 2 2 2 3 3 2 2 3" xfId="24464" xr:uid="{CAF98808-D665-4CE3-BAF1-F364DE6C2F09}"/>
    <cellStyle name="Comma 4 2 2 2 3 3 2 3" xfId="11800" xr:uid="{C04AA059-2C36-4881-8D37-233963395299}"/>
    <cellStyle name="Comma 4 2 2 2 3 3 2 4" xfId="20247" xr:uid="{68940C77-C7D4-432F-BC0C-DD92E3762C0C}"/>
    <cellStyle name="Comma 4 2 2 2 3 3 3" xfId="5431" xr:uid="{00000000-0005-0000-0000-0000DA070000}"/>
    <cellStyle name="Comma 4 2 2 2 3 3 3 2" xfId="13873" xr:uid="{1D3C4504-46F4-455E-BE71-FF844CFBEF17}"/>
    <cellStyle name="Comma 4 2 2 2 3 3 3 3" xfId="22319" xr:uid="{682C64DA-4B1C-485A-A1D9-7793F76E122F}"/>
    <cellStyle name="Comma 4 2 2 2 3 3 4" xfId="9655" xr:uid="{60CCA312-5C2D-4FC0-8AA5-7C1029CFE147}"/>
    <cellStyle name="Comma 4 2 2 2 3 3 5" xfId="18100" xr:uid="{7C578C00-F89B-4DF0-9AC6-EC717371EBA9}"/>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B03A29B6-1CF6-4693-A039-A01E14734C98}"/>
    <cellStyle name="Comma 4 2 2 2 3 4 2 2 3" xfId="24877" xr:uid="{E04D6608-AC84-4521-9C41-BED86FD38740}"/>
    <cellStyle name="Comma 4 2 2 2 3 4 2 3" xfId="12213" xr:uid="{B4C7FE50-935B-4C81-811A-676C72B18C2D}"/>
    <cellStyle name="Comma 4 2 2 2 3 4 2 4" xfId="20660" xr:uid="{CA0076A7-394E-47E2-A3FC-3D62C90F71F0}"/>
    <cellStyle name="Comma 4 2 2 2 3 4 3" xfId="5844" xr:uid="{00000000-0005-0000-0000-0000DE070000}"/>
    <cellStyle name="Comma 4 2 2 2 3 4 3 2" xfId="14286" xr:uid="{25F052D1-41A7-4879-9E7A-7E9DD45D4EE1}"/>
    <cellStyle name="Comma 4 2 2 2 3 4 3 3" xfId="22732" xr:uid="{0956974F-73D3-496C-9FBB-9C21F74B7A79}"/>
    <cellStyle name="Comma 4 2 2 2 3 4 4" xfId="10068" xr:uid="{A853B0CC-A116-40AB-80D7-5B4F2BCB16FF}"/>
    <cellStyle name="Comma 4 2 2 2 3 4 5" xfId="18513" xr:uid="{3807CA04-4719-4B42-8048-1EA06EA9197D}"/>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EF6A65E6-2FAD-43E4-BAA2-BE1133654FED}"/>
    <cellStyle name="Comma 4 2 2 2 3 5 2 2 3" xfId="25290" xr:uid="{FD85FCC6-1CF2-4F01-93E5-28795952226A}"/>
    <cellStyle name="Comma 4 2 2 2 3 5 2 3" xfId="12626" xr:uid="{568FA906-8EB0-4D16-B45D-2EA94D41910D}"/>
    <cellStyle name="Comma 4 2 2 2 3 5 2 4" xfId="21073" xr:uid="{C581F8AB-5BE5-402F-B571-ED96C646DEA4}"/>
    <cellStyle name="Comma 4 2 2 2 3 5 3" xfId="6257" xr:uid="{00000000-0005-0000-0000-0000E2070000}"/>
    <cellStyle name="Comma 4 2 2 2 3 5 3 2" xfId="14699" xr:uid="{F5613392-B2FC-4BBD-8238-FD9A470D795D}"/>
    <cellStyle name="Comma 4 2 2 2 3 5 3 3" xfId="23145" xr:uid="{C25E4FD5-96DB-416B-A061-CB65D6A5B854}"/>
    <cellStyle name="Comma 4 2 2 2 3 5 4" xfId="10481" xr:uid="{FE25078E-4775-41EF-9FAD-837B8FA33A16}"/>
    <cellStyle name="Comma 4 2 2 2 3 5 5" xfId="18926" xr:uid="{2D65BD16-43C7-4BD0-B862-BE1D66133EC1}"/>
    <cellStyle name="Comma 4 2 2 2 3 6" xfId="2385" xr:uid="{00000000-0005-0000-0000-0000E3070000}"/>
    <cellStyle name="Comma 4 2 2 2 3 6 2" xfId="6670" xr:uid="{00000000-0005-0000-0000-0000E4070000}"/>
    <cellStyle name="Comma 4 2 2 2 3 6 2 2" xfId="15112" xr:uid="{010CFC97-C3C8-4C07-B76F-B55446AB6411}"/>
    <cellStyle name="Comma 4 2 2 2 3 6 2 3" xfId="23558" xr:uid="{C11F1025-6F9F-4BDF-8920-1A07A38526A1}"/>
    <cellStyle name="Comma 4 2 2 2 3 6 3" xfId="10894" xr:uid="{D73731A5-CF52-44F7-BA9F-647217E5762F}"/>
    <cellStyle name="Comma 4 2 2 2 3 6 4" xfId="19339" xr:uid="{923C60A1-1365-4243-ADAF-2BCAB37F3A02}"/>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27A6439D-3E18-4759-83FB-50C0F4D55856}"/>
    <cellStyle name="Comma 4 2 2 2 3 8 2 3" xfId="23875" xr:uid="{2D717636-83D5-4093-B1B6-70D47D3EB132}"/>
    <cellStyle name="Comma 4 2 2 2 3 8 3" xfId="11211" xr:uid="{5D81A8AB-F1C3-49BB-9922-C4CF5B58208F}"/>
    <cellStyle name="Comma 4 2 2 2 3 8 4" xfId="19658" xr:uid="{18CF34E2-0DAC-4564-AD5A-BBC939F83D96}"/>
    <cellStyle name="Comma 4 2 2 2 3 9" xfId="4604" xr:uid="{00000000-0005-0000-0000-0000E8070000}"/>
    <cellStyle name="Comma 4 2 2 2 3 9 2" xfId="13046" xr:uid="{3CFD96B6-7AF0-4CAB-89EA-1DD877C269B0}"/>
    <cellStyle name="Comma 4 2 2 2 3 9 3" xfId="21492" xr:uid="{33DD090B-945E-4537-97C0-BCA11F101690}"/>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45BC6DAF-5686-48EC-B6EB-EBC5BA8F41A3}"/>
    <cellStyle name="Comma 4 2 2 2 4 2 2 3" xfId="24048" xr:uid="{AC7D3AE7-A264-4654-9762-2CCD2CAE0BD7}"/>
    <cellStyle name="Comma 4 2 2 2 4 2 3" xfId="11384" xr:uid="{65E4BA6C-3CCE-450C-AF29-E02145C7DC1A}"/>
    <cellStyle name="Comma 4 2 2 2 4 2 4" xfId="19831" xr:uid="{202F4154-03F8-4829-9223-FE11826F8332}"/>
    <cellStyle name="Comma 4 2 2 2 4 3" xfId="5015" xr:uid="{00000000-0005-0000-0000-0000EC070000}"/>
    <cellStyle name="Comma 4 2 2 2 4 3 2" xfId="13457" xr:uid="{6C00DB1D-F1EF-41E9-A196-1880E8037A94}"/>
    <cellStyle name="Comma 4 2 2 2 4 3 3" xfId="21903" xr:uid="{B7BB3C59-FFC7-49D9-8009-084E3F320527}"/>
    <cellStyle name="Comma 4 2 2 2 4 4" xfId="9239" xr:uid="{247C69E5-3C30-47B5-AEEA-F508179B3EBC}"/>
    <cellStyle name="Comma 4 2 2 2 4 5" xfId="17684" xr:uid="{D89C3E55-51FE-4BC6-8075-3CF098FB9FD4}"/>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A44E5156-751B-462B-A18A-2FAED6ECBA6C}"/>
    <cellStyle name="Comma 4 2 2 2 5 2 2 3" xfId="24461" xr:uid="{634D87D5-89E6-46E7-ADF2-788CE4AE5AD7}"/>
    <cellStyle name="Comma 4 2 2 2 5 2 3" xfId="11797" xr:uid="{FA081F34-50FD-49DF-AF92-421264BEC130}"/>
    <cellStyle name="Comma 4 2 2 2 5 2 4" xfId="20244" xr:uid="{A1D9C5A6-D922-4C43-A2A9-5A91D0203603}"/>
    <cellStyle name="Comma 4 2 2 2 5 3" xfId="5428" xr:uid="{00000000-0005-0000-0000-0000F0070000}"/>
    <cellStyle name="Comma 4 2 2 2 5 3 2" xfId="13870" xr:uid="{DDD5039E-48B2-4C50-961C-337B7AF07FC7}"/>
    <cellStyle name="Comma 4 2 2 2 5 3 3" xfId="22316" xr:uid="{528E863E-3CF5-4E3A-B6D3-D9F10ABDF0C4}"/>
    <cellStyle name="Comma 4 2 2 2 5 4" xfId="9652" xr:uid="{D777473A-6450-44D8-A1F8-ACA4D450B216}"/>
    <cellStyle name="Comma 4 2 2 2 5 5" xfId="18097" xr:uid="{6D4BE289-72B6-4AFE-822D-927A39C6EACE}"/>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1ACAF21B-83A8-47B9-BC22-0D6E7EEB22CE}"/>
    <cellStyle name="Comma 4 2 2 2 6 2 2 3" xfId="24874" xr:uid="{03462597-82E3-44BB-A4C8-43D15401DF9A}"/>
    <cellStyle name="Comma 4 2 2 2 6 2 3" xfId="12210" xr:uid="{ECBD4015-5CF6-4697-9B46-284911BB28EF}"/>
    <cellStyle name="Comma 4 2 2 2 6 2 4" xfId="20657" xr:uid="{9D295FCC-BF70-4656-96E2-8B0C4381FF98}"/>
    <cellStyle name="Comma 4 2 2 2 6 3" xfId="5841" xr:uid="{00000000-0005-0000-0000-0000F4070000}"/>
    <cellStyle name="Comma 4 2 2 2 6 3 2" xfId="14283" xr:uid="{45B95A02-CC7D-4920-A227-E8962000641D}"/>
    <cellStyle name="Comma 4 2 2 2 6 3 3" xfId="22729" xr:uid="{A1A60A21-73F5-4A82-BD1E-132FCFF835F8}"/>
    <cellStyle name="Comma 4 2 2 2 6 4" xfId="10065" xr:uid="{838D235B-B6F4-4C4F-B19F-D0C3DE4206DE}"/>
    <cellStyle name="Comma 4 2 2 2 6 5" xfId="18510" xr:uid="{D72962D0-2371-499C-8459-9D3255485EFE}"/>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CE556E8C-0160-4A0F-80F6-0FF611891B11}"/>
    <cellStyle name="Comma 4 2 2 2 7 2 2 3" xfId="25287" xr:uid="{9E0F3B32-B7C3-44F1-A574-FA60F8ED55C5}"/>
    <cellStyle name="Comma 4 2 2 2 7 2 3" xfId="12623" xr:uid="{974A625C-1AC4-4421-BD8E-CA60D3292E8F}"/>
    <cellStyle name="Comma 4 2 2 2 7 2 4" xfId="21070" xr:uid="{3C6A47AE-800B-46C1-948A-6F5A6F611B43}"/>
    <cellStyle name="Comma 4 2 2 2 7 3" xfId="6254" xr:uid="{00000000-0005-0000-0000-0000F8070000}"/>
    <cellStyle name="Comma 4 2 2 2 7 3 2" xfId="14696" xr:uid="{0D39BD57-E835-40AD-A19A-E84E25554574}"/>
    <cellStyle name="Comma 4 2 2 2 7 3 3" xfId="23142" xr:uid="{7D33ABD4-406F-4DAB-8EBC-FE4411E2F41C}"/>
    <cellStyle name="Comma 4 2 2 2 7 4" xfId="10478" xr:uid="{B0913463-13FD-4FE7-9ECA-F70CC2C1F61E}"/>
    <cellStyle name="Comma 4 2 2 2 7 5" xfId="18923" xr:uid="{455AD20E-3687-47B3-A619-50F753D1A089}"/>
    <cellStyle name="Comma 4 2 2 2 8" xfId="2382" xr:uid="{00000000-0005-0000-0000-0000F9070000}"/>
    <cellStyle name="Comma 4 2 2 2 8 2" xfId="6667" xr:uid="{00000000-0005-0000-0000-0000FA070000}"/>
    <cellStyle name="Comma 4 2 2 2 8 2 2" xfId="15109" xr:uid="{A1ECA18F-D590-4183-BFB7-90A23C55EDF4}"/>
    <cellStyle name="Comma 4 2 2 2 8 2 3" xfId="23555" xr:uid="{9D33F0DB-C598-424C-8E83-86B94A649A96}"/>
    <cellStyle name="Comma 4 2 2 2 8 3" xfId="10891" xr:uid="{71CA350B-2E7E-48F3-9A8D-CA779C1BBD5F}"/>
    <cellStyle name="Comma 4 2 2 2 8 4" xfId="19336" xr:uid="{EBF2970B-8D34-4EDD-8A26-F7B3D25D2A4A}"/>
    <cellStyle name="Comma 4 2 2 2 9" xfId="2381" xr:uid="{00000000-0005-0000-0000-0000FB070000}"/>
    <cellStyle name="Comma 4 2 2 3" xfId="132" xr:uid="{00000000-0005-0000-0000-0000FC070000}"/>
    <cellStyle name="Comma 4 2 2 3 10" xfId="4605" xr:uid="{00000000-0005-0000-0000-0000FD070000}"/>
    <cellStyle name="Comma 4 2 2 3 10 2" xfId="13047" xr:uid="{DC1920B5-517E-4982-9FFC-10556F120856}"/>
    <cellStyle name="Comma 4 2 2 3 10 3" xfId="21493" xr:uid="{D1A23726-6450-4E3A-B189-67F137B0C6D1}"/>
    <cellStyle name="Comma 4 2 2 3 11" xfId="8829" xr:uid="{7505B6AA-9510-419E-AAA4-DFD1EE035131}"/>
    <cellStyle name="Comma 4 2 2 3 12" xfId="17272" xr:uid="{402AE9BD-D6D0-493F-AE13-9F150AB65FF8}"/>
    <cellStyle name="Comma 4 2 2 3 2" xfId="133" xr:uid="{00000000-0005-0000-0000-0000FE070000}"/>
    <cellStyle name="Comma 4 2 2 3 2 10" xfId="8830" xr:uid="{61B6D415-1F3F-447A-BF33-5E5FF3035EAF}"/>
    <cellStyle name="Comma 4 2 2 3 2 11" xfId="17273" xr:uid="{E2C1DF08-4A4F-45FA-8388-0AAD586D78C6}"/>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D974FDD5-EE89-4758-B709-0B317C967054}"/>
    <cellStyle name="Comma 4 2 2 3 2 2 2 2 3" xfId="24053" xr:uid="{5B7B7B9F-A4F2-4915-9E69-A471F3EAED24}"/>
    <cellStyle name="Comma 4 2 2 3 2 2 2 3" xfId="11389" xr:uid="{191735C4-E058-4415-BBB0-22EDE64E1614}"/>
    <cellStyle name="Comma 4 2 2 3 2 2 2 4" xfId="19836" xr:uid="{BB871325-A05B-4F29-90E6-7F5E76F10DA6}"/>
    <cellStyle name="Comma 4 2 2 3 2 2 3" xfId="5020" xr:uid="{00000000-0005-0000-0000-000002080000}"/>
    <cellStyle name="Comma 4 2 2 3 2 2 3 2" xfId="13462" xr:uid="{217579F7-28F3-452C-9107-CBD82487B1F5}"/>
    <cellStyle name="Comma 4 2 2 3 2 2 3 3" xfId="21908" xr:uid="{9242188A-0581-428C-8DE2-3D6F556C7E7E}"/>
    <cellStyle name="Comma 4 2 2 3 2 2 4" xfId="9244" xr:uid="{7C032B38-AD13-4EB0-AE46-B2F4B86D6EBB}"/>
    <cellStyle name="Comma 4 2 2 3 2 2 5" xfId="17689" xr:uid="{D5CA7055-5512-44BB-98DC-6989A205820B}"/>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5E5D2829-9DC6-46FF-A8E5-51F05454580A}"/>
    <cellStyle name="Comma 4 2 2 3 2 3 2 2 3" xfId="24466" xr:uid="{60C9A81D-8357-4F1E-985F-4D12DB988886}"/>
    <cellStyle name="Comma 4 2 2 3 2 3 2 3" xfId="11802" xr:uid="{7751E3DC-EE2D-42B7-9153-FB1E36F5E92E}"/>
    <cellStyle name="Comma 4 2 2 3 2 3 2 4" xfId="20249" xr:uid="{BF6339AB-0632-4DC2-B161-73C332848391}"/>
    <cellStyle name="Comma 4 2 2 3 2 3 3" xfId="5433" xr:uid="{00000000-0005-0000-0000-000006080000}"/>
    <cellStyle name="Comma 4 2 2 3 2 3 3 2" xfId="13875" xr:uid="{0C636E3D-48E8-42C9-9754-645A3AD26C69}"/>
    <cellStyle name="Comma 4 2 2 3 2 3 3 3" xfId="22321" xr:uid="{7B485BEA-3ED9-416B-8BFE-7DFD20550D47}"/>
    <cellStyle name="Comma 4 2 2 3 2 3 4" xfId="9657" xr:uid="{F26B91E2-7645-466C-A946-94EC91A151CF}"/>
    <cellStyle name="Comma 4 2 2 3 2 3 5" xfId="18102" xr:uid="{9CB81B48-5A09-4C32-A866-1CF59B6149E5}"/>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03BAB151-A2F7-4E0D-A173-63A22A351BD7}"/>
    <cellStyle name="Comma 4 2 2 3 2 4 2 2 3" xfId="24879" xr:uid="{8DB404D6-48A1-4E5C-80EB-C54D91BF7311}"/>
    <cellStyle name="Comma 4 2 2 3 2 4 2 3" xfId="12215" xr:uid="{E8660E49-48DA-4478-A359-1D38E123E961}"/>
    <cellStyle name="Comma 4 2 2 3 2 4 2 4" xfId="20662" xr:uid="{71CBB118-475A-4ED0-A876-30701F46C04F}"/>
    <cellStyle name="Comma 4 2 2 3 2 4 3" xfId="5846" xr:uid="{00000000-0005-0000-0000-00000A080000}"/>
    <cellStyle name="Comma 4 2 2 3 2 4 3 2" xfId="14288" xr:uid="{2FF1090B-76E2-47AA-BB8D-16033CCEA074}"/>
    <cellStyle name="Comma 4 2 2 3 2 4 3 3" xfId="22734" xr:uid="{1E9F8AF1-933F-413D-AC65-BEE521CFA394}"/>
    <cellStyle name="Comma 4 2 2 3 2 4 4" xfId="10070" xr:uid="{A5D5DB58-6E30-418D-9786-E110E7FEE736}"/>
    <cellStyle name="Comma 4 2 2 3 2 4 5" xfId="18515" xr:uid="{8241E735-806C-4BD4-878A-1FFC9036135E}"/>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E154AC4C-141F-4BE3-A33D-E43B272C951F}"/>
    <cellStyle name="Comma 4 2 2 3 2 5 2 2 3" xfId="25292" xr:uid="{5709849F-EFF7-45EB-9093-AA95DFBDCE64}"/>
    <cellStyle name="Comma 4 2 2 3 2 5 2 3" xfId="12628" xr:uid="{3D5BD909-902F-47EE-90F2-B42456F5DF53}"/>
    <cellStyle name="Comma 4 2 2 3 2 5 2 4" xfId="21075" xr:uid="{155C1590-4AF6-4E8D-9A09-C343D21EEB3F}"/>
    <cellStyle name="Comma 4 2 2 3 2 5 3" xfId="6259" xr:uid="{00000000-0005-0000-0000-00000E080000}"/>
    <cellStyle name="Comma 4 2 2 3 2 5 3 2" xfId="14701" xr:uid="{0EE48CA5-BE52-4BB0-ADC0-84855F3C90CF}"/>
    <cellStyle name="Comma 4 2 2 3 2 5 3 3" xfId="23147" xr:uid="{6DF93897-3E68-4329-B8C3-73B863320301}"/>
    <cellStyle name="Comma 4 2 2 3 2 5 4" xfId="10483" xr:uid="{4A6523FC-C1B2-4D8B-8674-8616FAF99087}"/>
    <cellStyle name="Comma 4 2 2 3 2 5 5" xfId="18928" xr:uid="{E09B7024-8FE5-4AE7-AE3E-1527FDC8088F}"/>
    <cellStyle name="Comma 4 2 2 3 2 6" xfId="2387" xr:uid="{00000000-0005-0000-0000-00000F080000}"/>
    <cellStyle name="Comma 4 2 2 3 2 6 2" xfId="6672" xr:uid="{00000000-0005-0000-0000-000010080000}"/>
    <cellStyle name="Comma 4 2 2 3 2 6 2 2" xfId="15114" xr:uid="{341533E3-EA7C-4313-AD31-EAF8132FEEA4}"/>
    <cellStyle name="Comma 4 2 2 3 2 6 2 3" xfId="23560" xr:uid="{380112A7-9BCD-4133-890A-05D051ED4E77}"/>
    <cellStyle name="Comma 4 2 2 3 2 6 3" xfId="10896" xr:uid="{E5CB460D-090C-4263-B194-B7D1B02EFD74}"/>
    <cellStyle name="Comma 4 2 2 3 2 6 4" xfId="19341" xr:uid="{902A1120-85C7-4A3F-8FE9-F25BB7F06A34}"/>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C716B08C-F0A2-49E9-A779-746A7FE444CD}"/>
    <cellStyle name="Comma 4 2 2 3 2 8 2 3" xfId="23877" xr:uid="{3C5A2D25-B7D5-4E4E-B4CF-55EFF88994B3}"/>
    <cellStyle name="Comma 4 2 2 3 2 8 3" xfId="11213" xr:uid="{76CC780D-1E9D-4828-B019-9F81E41F9EF6}"/>
    <cellStyle name="Comma 4 2 2 3 2 8 4" xfId="19660" xr:uid="{25936408-1431-4C85-B540-A5BEB458C327}"/>
    <cellStyle name="Comma 4 2 2 3 2 9" xfId="4606" xr:uid="{00000000-0005-0000-0000-000014080000}"/>
    <cellStyle name="Comma 4 2 2 3 2 9 2" xfId="13048" xr:uid="{44D5B18A-DED8-4301-946B-64BB4E70126B}"/>
    <cellStyle name="Comma 4 2 2 3 2 9 3" xfId="21494" xr:uid="{1A663CD4-E6BB-43E0-A1E2-9CEC87854BEB}"/>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171D3D5F-80CA-41E2-A8C1-A9EEADD964F5}"/>
    <cellStyle name="Comma 4 2 2 3 3 2 2 3" xfId="24052" xr:uid="{2645DC06-D128-4FA1-8028-22EC19AABAB1}"/>
    <cellStyle name="Comma 4 2 2 3 3 2 3" xfId="11388" xr:uid="{C4DD2505-62D8-416B-9E31-A82D4705FFAD}"/>
    <cellStyle name="Comma 4 2 2 3 3 2 4" xfId="19835" xr:uid="{871F2DED-A439-4D6A-A1BF-9E3441AF5A05}"/>
    <cellStyle name="Comma 4 2 2 3 3 3" xfId="5019" xr:uid="{00000000-0005-0000-0000-000018080000}"/>
    <cellStyle name="Comma 4 2 2 3 3 3 2" xfId="13461" xr:uid="{FEC8AA24-F281-4E83-A5B7-F9EF4251239A}"/>
    <cellStyle name="Comma 4 2 2 3 3 3 3" xfId="21907" xr:uid="{B2B0C6A4-D65C-4728-BCCE-7E47AAB4641E}"/>
    <cellStyle name="Comma 4 2 2 3 3 4" xfId="9243" xr:uid="{66578A1A-F1AA-448E-9868-EAE39A558CAF}"/>
    <cellStyle name="Comma 4 2 2 3 3 5" xfId="17688" xr:uid="{02D8216B-6C4E-451D-B5E7-DA4AA72FDA88}"/>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1CBFA584-377C-4528-BE6C-379B2B9C51A9}"/>
    <cellStyle name="Comma 4 2 2 3 4 2 2 3" xfId="24465" xr:uid="{7BB8B8DF-ADDF-4D60-9E54-EF0E31914DBE}"/>
    <cellStyle name="Comma 4 2 2 3 4 2 3" xfId="11801" xr:uid="{C4F27EAD-A917-4376-A62B-C86D21D8494D}"/>
    <cellStyle name="Comma 4 2 2 3 4 2 4" xfId="20248" xr:uid="{1BC4F6FD-21F1-4997-896E-F4E54F91357C}"/>
    <cellStyle name="Comma 4 2 2 3 4 3" xfId="5432" xr:uid="{00000000-0005-0000-0000-00001C080000}"/>
    <cellStyle name="Comma 4 2 2 3 4 3 2" xfId="13874" xr:uid="{5999A5E3-61BA-4C91-822D-A166188514DC}"/>
    <cellStyle name="Comma 4 2 2 3 4 3 3" xfId="22320" xr:uid="{499B42AF-070D-4A59-AA5F-170843D9319A}"/>
    <cellStyle name="Comma 4 2 2 3 4 4" xfId="9656" xr:uid="{965CAF15-9BF7-4D9C-A1B9-ABCE0A6C08E9}"/>
    <cellStyle name="Comma 4 2 2 3 4 5" xfId="18101" xr:uid="{254058DC-556C-47F6-9E25-C9E45EBDBBC1}"/>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EA7DBA3B-2DF9-4AF3-9F29-0833E17D97D5}"/>
    <cellStyle name="Comma 4 2 2 3 5 2 2 3" xfId="24878" xr:uid="{E7207B3E-AD4D-4CFF-B1C3-91C6432A325D}"/>
    <cellStyle name="Comma 4 2 2 3 5 2 3" xfId="12214" xr:uid="{1ED0141C-8707-451F-9A0A-BD08D5E86D79}"/>
    <cellStyle name="Comma 4 2 2 3 5 2 4" xfId="20661" xr:uid="{336C42AA-2202-4C73-A5CF-A6B2BAF5A29B}"/>
    <cellStyle name="Comma 4 2 2 3 5 3" xfId="5845" xr:uid="{00000000-0005-0000-0000-000020080000}"/>
    <cellStyle name="Comma 4 2 2 3 5 3 2" xfId="14287" xr:uid="{47AC37CD-8855-4619-9728-3CAD4688F86B}"/>
    <cellStyle name="Comma 4 2 2 3 5 3 3" xfId="22733" xr:uid="{00972D29-0475-4F17-963B-46D54A055B76}"/>
    <cellStyle name="Comma 4 2 2 3 5 4" xfId="10069" xr:uid="{84E2C8DC-E553-464B-956E-8DD52427568F}"/>
    <cellStyle name="Comma 4 2 2 3 5 5" xfId="18514" xr:uid="{D4556DD7-72CB-48CE-9320-EAF77844B805}"/>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AD4CD167-2E02-4179-8C08-175AE864DD84}"/>
    <cellStyle name="Comma 4 2 2 3 6 2 2 3" xfId="25291" xr:uid="{9BEC0357-016D-403E-9441-8F4EF83E3155}"/>
    <cellStyle name="Comma 4 2 2 3 6 2 3" xfId="12627" xr:uid="{22133CDF-8AFB-4DD9-91E0-8226ED99DA59}"/>
    <cellStyle name="Comma 4 2 2 3 6 2 4" xfId="21074" xr:uid="{7F2CA994-7027-40AC-AF58-6220587D9C04}"/>
    <cellStyle name="Comma 4 2 2 3 6 3" xfId="6258" xr:uid="{00000000-0005-0000-0000-000024080000}"/>
    <cellStyle name="Comma 4 2 2 3 6 3 2" xfId="14700" xr:uid="{A194A882-061D-4A08-8C53-31C04149E4F1}"/>
    <cellStyle name="Comma 4 2 2 3 6 3 3" xfId="23146" xr:uid="{1B65FDE1-90F9-4D51-9C4F-A0A064A00437}"/>
    <cellStyle name="Comma 4 2 2 3 6 4" xfId="10482" xr:uid="{BDAB93FD-35FD-4E3C-9F6A-0F21C7B587B7}"/>
    <cellStyle name="Comma 4 2 2 3 6 5" xfId="18927" xr:uid="{70D1370D-76C1-4D36-9656-8C772AA5A126}"/>
    <cellStyle name="Comma 4 2 2 3 7" xfId="2386" xr:uid="{00000000-0005-0000-0000-000025080000}"/>
    <cellStyle name="Comma 4 2 2 3 7 2" xfId="6671" xr:uid="{00000000-0005-0000-0000-000026080000}"/>
    <cellStyle name="Comma 4 2 2 3 7 2 2" xfId="15113" xr:uid="{3D235095-B30F-4E55-AF2A-53EA9A9DDA8A}"/>
    <cellStyle name="Comma 4 2 2 3 7 2 3" xfId="23559" xr:uid="{9C3482A6-022D-4252-8744-F78048EFDD1C}"/>
    <cellStyle name="Comma 4 2 2 3 7 3" xfId="10895" xr:uid="{00BE03A1-F9AE-4981-A0D2-4F2246022FD7}"/>
    <cellStyle name="Comma 4 2 2 3 7 4" xfId="19340" xr:uid="{E9D8C3EE-4332-4738-B955-46BD467DD64E}"/>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3CE75E90-E24A-4C7E-A2D9-CC9FACB730C1}"/>
    <cellStyle name="Comma 4 2 2 3 9 2 3" xfId="23876" xr:uid="{B01CEB03-8664-499C-977E-71EC697A0376}"/>
    <cellStyle name="Comma 4 2 2 3 9 3" xfId="11212" xr:uid="{2F7CE7A5-0231-4252-8DCA-07BC9B81AA54}"/>
    <cellStyle name="Comma 4 2 2 3 9 4" xfId="19659" xr:uid="{8F0DC3B1-5A91-40CE-96D9-C330946257DA}"/>
    <cellStyle name="Comma 4 2 2 4" xfId="134" xr:uid="{00000000-0005-0000-0000-00002A080000}"/>
    <cellStyle name="Comma 4 2 2 4 10" xfId="8831" xr:uid="{491892E4-E932-4DDD-BCF8-A928064AF018}"/>
    <cellStyle name="Comma 4 2 2 4 11" xfId="17274" xr:uid="{B2729EEF-49B1-4E68-A404-611D3F6E8C97}"/>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82058334-4E90-44DE-8460-C32ACDA1EA26}"/>
    <cellStyle name="Comma 4 2 2 4 2 2 2 3" xfId="24054" xr:uid="{28B59729-03B5-4D14-B004-AB39E8D75277}"/>
    <cellStyle name="Comma 4 2 2 4 2 2 3" xfId="11390" xr:uid="{65EFB75D-A0A7-4E2B-8DC2-58DD030878BE}"/>
    <cellStyle name="Comma 4 2 2 4 2 2 4" xfId="19837" xr:uid="{F6698518-7236-4ABB-B145-760A4929D93A}"/>
    <cellStyle name="Comma 4 2 2 4 2 3" xfId="5021" xr:uid="{00000000-0005-0000-0000-00002E080000}"/>
    <cellStyle name="Comma 4 2 2 4 2 3 2" xfId="13463" xr:uid="{D866E671-0EDD-4FD6-987A-515F8B656EB9}"/>
    <cellStyle name="Comma 4 2 2 4 2 3 3" xfId="21909" xr:uid="{1437CCD7-334F-4008-B1B9-8BE9E180C3C0}"/>
    <cellStyle name="Comma 4 2 2 4 2 4" xfId="9245" xr:uid="{90B6D25A-0F09-4D5F-92AC-123716D1C84C}"/>
    <cellStyle name="Comma 4 2 2 4 2 5" xfId="17690" xr:uid="{1BB0E4B8-F1EC-4AAD-A2D3-41F9B9B5DE9F}"/>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A23945A4-8EA3-4344-ABE1-2D23214F925D}"/>
    <cellStyle name="Comma 4 2 2 4 3 2 2 3" xfId="24467" xr:uid="{1A89B4A1-811D-4488-944E-61ABFFA58CC8}"/>
    <cellStyle name="Comma 4 2 2 4 3 2 3" xfId="11803" xr:uid="{037911BE-5371-46CF-B34F-11BAEBDB5CAC}"/>
    <cellStyle name="Comma 4 2 2 4 3 2 4" xfId="20250" xr:uid="{A3F499E8-B74E-4F7A-BB64-C934D95F1FF2}"/>
    <cellStyle name="Comma 4 2 2 4 3 3" xfId="5434" xr:uid="{00000000-0005-0000-0000-000032080000}"/>
    <cellStyle name="Comma 4 2 2 4 3 3 2" xfId="13876" xr:uid="{BF4F2931-A4BE-46B8-A235-3FA62BB0451E}"/>
    <cellStyle name="Comma 4 2 2 4 3 3 3" xfId="22322" xr:uid="{D1C56CE1-7F15-400E-9EA2-D76DDCBE2F77}"/>
    <cellStyle name="Comma 4 2 2 4 3 4" xfId="9658" xr:uid="{435164A0-1F24-4628-8279-1C95F6CA4A6C}"/>
    <cellStyle name="Comma 4 2 2 4 3 5" xfId="18103" xr:uid="{E1871E7B-06A0-4058-94F0-F5306152962F}"/>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BE511062-ACE7-4C1D-9EC0-2EF05E2FF360}"/>
    <cellStyle name="Comma 4 2 2 4 4 2 2 3" xfId="24880" xr:uid="{96CD296D-61DB-4501-85B6-CC908DC4825B}"/>
    <cellStyle name="Comma 4 2 2 4 4 2 3" xfId="12216" xr:uid="{A611CA18-E132-4676-96FD-83F89880D584}"/>
    <cellStyle name="Comma 4 2 2 4 4 2 4" xfId="20663" xr:uid="{B90DE029-D7A1-4FAA-AADE-99D0EA80CFD1}"/>
    <cellStyle name="Comma 4 2 2 4 4 3" xfId="5847" xr:uid="{00000000-0005-0000-0000-000036080000}"/>
    <cellStyle name="Comma 4 2 2 4 4 3 2" xfId="14289" xr:uid="{E680578E-9A6B-4DD4-B738-97DC37C9936F}"/>
    <cellStyle name="Comma 4 2 2 4 4 3 3" xfId="22735" xr:uid="{4D84D5FD-8ADD-4B13-A8EC-0DB8086F5C10}"/>
    <cellStyle name="Comma 4 2 2 4 4 4" xfId="10071" xr:uid="{2A7B1D51-D97F-4853-8474-052F59660561}"/>
    <cellStyle name="Comma 4 2 2 4 4 5" xfId="18516" xr:uid="{767B1966-DD6F-4B64-9D26-C7059411C69E}"/>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5EEDD18B-AB5C-4932-B1EA-2D18237E144A}"/>
    <cellStyle name="Comma 4 2 2 4 5 2 2 3" xfId="25293" xr:uid="{24AC0403-8C62-4D1D-8DBC-CA9D9E516A60}"/>
    <cellStyle name="Comma 4 2 2 4 5 2 3" xfId="12629" xr:uid="{FCFEF6DD-25EA-4D9C-8A4A-A24DD55C922B}"/>
    <cellStyle name="Comma 4 2 2 4 5 2 4" xfId="21076" xr:uid="{4590DB6A-BCBA-49B9-BDD6-DBBE44986139}"/>
    <cellStyle name="Comma 4 2 2 4 5 3" xfId="6260" xr:uid="{00000000-0005-0000-0000-00003A080000}"/>
    <cellStyle name="Comma 4 2 2 4 5 3 2" xfId="14702" xr:uid="{B7AA2684-249E-458E-A166-B540E12050B2}"/>
    <cellStyle name="Comma 4 2 2 4 5 3 3" xfId="23148" xr:uid="{65CBE098-0B1C-417F-92FF-2F5A83391381}"/>
    <cellStyle name="Comma 4 2 2 4 5 4" xfId="10484" xr:uid="{122063C8-0782-4FFC-80E9-F1D36D6C17E3}"/>
    <cellStyle name="Comma 4 2 2 4 5 5" xfId="18929" xr:uid="{5699EE71-84DD-4319-B804-92F6EF8300FF}"/>
    <cellStyle name="Comma 4 2 2 4 6" xfId="2388" xr:uid="{00000000-0005-0000-0000-00003B080000}"/>
    <cellStyle name="Comma 4 2 2 4 6 2" xfId="6673" xr:uid="{00000000-0005-0000-0000-00003C080000}"/>
    <cellStyle name="Comma 4 2 2 4 6 2 2" xfId="15115" xr:uid="{4DC611C8-1D67-4064-8E38-98150BED607F}"/>
    <cellStyle name="Comma 4 2 2 4 6 2 3" xfId="23561" xr:uid="{8B070560-082E-472D-A46A-FCFCB344CBA7}"/>
    <cellStyle name="Comma 4 2 2 4 6 3" xfId="10897" xr:uid="{E3D15DE3-6021-4187-BF07-7081203D46AE}"/>
    <cellStyle name="Comma 4 2 2 4 6 4" xfId="19342" xr:uid="{980A05BE-B25F-4D37-BA9B-F2D677FEA834}"/>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75CF956A-7047-48FE-AB25-ABF5282821E0}"/>
    <cellStyle name="Comma 4 2 2 4 8 2 3" xfId="23878" xr:uid="{9D44F1AA-88F2-4FE0-A0BE-B3EFE4E802EF}"/>
    <cellStyle name="Comma 4 2 2 4 8 3" xfId="11214" xr:uid="{E4D66751-469D-45B0-B784-5C5428F222A9}"/>
    <cellStyle name="Comma 4 2 2 4 8 4" xfId="19661" xr:uid="{03567569-DA90-4E77-9BBA-136AA6077B37}"/>
    <cellStyle name="Comma 4 2 2 4 9" xfId="4607" xr:uid="{00000000-0005-0000-0000-000040080000}"/>
    <cellStyle name="Comma 4 2 2 4 9 2" xfId="13049" xr:uid="{90831BCC-5091-405F-8C99-64F7F57C845C}"/>
    <cellStyle name="Comma 4 2 2 4 9 3" xfId="21495" xr:uid="{A32CDCDC-8381-4FC7-8C18-2CCFA81CB507}"/>
    <cellStyle name="Comma 4 2 2 5" xfId="135" xr:uid="{00000000-0005-0000-0000-000041080000}"/>
    <cellStyle name="Comma 4 2 2 5 10" xfId="8832" xr:uid="{27EA7D8C-0A78-45AA-97D0-C1B0DF3AD2E7}"/>
    <cellStyle name="Comma 4 2 2 5 11" xfId="17275" xr:uid="{234AC0EB-D6AD-4559-8F30-9CA06EBF5FBA}"/>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D7212C31-2D96-4531-AAA1-A09AA96C051B}"/>
    <cellStyle name="Comma 4 2 2 5 2 2 2 3" xfId="24055" xr:uid="{9903B661-A09A-44A8-8813-C92D7CA753AB}"/>
    <cellStyle name="Comma 4 2 2 5 2 2 3" xfId="11391" xr:uid="{BBF7FBCB-62A0-4DC6-9E15-0CD354983574}"/>
    <cellStyle name="Comma 4 2 2 5 2 2 4" xfId="19838" xr:uid="{14C3EC3D-6476-4B3D-9E6C-D98EC0C7181B}"/>
    <cellStyle name="Comma 4 2 2 5 2 3" xfId="5022" xr:uid="{00000000-0005-0000-0000-000045080000}"/>
    <cellStyle name="Comma 4 2 2 5 2 3 2" xfId="13464" xr:uid="{21F4DF5B-B626-441E-9436-7879D3A4E6BE}"/>
    <cellStyle name="Comma 4 2 2 5 2 3 3" xfId="21910" xr:uid="{39730E30-E2A3-4E47-9775-E42CE5E87193}"/>
    <cellStyle name="Comma 4 2 2 5 2 4" xfId="9246" xr:uid="{4BCEBC36-1136-4034-874B-7D8849BBF45D}"/>
    <cellStyle name="Comma 4 2 2 5 2 5" xfId="17691" xr:uid="{FD575277-30D8-4E4C-884B-47AA9BC791BB}"/>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624E7929-2F6A-459D-A6F3-3557ABA2725E}"/>
    <cellStyle name="Comma 4 2 2 5 3 2 2 3" xfId="24468" xr:uid="{23AEA94D-2B55-4FAE-B1AF-67C22BD5FC9F}"/>
    <cellStyle name="Comma 4 2 2 5 3 2 3" xfId="11804" xr:uid="{9BEAEF1D-8BB5-4BC4-A99F-37EA8ED5CC3C}"/>
    <cellStyle name="Comma 4 2 2 5 3 2 4" xfId="20251" xr:uid="{24282FB7-1C14-48D2-A9F7-CD734D1A1FB8}"/>
    <cellStyle name="Comma 4 2 2 5 3 3" xfId="5435" xr:uid="{00000000-0005-0000-0000-000049080000}"/>
    <cellStyle name="Comma 4 2 2 5 3 3 2" xfId="13877" xr:uid="{2C86C1AC-5B85-4CE2-93B5-E8755EF54483}"/>
    <cellStyle name="Comma 4 2 2 5 3 3 3" xfId="22323" xr:uid="{CFFDA488-AE70-48F9-A8BA-F4BE1FAAA984}"/>
    <cellStyle name="Comma 4 2 2 5 3 4" xfId="9659" xr:uid="{20F22B10-2DCD-4C26-988A-BB3F0EA8DDFE}"/>
    <cellStyle name="Comma 4 2 2 5 3 5" xfId="18104" xr:uid="{FFE71FEF-AB9C-4227-8FB5-04AB7BA44E9B}"/>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66C11960-0E56-4BFC-AE17-90C002DF61B0}"/>
    <cellStyle name="Comma 4 2 2 5 4 2 2 3" xfId="24881" xr:uid="{44B714CD-3B5F-4036-A051-AACBF5C78AFB}"/>
    <cellStyle name="Comma 4 2 2 5 4 2 3" xfId="12217" xr:uid="{F162920B-4B11-4640-9CD3-A6AD71C831FC}"/>
    <cellStyle name="Comma 4 2 2 5 4 2 4" xfId="20664" xr:uid="{4EB87769-5FE2-45FC-BC08-31767553DD18}"/>
    <cellStyle name="Comma 4 2 2 5 4 3" xfId="5848" xr:uid="{00000000-0005-0000-0000-00004D080000}"/>
    <cellStyle name="Comma 4 2 2 5 4 3 2" xfId="14290" xr:uid="{F0F9C004-FCF8-443F-AB8F-DACF1CF12AC0}"/>
    <cellStyle name="Comma 4 2 2 5 4 3 3" xfId="22736" xr:uid="{E6B227F6-F1FB-4AEE-BF78-AE9A01A6EE8F}"/>
    <cellStyle name="Comma 4 2 2 5 4 4" xfId="10072" xr:uid="{C16BE403-FF9C-4226-985F-F320FFD66034}"/>
    <cellStyle name="Comma 4 2 2 5 4 5" xfId="18517" xr:uid="{623A5D3F-0BC0-44F2-8DE7-39860B48BB05}"/>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9B1A92F3-576E-4502-AB1E-046F0AF1A569}"/>
    <cellStyle name="Comma 4 2 2 5 5 2 2 3" xfId="25294" xr:uid="{4090D2A0-F184-4592-AFB3-8D34568B52E2}"/>
    <cellStyle name="Comma 4 2 2 5 5 2 3" xfId="12630" xr:uid="{ABEA60A8-5CF0-41A8-B506-EC46463B09B6}"/>
    <cellStyle name="Comma 4 2 2 5 5 2 4" xfId="21077" xr:uid="{7B95569C-412A-49F0-B2F2-246FD621FF67}"/>
    <cellStyle name="Comma 4 2 2 5 5 3" xfId="6261" xr:uid="{00000000-0005-0000-0000-000051080000}"/>
    <cellStyle name="Comma 4 2 2 5 5 3 2" xfId="14703" xr:uid="{39BD925A-DF1C-421D-91B7-69AE7918FCE4}"/>
    <cellStyle name="Comma 4 2 2 5 5 3 3" xfId="23149" xr:uid="{45705BE9-27EB-4B05-BCA8-AECB1CA8AB3B}"/>
    <cellStyle name="Comma 4 2 2 5 5 4" xfId="10485" xr:uid="{DA988BB5-C38E-4C5C-877A-B399296B6DF4}"/>
    <cellStyle name="Comma 4 2 2 5 5 5" xfId="18930" xr:uid="{3F3FA22A-E8A6-45C1-BABB-2632E0D496E0}"/>
    <cellStyle name="Comma 4 2 2 5 6" xfId="2389" xr:uid="{00000000-0005-0000-0000-000052080000}"/>
    <cellStyle name="Comma 4 2 2 5 6 2" xfId="6674" xr:uid="{00000000-0005-0000-0000-000053080000}"/>
    <cellStyle name="Comma 4 2 2 5 6 2 2" xfId="15116" xr:uid="{639C8088-CF8F-4D63-B7A6-19F159E6A946}"/>
    <cellStyle name="Comma 4 2 2 5 6 2 3" xfId="23562" xr:uid="{247C78BD-5CB8-455C-956F-073C129773E1}"/>
    <cellStyle name="Comma 4 2 2 5 6 3" xfId="10898" xr:uid="{A60ED5B3-D146-4CEF-8652-09D3708605F2}"/>
    <cellStyle name="Comma 4 2 2 5 6 4" xfId="19343" xr:uid="{2571FE89-73C0-40D6-AFC7-3888516D14EC}"/>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2F6BBD66-B633-4C25-B046-4CD63831A181}"/>
    <cellStyle name="Comma 4 2 2 5 8 2 3" xfId="23879" xr:uid="{A9B4FA09-7679-473F-B2C3-65C079971396}"/>
    <cellStyle name="Comma 4 2 2 5 8 3" xfId="11215" xr:uid="{F6879A61-5972-45D9-8D14-E7C8697EF998}"/>
    <cellStyle name="Comma 4 2 2 5 8 4" xfId="19662" xr:uid="{2DA38611-BE34-44C3-96CB-72328399E641}"/>
    <cellStyle name="Comma 4 2 2 5 9" xfId="4608" xr:uid="{00000000-0005-0000-0000-000057080000}"/>
    <cellStyle name="Comma 4 2 2 5 9 2" xfId="13050" xr:uid="{40A5F996-B1B2-4F4C-AD51-618B6765C214}"/>
    <cellStyle name="Comma 4 2 2 5 9 3" xfId="21496" xr:uid="{D5D1C447-C06D-4B10-9488-EC135AF623BD}"/>
    <cellStyle name="Comma 4 2 3" xfId="136" xr:uid="{00000000-0005-0000-0000-000058080000}"/>
    <cellStyle name="Comma 4 2 3 10" xfId="2768" xr:uid="{00000000-0005-0000-0000-000059080000}"/>
    <cellStyle name="Comma 4 2 3 10 2" xfId="6992" xr:uid="{00000000-0005-0000-0000-00005A080000}"/>
    <cellStyle name="Comma 4 2 3 10 2 2" xfId="15434" xr:uid="{DB128C84-8E0C-42D3-B5AA-215A4DC92F8C}"/>
    <cellStyle name="Comma 4 2 3 10 2 3" xfId="23880" xr:uid="{8B794DD4-C322-4D9C-8205-9D79BE88629F}"/>
    <cellStyle name="Comma 4 2 3 10 3" xfId="11216" xr:uid="{6315C449-FD02-40F9-8F57-1BDD39432CFB}"/>
    <cellStyle name="Comma 4 2 3 10 4" xfId="19663" xr:uid="{3C2CD62B-87F5-4A8B-AE77-B7CA2F5BD657}"/>
    <cellStyle name="Comma 4 2 3 11" xfId="4609" xr:uid="{00000000-0005-0000-0000-00005B080000}"/>
    <cellStyle name="Comma 4 2 3 11 2" xfId="13051" xr:uid="{EFEAA7BC-941A-481C-B9C0-DE1F1022A285}"/>
    <cellStyle name="Comma 4 2 3 11 3" xfId="21497" xr:uid="{3AAB72EF-E516-4EDE-A2B2-0D88251110C1}"/>
    <cellStyle name="Comma 4 2 3 12" xfId="8833" xr:uid="{0CAD18E5-4882-4292-ABAB-DFB0BE5B93E1}"/>
    <cellStyle name="Comma 4 2 3 13" xfId="17276" xr:uid="{055CAB53-548D-45DC-9D08-CDDA75B8761A}"/>
    <cellStyle name="Comma 4 2 3 2" xfId="137" xr:uid="{00000000-0005-0000-0000-00005C080000}"/>
    <cellStyle name="Comma 4 2 3 2 10" xfId="4610" xr:uid="{00000000-0005-0000-0000-00005D080000}"/>
    <cellStyle name="Comma 4 2 3 2 10 2" xfId="13052" xr:uid="{933EB7DD-AD6C-404E-A2F1-7982F4166E33}"/>
    <cellStyle name="Comma 4 2 3 2 10 3" xfId="21498" xr:uid="{204132D6-E456-4CDB-98E2-2C9A26D2A557}"/>
    <cellStyle name="Comma 4 2 3 2 11" xfId="8834" xr:uid="{78DDA3CF-9FAB-428C-B5BD-A9BA2002040D}"/>
    <cellStyle name="Comma 4 2 3 2 12" xfId="17277" xr:uid="{B2BF5CFC-77D0-4F0A-8B0C-EA5B864504DA}"/>
    <cellStyle name="Comma 4 2 3 2 2" xfId="138" xr:uid="{00000000-0005-0000-0000-00005E080000}"/>
    <cellStyle name="Comma 4 2 3 2 2 10" xfId="8835" xr:uid="{93EA5AB4-447B-42A2-9A2A-113DC3E5B480}"/>
    <cellStyle name="Comma 4 2 3 2 2 11" xfId="17278" xr:uid="{B42AD5CB-62F2-42DD-8B93-4146D700D882}"/>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E8997CE4-1AFF-4216-8AE4-D9133A6D51E8}"/>
    <cellStyle name="Comma 4 2 3 2 2 2 2 2 3" xfId="24058" xr:uid="{D384DDB4-19D6-4B7C-9FCF-1C1117D240F0}"/>
    <cellStyle name="Comma 4 2 3 2 2 2 2 3" xfId="11394" xr:uid="{E809A3CF-2F06-45CA-A52D-CC3D6A59D090}"/>
    <cellStyle name="Comma 4 2 3 2 2 2 2 4" xfId="19841" xr:uid="{F6667979-9B2C-4C43-82D8-968A50116BE9}"/>
    <cellStyle name="Comma 4 2 3 2 2 2 3" xfId="5025" xr:uid="{00000000-0005-0000-0000-000062080000}"/>
    <cellStyle name="Comma 4 2 3 2 2 2 3 2" xfId="13467" xr:uid="{6F1D3B75-9AF6-4348-9719-4E1C368C7611}"/>
    <cellStyle name="Comma 4 2 3 2 2 2 3 3" xfId="21913" xr:uid="{739E448C-1347-4928-B16C-DD9D2358BF4B}"/>
    <cellStyle name="Comma 4 2 3 2 2 2 4" xfId="9249" xr:uid="{B0C91E3B-3694-4754-8ED6-642E18FA9F23}"/>
    <cellStyle name="Comma 4 2 3 2 2 2 5" xfId="17694" xr:uid="{A9E691BF-49C0-41AF-B0A6-4E52F77457E6}"/>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A484D402-B51E-4D61-A2C4-BD8C97598AD7}"/>
    <cellStyle name="Comma 4 2 3 2 2 3 2 2 3" xfId="24471" xr:uid="{818EDF16-3AF0-413C-ABD5-D112DA8C571F}"/>
    <cellStyle name="Comma 4 2 3 2 2 3 2 3" xfId="11807" xr:uid="{DF94B1A5-D354-4648-8A84-0BD3525A3E2A}"/>
    <cellStyle name="Comma 4 2 3 2 2 3 2 4" xfId="20254" xr:uid="{6F1A0508-7C77-4614-8ED7-A06316BBF4C7}"/>
    <cellStyle name="Comma 4 2 3 2 2 3 3" xfId="5438" xr:uid="{00000000-0005-0000-0000-000066080000}"/>
    <cellStyle name="Comma 4 2 3 2 2 3 3 2" xfId="13880" xr:uid="{28956DE3-7824-4EF1-BB99-D439EB297888}"/>
    <cellStyle name="Comma 4 2 3 2 2 3 3 3" xfId="22326" xr:uid="{93BB61E6-D10A-41B8-A023-5835F7D3B2A1}"/>
    <cellStyle name="Comma 4 2 3 2 2 3 4" xfId="9662" xr:uid="{74217A22-09E8-4A05-A341-9926A9C3420B}"/>
    <cellStyle name="Comma 4 2 3 2 2 3 5" xfId="18107" xr:uid="{373E54DD-A577-47D2-9CAB-0B1B2576E2D1}"/>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D0B7DD83-A5C6-4D7E-A82A-311CD79A7007}"/>
    <cellStyle name="Comma 4 2 3 2 2 4 2 2 3" xfId="24884" xr:uid="{323E71CB-5DE5-4DE8-8715-575241E76688}"/>
    <cellStyle name="Comma 4 2 3 2 2 4 2 3" xfId="12220" xr:uid="{CB75580B-12F2-4D9A-AA47-41585AD413C0}"/>
    <cellStyle name="Comma 4 2 3 2 2 4 2 4" xfId="20667" xr:uid="{254F9883-FC5B-43C7-AFB2-FE32120EA0DC}"/>
    <cellStyle name="Comma 4 2 3 2 2 4 3" xfId="5851" xr:uid="{00000000-0005-0000-0000-00006A080000}"/>
    <cellStyle name="Comma 4 2 3 2 2 4 3 2" xfId="14293" xr:uid="{F4CABB2C-6EE9-4A1E-9A4A-29D5B222D489}"/>
    <cellStyle name="Comma 4 2 3 2 2 4 3 3" xfId="22739" xr:uid="{1EF35244-5C7D-483C-AB20-DC7DB04193D5}"/>
    <cellStyle name="Comma 4 2 3 2 2 4 4" xfId="10075" xr:uid="{D47BF5B9-9ECA-4986-A291-B00A4FE1E550}"/>
    <cellStyle name="Comma 4 2 3 2 2 4 5" xfId="18520" xr:uid="{3892B7DB-F0DD-4328-A755-0C04BCFA312B}"/>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D5EBB393-801C-4DE5-92D2-4CB42BF2D2AC}"/>
    <cellStyle name="Comma 4 2 3 2 2 5 2 2 3" xfId="25297" xr:uid="{8997EB42-ADE2-446C-A149-14DA65DF9D6D}"/>
    <cellStyle name="Comma 4 2 3 2 2 5 2 3" xfId="12633" xr:uid="{3ACD3D27-BA87-4136-94CE-16143FDFED85}"/>
    <cellStyle name="Comma 4 2 3 2 2 5 2 4" xfId="21080" xr:uid="{B9C96DE9-6747-489F-A925-BE684D1DFB1D}"/>
    <cellStyle name="Comma 4 2 3 2 2 5 3" xfId="6264" xr:uid="{00000000-0005-0000-0000-00006E080000}"/>
    <cellStyle name="Comma 4 2 3 2 2 5 3 2" xfId="14706" xr:uid="{F6F1C306-39FE-4BB5-A699-C631806EC46C}"/>
    <cellStyle name="Comma 4 2 3 2 2 5 3 3" xfId="23152" xr:uid="{967A449F-B644-4130-9846-6FA2C56DED56}"/>
    <cellStyle name="Comma 4 2 3 2 2 5 4" xfId="10488" xr:uid="{BDF5A7E0-74B3-4747-A4AF-05437A38E19E}"/>
    <cellStyle name="Comma 4 2 3 2 2 5 5" xfId="18933" xr:uid="{A5352187-6379-4268-9BE0-22231369DD55}"/>
    <cellStyle name="Comma 4 2 3 2 2 6" xfId="2392" xr:uid="{00000000-0005-0000-0000-00006F080000}"/>
    <cellStyle name="Comma 4 2 3 2 2 6 2" xfId="6677" xr:uid="{00000000-0005-0000-0000-000070080000}"/>
    <cellStyle name="Comma 4 2 3 2 2 6 2 2" xfId="15119" xr:uid="{1952412D-E588-4F77-9F5C-C1ACB94EA7C2}"/>
    <cellStyle name="Comma 4 2 3 2 2 6 2 3" xfId="23565" xr:uid="{9A68036C-848E-4C12-A073-6F40D3C09642}"/>
    <cellStyle name="Comma 4 2 3 2 2 6 3" xfId="10901" xr:uid="{E967F3D9-4FB1-4CD4-9AB9-D801791446DF}"/>
    <cellStyle name="Comma 4 2 3 2 2 6 4" xfId="19346" xr:uid="{D595911B-D71D-408F-9AD7-5A7B0FBA685E}"/>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4B92AA7F-DD44-4AD9-AC12-1543C43D7ADD}"/>
    <cellStyle name="Comma 4 2 3 2 2 8 2 3" xfId="23882" xr:uid="{7EF864F8-ED53-4F4F-92D6-544B482CA5BC}"/>
    <cellStyle name="Comma 4 2 3 2 2 8 3" xfId="11218" xr:uid="{FC95DC5C-571B-431F-B1A4-939540150D7B}"/>
    <cellStyle name="Comma 4 2 3 2 2 8 4" xfId="19665" xr:uid="{EF442B30-F1D8-44C8-AA42-6E89D66396A3}"/>
    <cellStyle name="Comma 4 2 3 2 2 9" xfId="4611" xr:uid="{00000000-0005-0000-0000-000074080000}"/>
    <cellStyle name="Comma 4 2 3 2 2 9 2" xfId="13053" xr:uid="{B4A819A9-8256-47CB-970E-93B6134E29CD}"/>
    <cellStyle name="Comma 4 2 3 2 2 9 3" xfId="21499" xr:uid="{27C38BAC-614B-4689-9086-34AB99AF023C}"/>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0E39631D-1680-4399-A2B2-A07BB66280F6}"/>
    <cellStyle name="Comma 4 2 3 2 3 2 2 3" xfId="24057" xr:uid="{32DA8516-A336-47C0-A5B8-2545D6D8B840}"/>
    <cellStyle name="Comma 4 2 3 2 3 2 3" xfId="11393" xr:uid="{283B8BD4-16B1-4D37-8983-58236C01728C}"/>
    <cellStyle name="Comma 4 2 3 2 3 2 4" xfId="19840" xr:uid="{25427B10-7C28-4418-8BB5-96A3EF929CF3}"/>
    <cellStyle name="Comma 4 2 3 2 3 3" xfId="5024" xr:uid="{00000000-0005-0000-0000-000078080000}"/>
    <cellStyle name="Comma 4 2 3 2 3 3 2" xfId="13466" xr:uid="{59301A51-71BF-4BDC-A19E-AC39A2629818}"/>
    <cellStyle name="Comma 4 2 3 2 3 3 3" xfId="21912" xr:uid="{BEACD156-A77E-4D7A-AFEF-6440582F7CE9}"/>
    <cellStyle name="Comma 4 2 3 2 3 4" xfId="9248" xr:uid="{059DA8FE-5628-42AC-88A4-47D6C15FCC7C}"/>
    <cellStyle name="Comma 4 2 3 2 3 5" xfId="17693" xr:uid="{F1C9B156-78FB-4A90-B8E0-5F8921A0B16E}"/>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CB61324B-B2BE-4854-9C15-7879AB81789B}"/>
    <cellStyle name="Comma 4 2 3 2 4 2 2 3" xfId="24470" xr:uid="{AD7D1BD5-33AA-4F78-B0AC-132090243B18}"/>
    <cellStyle name="Comma 4 2 3 2 4 2 3" xfId="11806" xr:uid="{1291D349-E7D6-48BD-BF05-DC9D77041CC3}"/>
    <cellStyle name="Comma 4 2 3 2 4 2 4" xfId="20253" xr:uid="{E35CCDEB-97CC-4589-B49E-38BADC494C40}"/>
    <cellStyle name="Comma 4 2 3 2 4 3" xfId="5437" xr:uid="{00000000-0005-0000-0000-00007C080000}"/>
    <cellStyle name="Comma 4 2 3 2 4 3 2" xfId="13879" xr:uid="{2C59D8EB-114F-4BB4-9917-862631FB659A}"/>
    <cellStyle name="Comma 4 2 3 2 4 3 3" xfId="22325" xr:uid="{28703046-9EE1-4FAE-9317-8BFAAE2136F3}"/>
    <cellStyle name="Comma 4 2 3 2 4 4" xfId="9661" xr:uid="{CA641443-EB22-465A-8869-81A69021BD5F}"/>
    <cellStyle name="Comma 4 2 3 2 4 5" xfId="18106" xr:uid="{41B35EE3-31A0-4001-B5FD-C746D4CDC227}"/>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76A87C12-C869-45B9-BD30-EF19089F48F4}"/>
    <cellStyle name="Comma 4 2 3 2 5 2 2 3" xfId="24883" xr:uid="{6B413733-319B-4D15-A17C-ADB9BB998326}"/>
    <cellStyle name="Comma 4 2 3 2 5 2 3" xfId="12219" xr:uid="{7EC89676-AF96-4EF0-A516-41F7E3798D4B}"/>
    <cellStyle name="Comma 4 2 3 2 5 2 4" xfId="20666" xr:uid="{2239C6C5-9E79-4128-BB31-967CAAD4DD23}"/>
    <cellStyle name="Comma 4 2 3 2 5 3" xfId="5850" xr:uid="{00000000-0005-0000-0000-000080080000}"/>
    <cellStyle name="Comma 4 2 3 2 5 3 2" xfId="14292" xr:uid="{03A5897E-7199-49B7-8E6A-80C44C2218CC}"/>
    <cellStyle name="Comma 4 2 3 2 5 3 3" xfId="22738" xr:uid="{832A1340-9130-4DB4-8DEE-A4D3B45F159F}"/>
    <cellStyle name="Comma 4 2 3 2 5 4" xfId="10074" xr:uid="{D32B975E-CC15-4D2F-92B8-62A9B72C5D38}"/>
    <cellStyle name="Comma 4 2 3 2 5 5" xfId="18519" xr:uid="{97522C49-3662-429B-84AC-C305DA025529}"/>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787D7BEE-E038-4048-A078-C6A721F1B663}"/>
    <cellStyle name="Comma 4 2 3 2 6 2 2 3" xfId="25296" xr:uid="{F9BD8408-A61D-47DB-8D9E-1ADAAEF54BED}"/>
    <cellStyle name="Comma 4 2 3 2 6 2 3" xfId="12632" xr:uid="{900537FA-F3E7-41B5-8054-AD7FE2F14B40}"/>
    <cellStyle name="Comma 4 2 3 2 6 2 4" xfId="21079" xr:uid="{BDBD4FF1-BE2A-4830-AE8D-B255D622BBCF}"/>
    <cellStyle name="Comma 4 2 3 2 6 3" xfId="6263" xr:uid="{00000000-0005-0000-0000-000084080000}"/>
    <cellStyle name="Comma 4 2 3 2 6 3 2" xfId="14705" xr:uid="{A5B1D603-5CF9-479F-AAFA-9A4541C8FA4D}"/>
    <cellStyle name="Comma 4 2 3 2 6 3 3" xfId="23151" xr:uid="{643FC087-E9BC-4660-AD5F-F21BB156C741}"/>
    <cellStyle name="Comma 4 2 3 2 6 4" xfId="10487" xr:uid="{5D02EBEB-FCCB-443E-AFBC-EDD0F95DD25E}"/>
    <cellStyle name="Comma 4 2 3 2 6 5" xfId="18932" xr:uid="{48CA5BD3-4EF2-4468-B99A-A0A0ED774E89}"/>
    <cellStyle name="Comma 4 2 3 2 7" xfId="2391" xr:uid="{00000000-0005-0000-0000-000085080000}"/>
    <cellStyle name="Comma 4 2 3 2 7 2" xfId="6676" xr:uid="{00000000-0005-0000-0000-000086080000}"/>
    <cellStyle name="Comma 4 2 3 2 7 2 2" xfId="15118" xr:uid="{3B9C5202-675E-4AE8-B294-B3DE2C95B9D8}"/>
    <cellStyle name="Comma 4 2 3 2 7 2 3" xfId="23564" xr:uid="{D00053F5-EBAD-4F45-AAE3-14315B39FB82}"/>
    <cellStyle name="Comma 4 2 3 2 7 3" xfId="10900" xr:uid="{87C030C2-DA7B-4662-A41C-73B189916A7F}"/>
    <cellStyle name="Comma 4 2 3 2 7 4" xfId="19345" xr:uid="{195C3F22-86EC-4766-AF40-07683C44A48B}"/>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1A8EA9C2-1A3F-43BD-8953-89D1BE7A90F4}"/>
    <cellStyle name="Comma 4 2 3 2 9 2 3" xfId="23881" xr:uid="{956F8F46-E4EA-44A1-925B-91C12329456B}"/>
    <cellStyle name="Comma 4 2 3 2 9 3" xfId="11217" xr:uid="{45A095AA-9361-4CC8-B9C8-357ACE17FE90}"/>
    <cellStyle name="Comma 4 2 3 2 9 4" xfId="19664" xr:uid="{0D34DF3B-5EE8-4726-9528-97876959FC14}"/>
    <cellStyle name="Comma 4 2 3 3" xfId="139" xr:uid="{00000000-0005-0000-0000-00008A080000}"/>
    <cellStyle name="Comma 4 2 3 3 10" xfId="8836" xr:uid="{F1AADE67-C636-48CF-BDC1-4B2F9338DD7C}"/>
    <cellStyle name="Comma 4 2 3 3 11" xfId="17279" xr:uid="{C6FE25CC-09BD-4135-9187-0B97C1D5B27D}"/>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F0F7D6AD-8DEC-4D17-8F59-668162B349A4}"/>
    <cellStyle name="Comma 4 2 3 3 2 2 2 3" xfId="24059" xr:uid="{B85978AC-9F50-47E5-BF61-3C062210FD2F}"/>
    <cellStyle name="Comma 4 2 3 3 2 2 3" xfId="11395" xr:uid="{87C0C9D6-A2BE-4CDA-9542-43B06AF7F153}"/>
    <cellStyle name="Comma 4 2 3 3 2 2 4" xfId="19842" xr:uid="{3749632B-F409-4211-9F8B-DA07CD8290F2}"/>
    <cellStyle name="Comma 4 2 3 3 2 3" xfId="5026" xr:uid="{00000000-0005-0000-0000-00008E080000}"/>
    <cellStyle name="Comma 4 2 3 3 2 3 2" xfId="13468" xr:uid="{196CC0CB-AB41-47CC-BE50-6D9C97AED81E}"/>
    <cellStyle name="Comma 4 2 3 3 2 3 3" xfId="21914" xr:uid="{8DA6B9C8-B7FD-40CA-9C7A-EFE00F82DB9A}"/>
    <cellStyle name="Comma 4 2 3 3 2 4" xfId="9250" xr:uid="{AEFA017E-551F-4CCA-89AF-4596654C5376}"/>
    <cellStyle name="Comma 4 2 3 3 2 5" xfId="17695" xr:uid="{146C7F78-1EF3-4E04-99C7-2A82702CB174}"/>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F898792A-1829-434B-A24D-E71FBAC523BB}"/>
    <cellStyle name="Comma 4 2 3 3 3 2 2 3" xfId="24472" xr:uid="{A50850A7-5E89-4530-BAAD-42273C2D1556}"/>
    <cellStyle name="Comma 4 2 3 3 3 2 3" xfId="11808" xr:uid="{99B6E6FF-9199-411A-93F3-B5A609FC0675}"/>
    <cellStyle name="Comma 4 2 3 3 3 2 4" xfId="20255" xr:uid="{5E3F9A65-5189-4A0C-B850-277D291390A9}"/>
    <cellStyle name="Comma 4 2 3 3 3 3" xfId="5439" xr:uid="{00000000-0005-0000-0000-000092080000}"/>
    <cellStyle name="Comma 4 2 3 3 3 3 2" xfId="13881" xr:uid="{3EC43656-AAD2-4362-9CBE-8F91F1D15163}"/>
    <cellStyle name="Comma 4 2 3 3 3 3 3" xfId="22327" xr:uid="{774B6931-4A49-4DE8-8948-F869CE6C019C}"/>
    <cellStyle name="Comma 4 2 3 3 3 4" xfId="9663" xr:uid="{68D6AFFA-3F15-456F-A579-1AF30EA6B00D}"/>
    <cellStyle name="Comma 4 2 3 3 3 5" xfId="18108" xr:uid="{DA00A80C-E8FC-41C3-AF15-0829F9B5DBEB}"/>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7031111C-E92C-4DA2-A4AC-8928ED9A6A67}"/>
    <cellStyle name="Comma 4 2 3 3 4 2 2 3" xfId="24885" xr:uid="{125C0763-A032-4131-9C52-DB9314B2BAC2}"/>
    <cellStyle name="Comma 4 2 3 3 4 2 3" xfId="12221" xr:uid="{E3110B95-3E71-417E-BCDC-27B32393D0DB}"/>
    <cellStyle name="Comma 4 2 3 3 4 2 4" xfId="20668" xr:uid="{0026D6DD-E856-4595-A347-D800E4804EC4}"/>
    <cellStyle name="Comma 4 2 3 3 4 3" xfId="5852" xr:uid="{00000000-0005-0000-0000-000096080000}"/>
    <cellStyle name="Comma 4 2 3 3 4 3 2" xfId="14294" xr:uid="{38A8ADD9-051C-4305-A499-1441F08FC046}"/>
    <cellStyle name="Comma 4 2 3 3 4 3 3" xfId="22740" xr:uid="{8FC347ED-5178-43C8-B6EA-E25EB9932FE8}"/>
    <cellStyle name="Comma 4 2 3 3 4 4" xfId="10076" xr:uid="{1FE2F3EC-1DE2-49E3-A2EB-7358152A7DE8}"/>
    <cellStyle name="Comma 4 2 3 3 4 5" xfId="18521" xr:uid="{C71C91BB-6A20-4DB7-BD3E-0823A8F7E20B}"/>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73FC0014-FA0E-4865-B048-8C11DDEF727E}"/>
    <cellStyle name="Comma 4 2 3 3 5 2 2 3" xfId="25298" xr:uid="{008A26AA-51D8-418B-879F-2F9D3F714EF8}"/>
    <cellStyle name="Comma 4 2 3 3 5 2 3" xfId="12634" xr:uid="{0145E4EC-90E7-4A1B-9551-F0034ADFF8CA}"/>
    <cellStyle name="Comma 4 2 3 3 5 2 4" xfId="21081" xr:uid="{87FE58A6-6C12-4ACD-9E63-44726255EEF1}"/>
    <cellStyle name="Comma 4 2 3 3 5 3" xfId="6265" xr:uid="{00000000-0005-0000-0000-00009A080000}"/>
    <cellStyle name="Comma 4 2 3 3 5 3 2" xfId="14707" xr:uid="{A2C7EDFF-4F55-4925-846E-ABF2AFC1A38C}"/>
    <cellStyle name="Comma 4 2 3 3 5 3 3" xfId="23153" xr:uid="{EC00CFCA-D95A-4524-81A3-9AE307D10D06}"/>
    <cellStyle name="Comma 4 2 3 3 5 4" xfId="10489" xr:uid="{2264A485-BAEF-43C1-8C45-7A66D09E803C}"/>
    <cellStyle name="Comma 4 2 3 3 5 5" xfId="18934" xr:uid="{23FA111D-63F8-4E07-A4D0-43BF4B89582E}"/>
    <cellStyle name="Comma 4 2 3 3 6" xfId="2393" xr:uid="{00000000-0005-0000-0000-00009B080000}"/>
    <cellStyle name="Comma 4 2 3 3 6 2" xfId="6678" xr:uid="{00000000-0005-0000-0000-00009C080000}"/>
    <cellStyle name="Comma 4 2 3 3 6 2 2" xfId="15120" xr:uid="{1888183F-3EB4-482C-852E-556B10562E96}"/>
    <cellStyle name="Comma 4 2 3 3 6 2 3" xfId="23566" xr:uid="{82BA5533-B399-4064-9226-69911DF9E96C}"/>
    <cellStyle name="Comma 4 2 3 3 6 3" xfId="10902" xr:uid="{E45998DB-8401-460B-AA19-82D481F0693D}"/>
    <cellStyle name="Comma 4 2 3 3 6 4" xfId="19347" xr:uid="{A1DAC16F-FA3F-4FA7-BC99-32F5E9616B0E}"/>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86B963D1-15F2-447C-9807-4A8EE68F4DAB}"/>
    <cellStyle name="Comma 4 2 3 3 8 2 3" xfId="23883" xr:uid="{DE398254-B6D6-48C9-A6A6-F7E74A9BF9F9}"/>
    <cellStyle name="Comma 4 2 3 3 8 3" xfId="11219" xr:uid="{899777E8-05A3-46A6-9488-F6D7A3E3CCAD}"/>
    <cellStyle name="Comma 4 2 3 3 8 4" xfId="19666" xr:uid="{DBE84AEC-C9E4-4283-BB49-8ABE0D364C4A}"/>
    <cellStyle name="Comma 4 2 3 3 9" xfId="4612" xr:uid="{00000000-0005-0000-0000-0000A0080000}"/>
    <cellStyle name="Comma 4 2 3 3 9 2" xfId="13054" xr:uid="{58E30E1B-6051-42ED-A3C6-0B39D384025B}"/>
    <cellStyle name="Comma 4 2 3 3 9 3" xfId="21500" xr:uid="{47D3570E-2408-437C-A8AB-C9FA1621A1EE}"/>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6B9B6013-4C74-4482-A4B4-B106B0C0445C}"/>
    <cellStyle name="Comma 4 2 3 4 2 2 3" xfId="24056" xr:uid="{0C53D64F-DA53-443E-BD17-ADD3C69E2D0E}"/>
    <cellStyle name="Comma 4 2 3 4 2 3" xfId="11392" xr:uid="{C9ED0097-148C-4076-9CEE-9F157E556F3F}"/>
    <cellStyle name="Comma 4 2 3 4 2 4" xfId="19839" xr:uid="{4987CD2D-F47F-4DB6-8576-D21203D21A72}"/>
    <cellStyle name="Comma 4 2 3 4 3" xfId="5023" xr:uid="{00000000-0005-0000-0000-0000A4080000}"/>
    <cellStyle name="Comma 4 2 3 4 3 2" xfId="13465" xr:uid="{5D921B6D-9B52-4DBE-8DD8-DF0FFCC40A56}"/>
    <cellStyle name="Comma 4 2 3 4 3 3" xfId="21911" xr:uid="{65414DCB-C252-44FE-9DB9-B93BA4AD81E2}"/>
    <cellStyle name="Comma 4 2 3 4 4" xfId="9247" xr:uid="{1730749D-FF1D-4AA9-9F3A-BD382E5DF86A}"/>
    <cellStyle name="Comma 4 2 3 4 5" xfId="17692" xr:uid="{E5C9944A-DB88-4561-9676-901EC59BCACD}"/>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7E9DA1D1-1545-4985-82EF-182738B37C04}"/>
    <cellStyle name="Comma 4 2 3 5 2 2 3" xfId="24469" xr:uid="{4DD383F5-9896-42A9-95F0-17FAD19CB6A9}"/>
    <cellStyle name="Comma 4 2 3 5 2 3" xfId="11805" xr:uid="{5DFFB51A-593D-4126-9A04-9C7349D22DAE}"/>
    <cellStyle name="Comma 4 2 3 5 2 4" xfId="20252" xr:uid="{5FCCF58F-B790-43D6-9BB7-4391A021AB40}"/>
    <cellStyle name="Comma 4 2 3 5 3" xfId="5436" xr:uid="{00000000-0005-0000-0000-0000A8080000}"/>
    <cellStyle name="Comma 4 2 3 5 3 2" xfId="13878" xr:uid="{60766E9F-FE7D-41A9-B3A3-E36B020D70A4}"/>
    <cellStyle name="Comma 4 2 3 5 3 3" xfId="22324" xr:uid="{5B768D23-FD28-41FD-9003-06A02A0A54FC}"/>
    <cellStyle name="Comma 4 2 3 5 4" xfId="9660" xr:uid="{3C1731A5-EE67-4718-9E25-D22050FA9515}"/>
    <cellStyle name="Comma 4 2 3 5 5" xfId="18105" xr:uid="{BBEE5FFE-C1DF-4109-9C48-791D14AC2AD4}"/>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A7599E04-3494-46AC-8199-4301D95C29CD}"/>
    <cellStyle name="Comma 4 2 3 6 2 2 3" xfId="24882" xr:uid="{D11B5EDE-C419-4E44-B997-F760468E6C7E}"/>
    <cellStyle name="Comma 4 2 3 6 2 3" xfId="12218" xr:uid="{A25F93A3-A9CB-4812-A532-9A658F5076A3}"/>
    <cellStyle name="Comma 4 2 3 6 2 4" xfId="20665" xr:uid="{38137A21-A654-4CC1-962D-D7B5D1ACF6D1}"/>
    <cellStyle name="Comma 4 2 3 6 3" xfId="5849" xr:uid="{00000000-0005-0000-0000-0000AC080000}"/>
    <cellStyle name="Comma 4 2 3 6 3 2" xfId="14291" xr:uid="{EF8799A7-1665-40B9-A645-27EB36E13685}"/>
    <cellStyle name="Comma 4 2 3 6 3 3" xfId="22737" xr:uid="{29160B47-2FAF-494E-9C42-145F2F6E78D2}"/>
    <cellStyle name="Comma 4 2 3 6 4" xfId="10073" xr:uid="{062D54A0-6DD1-4937-B168-B63F15C7BAE0}"/>
    <cellStyle name="Comma 4 2 3 6 5" xfId="18518" xr:uid="{F6CCDC4F-71C3-4418-BC8A-CD1ABC424168}"/>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B23DEA54-51FA-40A4-89F7-AF639B25DD56}"/>
    <cellStyle name="Comma 4 2 3 7 2 2 3" xfId="25295" xr:uid="{ACEE7F93-98A4-492A-A0F5-E3BBA63BB46A}"/>
    <cellStyle name="Comma 4 2 3 7 2 3" xfId="12631" xr:uid="{A8D66D71-CC5A-40E0-ACDB-F1C3813066AD}"/>
    <cellStyle name="Comma 4 2 3 7 2 4" xfId="21078" xr:uid="{483856A1-AF84-45E7-8D40-769B50958691}"/>
    <cellStyle name="Comma 4 2 3 7 3" xfId="6262" xr:uid="{00000000-0005-0000-0000-0000B0080000}"/>
    <cellStyle name="Comma 4 2 3 7 3 2" xfId="14704" xr:uid="{D105A228-214E-49E7-AFD8-BB207C5E3C29}"/>
    <cellStyle name="Comma 4 2 3 7 3 3" xfId="23150" xr:uid="{A9D0FF43-F4A6-4702-9AB7-FC838503BA4F}"/>
    <cellStyle name="Comma 4 2 3 7 4" xfId="10486" xr:uid="{F4B1E679-8CC4-4F9E-BAE7-C917B0D79EB8}"/>
    <cellStyle name="Comma 4 2 3 7 5" xfId="18931" xr:uid="{318F4CBB-4648-4CD9-86F2-2C37366936F7}"/>
    <cellStyle name="Comma 4 2 3 8" xfId="2390" xr:uid="{00000000-0005-0000-0000-0000B1080000}"/>
    <cellStyle name="Comma 4 2 3 8 2" xfId="6675" xr:uid="{00000000-0005-0000-0000-0000B2080000}"/>
    <cellStyle name="Comma 4 2 3 8 2 2" xfId="15117" xr:uid="{948230A3-11A9-4639-ABA4-23FFDC6B9EB7}"/>
    <cellStyle name="Comma 4 2 3 8 2 3" xfId="23563" xr:uid="{1C5065EF-EB88-445F-9FE3-25EB37E24A11}"/>
    <cellStyle name="Comma 4 2 3 8 3" xfId="10899" xr:uid="{2C66F2B7-A12E-4FC2-9570-B512DE9D6D53}"/>
    <cellStyle name="Comma 4 2 3 8 4" xfId="19344" xr:uid="{6A2F9328-DE19-4A9A-9B6B-633EB8536D60}"/>
    <cellStyle name="Comma 4 2 3 9" xfId="2373" xr:uid="{00000000-0005-0000-0000-0000B3080000}"/>
    <cellStyle name="Comma 4 2 4" xfId="140" xr:uid="{00000000-0005-0000-0000-0000B4080000}"/>
    <cellStyle name="Comma 4 2 4 10" xfId="4613" xr:uid="{00000000-0005-0000-0000-0000B5080000}"/>
    <cellStyle name="Comma 4 2 4 10 2" xfId="13055" xr:uid="{BC3B0038-5481-4F2E-A492-C7F14D5FCE85}"/>
    <cellStyle name="Comma 4 2 4 10 3" xfId="21501" xr:uid="{ABF4BD59-0C71-4976-875C-D5FF26A9F670}"/>
    <cellStyle name="Comma 4 2 4 11" xfId="8837" xr:uid="{EE357790-0D70-4CA1-AE94-4A1EB79EA0A8}"/>
    <cellStyle name="Comma 4 2 4 12" xfId="17280" xr:uid="{8D5094F3-FACA-4262-A046-35620CDAEEA6}"/>
    <cellStyle name="Comma 4 2 4 2" xfId="141" xr:uid="{00000000-0005-0000-0000-0000B6080000}"/>
    <cellStyle name="Comma 4 2 4 2 10" xfId="8838" xr:uid="{5EE1F15D-1FC4-4885-8AF3-56C8280D6887}"/>
    <cellStyle name="Comma 4 2 4 2 11" xfId="17281" xr:uid="{AE21DCC1-FA64-4ED8-9951-9E78436C8714}"/>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FCD18B4A-417B-4F36-8689-AFEC94A3642D}"/>
    <cellStyle name="Comma 4 2 4 2 2 2 2 3" xfId="24061" xr:uid="{068D1160-F2D1-4C94-8609-B70A122ADE61}"/>
    <cellStyle name="Comma 4 2 4 2 2 2 3" xfId="11397" xr:uid="{F4954C8A-1242-4241-8B70-A732C33324A8}"/>
    <cellStyle name="Comma 4 2 4 2 2 2 4" xfId="19844" xr:uid="{B7CC55B0-C73B-40F2-897A-378E29D3BF7E}"/>
    <cellStyle name="Comma 4 2 4 2 2 3" xfId="5028" xr:uid="{00000000-0005-0000-0000-0000BA080000}"/>
    <cellStyle name="Comma 4 2 4 2 2 3 2" xfId="13470" xr:uid="{1F0638F2-F12B-4601-960B-FE76CCBE9272}"/>
    <cellStyle name="Comma 4 2 4 2 2 3 3" xfId="21916" xr:uid="{A6588DA0-8E8A-4614-B36E-BD320C1DFF19}"/>
    <cellStyle name="Comma 4 2 4 2 2 4" xfId="9252" xr:uid="{9A4289A7-8F6B-4A91-B412-E028F85B20CA}"/>
    <cellStyle name="Comma 4 2 4 2 2 5" xfId="17697" xr:uid="{892D93FF-AAF0-4FDA-B5A5-1764D0AF0810}"/>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34599A56-CECF-4EC6-A9AE-61F07A72AAA9}"/>
    <cellStyle name="Comma 4 2 4 2 3 2 2 3" xfId="24474" xr:uid="{A8C6B508-4354-4B01-BE51-B15538A856C6}"/>
    <cellStyle name="Comma 4 2 4 2 3 2 3" xfId="11810" xr:uid="{4849C990-A15C-42FA-9EBD-1406AD713E61}"/>
    <cellStyle name="Comma 4 2 4 2 3 2 4" xfId="20257" xr:uid="{4E713D72-0F6B-4EB8-AC54-E2DF4ADE729F}"/>
    <cellStyle name="Comma 4 2 4 2 3 3" xfId="5441" xr:uid="{00000000-0005-0000-0000-0000BE080000}"/>
    <cellStyle name="Comma 4 2 4 2 3 3 2" xfId="13883" xr:uid="{060CF9F7-5F18-41F5-98A9-53C7A9C819C0}"/>
    <cellStyle name="Comma 4 2 4 2 3 3 3" xfId="22329" xr:uid="{533D720A-CD28-46A0-97A4-F90DDAB85538}"/>
    <cellStyle name="Comma 4 2 4 2 3 4" xfId="9665" xr:uid="{81EDB73F-8CF1-4350-B113-B77A13F5D106}"/>
    <cellStyle name="Comma 4 2 4 2 3 5" xfId="18110" xr:uid="{68A7E7CE-60AA-470D-BA1A-19C926D57610}"/>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FDA7770B-E2DB-4ADB-948F-4944D45EE83C}"/>
    <cellStyle name="Comma 4 2 4 2 4 2 2 3" xfId="24887" xr:uid="{290F3AAA-6B65-4C7C-9AA9-1B99AEEEDF2D}"/>
    <cellStyle name="Comma 4 2 4 2 4 2 3" xfId="12223" xr:uid="{27E25625-2B0C-4B69-B4A8-3EF8C4D4814D}"/>
    <cellStyle name="Comma 4 2 4 2 4 2 4" xfId="20670" xr:uid="{1A55BFD9-016D-4F30-9494-895EEC678D86}"/>
    <cellStyle name="Comma 4 2 4 2 4 3" xfId="5854" xr:uid="{00000000-0005-0000-0000-0000C2080000}"/>
    <cellStyle name="Comma 4 2 4 2 4 3 2" xfId="14296" xr:uid="{FDF35F60-59E8-4825-9CCF-D9E305B3B0D6}"/>
    <cellStyle name="Comma 4 2 4 2 4 3 3" xfId="22742" xr:uid="{4E0E21EC-A9FC-4A7D-B6A1-B0080ED315E4}"/>
    <cellStyle name="Comma 4 2 4 2 4 4" xfId="10078" xr:uid="{90112166-FF8C-400F-8697-F31328A7266B}"/>
    <cellStyle name="Comma 4 2 4 2 4 5" xfId="18523" xr:uid="{66E1D86A-2263-4DF1-8D63-431BCEB712A6}"/>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843C4855-8942-43CD-B01C-A5FA7BDE72A7}"/>
    <cellStyle name="Comma 4 2 4 2 5 2 2 3" xfId="25300" xr:uid="{A0CF0D45-367C-4920-85BB-40D7FB23377B}"/>
    <cellStyle name="Comma 4 2 4 2 5 2 3" xfId="12636" xr:uid="{9400EF41-A2A4-4BF9-A3F7-A444B75B6A0B}"/>
    <cellStyle name="Comma 4 2 4 2 5 2 4" xfId="21083" xr:uid="{9AD4EA53-8C9A-4BD8-B0A0-153991754C45}"/>
    <cellStyle name="Comma 4 2 4 2 5 3" xfId="6267" xr:uid="{00000000-0005-0000-0000-0000C6080000}"/>
    <cellStyle name="Comma 4 2 4 2 5 3 2" xfId="14709" xr:uid="{5FC4BAC1-2057-4DE3-9EA9-8E8B5EAFA473}"/>
    <cellStyle name="Comma 4 2 4 2 5 3 3" xfId="23155" xr:uid="{577F75B0-8C49-4EA1-BCD4-63DBB3939E5E}"/>
    <cellStyle name="Comma 4 2 4 2 5 4" xfId="10491" xr:uid="{42B647FE-82F4-499B-B714-3A78D99FFC52}"/>
    <cellStyle name="Comma 4 2 4 2 5 5" xfId="18936" xr:uid="{BF4A6562-F9AD-433B-84DE-BDCE6C2C6773}"/>
    <cellStyle name="Comma 4 2 4 2 6" xfId="2395" xr:uid="{00000000-0005-0000-0000-0000C7080000}"/>
    <cellStyle name="Comma 4 2 4 2 6 2" xfId="6680" xr:uid="{00000000-0005-0000-0000-0000C8080000}"/>
    <cellStyle name="Comma 4 2 4 2 6 2 2" xfId="15122" xr:uid="{C6D718A9-DCEB-4306-A48B-42682BF47653}"/>
    <cellStyle name="Comma 4 2 4 2 6 2 3" xfId="23568" xr:uid="{85D9D45F-9894-4CD5-A778-EBB4005083F7}"/>
    <cellStyle name="Comma 4 2 4 2 6 3" xfId="10904" xr:uid="{C7A6215E-67A5-43F6-A97D-EF6523AA6F3B}"/>
    <cellStyle name="Comma 4 2 4 2 6 4" xfId="19349" xr:uid="{115FD360-C8CD-47EF-8B58-721218CCF971}"/>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871D4252-52BB-4F55-80E5-51AD209493F5}"/>
    <cellStyle name="Comma 4 2 4 2 8 2 3" xfId="23885" xr:uid="{6D504E28-8BA2-4D84-8F2E-00191366072C}"/>
    <cellStyle name="Comma 4 2 4 2 8 3" xfId="11221" xr:uid="{0BA79E26-38B6-480F-B81E-794D324D5094}"/>
    <cellStyle name="Comma 4 2 4 2 8 4" xfId="19668" xr:uid="{C5FA4F4E-C52C-442A-AE5D-24164EF4D41F}"/>
    <cellStyle name="Comma 4 2 4 2 9" xfId="4614" xr:uid="{00000000-0005-0000-0000-0000CC080000}"/>
    <cellStyle name="Comma 4 2 4 2 9 2" xfId="13056" xr:uid="{FBDA1DE3-1B19-4DD3-824B-0F88C53D9327}"/>
    <cellStyle name="Comma 4 2 4 2 9 3" xfId="21502" xr:uid="{02833BDB-4DA8-4545-84A9-13195FE7B5BB}"/>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298A7624-3703-4F4E-8904-E5C7D952B40F}"/>
    <cellStyle name="Comma 4 2 4 3 2 2 3" xfId="24060" xr:uid="{5A4DDD53-7246-418C-A480-CC4F85EDF636}"/>
    <cellStyle name="Comma 4 2 4 3 2 3" xfId="11396" xr:uid="{464BDC7F-9431-4945-8A2F-7661E0403050}"/>
    <cellStyle name="Comma 4 2 4 3 2 4" xfId="19843" xr:uid="{733808FB-551B-4E02-9791-A9FAA4BE670D}"/>
    <cellStyle name="Comma 4 2 4 3 3" xfId="5027" xr:uid="{00000000-0005-0000-0000-0000D0080000}"/>
    <cellStyle name="Comma 4 2 4 3 3 2" xfId="13469" xr:uid="{3BB91FCD-37A0-4520-969E-DC1BEF32BB49}"/>
    <cellStyle name="Comma 4 2 4 3 3 3" xfId="21915" xr:uid="{3CEFA4B8-D681-455F-A51B-6B451D54DD4D}"/>
    <cellStyle name="Comma 4 2 4 3 4" xfId="9251" xr:uid="{9F080A90-8286-4910-83D6-EE7D72913AF3}"/>
    <cellStyle name="Comma 4 2 4 3 5" xfId="17696" xr:uid="{EF1FAB60-7864-4D79-BF52-4DA1B5C7B332}"/>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45DA368E-BEED-4B4E-87FC-B4C001155457}"/>
    <cellStyle name="Comma 4 2 4 4 2 2 3" xfId="24473" xr:uid="{AAA2BF68-6157-4516-97B7-F1260E64C6D1}"/>
    <cellStyle name="Comma 4 2 4 4 2 3" xfId="11809" xr:uid="{6FD2C5D2-7089-4B34-9A81-19E1A8724A44}"/>
    <cellStyle name="Comma 4 2 4 4 2 4" xfId="20256" xr:uid="{975E1963-69FD-415C-97CD-0D0086DF747B}"/>
    <cellStyle name="Comma 4 2 4 4 3" xfId="5440" xr:uid="{00000000-0005-0000-0000-0000D4080000}"/>
    <cellStyle name="Comma 4 2 4 4 3 2" xfId="13882" xr:uid="{EFAC96A2-607B-4C63-97C3-5924FD9E06B4}"/>
    <cellStyle name="Comma 4 2 4 4 3 3" xfId="22328" xr:uid="{16D8957D-8F46-4D1A-8A19-14161A6BA8BC}"/>
    <cellStyle name="Comma 4 2 4 4 4" xfId="9664" xr:uid="{87CC8730-7200-4A0D-AC1B-B775323DAED4}"/>
    <cellStyle name="Comma 4 2 4 4 5" xfId="18109" xr:uid="{A1AA06E3-7425-4F56-B778-04F0420781B9}"/>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53C98096-2320-4568-B94A-8FB1EA6784FE}"/>
    <cellStyle name="Comma 4 2 4 5 2 2 3" xfId="24886" xr:uid="{2D96CCA8-DA66-43C3-9280-137E516CF54D}"/>
    <cellStyle name="Comma 4 2 4 5 2 3" xfId="12222" xr:uid="{D80ED873-5CBA-4EEE-8E59-D7C43E33B45F}"/>
    <cellStyle name="Comma 4 2 4 5 2 4" xfId="20669" xr:uid="{0B452E02-3538-417E-96F2-5C4E30889EE0}"/>
    <cellStyle name="Comma 4 2 4 5 3" xfId="5853" xr:uid="{00000000-0005-0000-0000-0000D8080000}"/>
    <cellStyle name="Comma 4 2 4 5 3 2" xfId="14295" xr:uid="{30E79422-5CD1-42A9-9BE3-68E6ABE204FE}"/>
    <cellStyle name="Comma 4 2 4 5 3 3" xfId="22741" xr:uid="{42FCA29C-AD59-4777-A78F-CDD80FEF7FBE}"/>
    <cellStyle name="Comma 4 2 4 5 4" xfId="10077" xr:uid="{67AE5F8F-8571-4592-BE09-84129246F50F}"/>
    <cellStyle name="Comma 4 2 4 5 5" xfId="18522" xr:uid="{6922BEA9-B1CB-42A3-9090-322211845E38}"/>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D5DC4C79-0B82-4804-8FFE-AFE2F3669DD4}"/>
    <cellStyle name="Comma 4 2 4 6 2 2 3" xfId="25299" xr:uid="{689EBFA8-C24E-402F-B8E0-D869AE6A37EB}"/>
    <cellStyle name="Comma 4 2 4 6 2 3" xfId="12635" xr:uid="{2420BCB6-152F-44D2-8ADD-5CD125D0EFF4}"/>
    <cellStyle name="Comma 4 2 4 6 2 4" xfId="21082" xr:uid="{A84EA3DE-9FF5-4544-BA4B-C6F195D0BA28}"/>
    <cellStyle name="Comma 4 2 4 6 3" xfId="6266" xr:uid="{00000000-0005-0000-0000-0000DC080000}"/>
    <cellStyle name="Comma 4 2 4 6 3 2" xfId="14708" xr:uid="{991FEDD8-43AA-4456-8A2F-015D62D7B35F}"/>
    <cellStyle name="Comma 4 2 4 6 3 3" xfId="23154" xr:uid="{6DA2BF89-3521-4BAC-82D7-0BF98C8E09DA}"/>
    <cellStyle name="Comma 4 2 4 6 4" xfId="10490" xr:uid="{3F9D59F4-1E23-4356-97AF-3119A8F08130}"/>
    <cellStyle name="Comma 4 2 4 6 5" xfId="18935" xr:uid="{F9E45178-ACC3-437A-8E48-B47EEE7FBAC4}"/>
    <cellStyle name="Comma 4 2 4 7" xfId="2394" xr:uid="{00000000-0005-0000-0000-0000DD080000}"/>
    <cellStyle name="Comma 4 2 4 7 2" xfId="6679" xr:uid="{00000000-0005-0000-0000-0000DE080000}"/>
    <cellStyle name="Comma 4 2 4 7 2 2" xfId="15121" xr:uid="{5F60D6FF-9FE3-4719-99BA-630F3953265A}"/>
    <cellStyle name="Comma 4 2 4 7 2 3" xfId="23567" xr:uid="{87AEEF64-923D-4587-87B2-B5438237DBBE}"/>
    <cellStyle name="Comma 4 2 4 7 3" xfId="10903" xr:uid="{A847834F-9223-4D29-AD6B-4EA4985E5B2B}"/>
    <cellStyle name="Comma 4 2 4 7 4" xfId="19348" xr:uid="{9B6BD39D-3F14-46F4-AF5B-1FB0DBD148AF}"/>
    <cellStyle name="Comma 4 2 4 8" xfId="2369" xr:uid="{00000000-0005-0000-0000-0000DF080000}"/>
    <cellStyle name="Comma 4 2 4 9" xfId="2772" xr:uid="{00000000-0005-0000-0000-0000E0080000}"/>
    <cellStyle name="Comma 4 2 4 9 2" xfId="6996" xr:uid="{00000000-0005-0000-0000-0000E1080000}"/>
    <cellStyle name="Comma 4 2 4 9 2 2" xfId="15438" xr:uid="{BF9D688F-8CB3-4CDE-9BD0-E3E9C39FE6E7}"/>
    <cellStyle name="Comma 4 2 4 9 2 3" xfId="23884" xr:uid="{0756F0CB-6801-40E6-A779-133F41DCE331}"/>
    <cellStyle name="Comma 4 2 4 9 3" xfId="11220" xr:uid="{679B1C0E-7A14-4EAB-8721-94BB92D2FC1B}"/>
    <cellStyle name="Comma 4 2 4 9 4" xfId="19667" xr:uid="{A36F4130-C3A4-42A3-9FC7-F80186494A00}"/>
    <cellStyle name="Comma 4 2 5" xfId="142" xr:uid="{00000000-0005-0000-0000-0000E2080000}"/>
    <cellStyle name="Comma 4 2 5 10" xfId="8839" xr:uid="{6BA75F2F-B4BA-4CE4-91C4-D23246EBEC46}"/>
    <cellStyle name="Comma 4 2 5 11" xfId="17282" xr:uid="{6EF0B3AC-F991-49C9-9E17-BEADECC7138B}"/>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13DFD32D-3D17-4B8B-B999-F10AA15DC476}"/>
    <cellStyle name="Comma 4 2 5 2 2 2 3" xfId="24062" xr:uid="{C7EF9A65-F1AB-4DF0-A9D7-8BE721A9EF45}"/>
    <cellStyle name="Comma 4 2 5 2 2 3" xfId="11398" xr:uid="{39FE6307-25A4-4A89-A391-8F14058A8BB0}"/>
    <cellStyle name="Comma 4 2 5 2 2 4" xfId="19845" xr:uid="{928EA288-9821-4CB7-8F10-88EB6621D178}"/>
    <cellStyle name="Comma 4 2 5 2 3" xfId="5029" xr:uid="{00000000-0005-0000-0000-0000E6080000}"/>
    <cellStyle name="Comma 4 2 5 2 3 2" xfId="13471" xr:uid="{42F9EE41-B756-4F3B-9C17-956419343D4C}"/>
    <cellStyle name="Comma 4 2 5 2 3 3" xfId="21917" xr:uid="{8F85382B-3702-4B67-8D83-09B90D54F07E}"/>
    <cellStyle name="Comma 4 2 5 2 4" xfId="9253" xr:uid="{7A322154-74CE-4677-9D16-F4912D8DECB9}"/>
    <cellStyle name="Comma 4 2 5 2 5" xfId="17698" xr:uid="{E8FE3DF9-9BD8-49F5-B86A-0AD4D75271F8}"/>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40E453FB-A53B-42EB-B977-A30F2B288439}"/>
    <cellStyle name="Comma 4 2 5 3 2 2 3" xfId="24475" xr:uid="{924854A5-252F-48F0-AD91-46623FB85547}"/>
    <cellStyle name="Comma 4 2 5 3 2 3" xfId="11811" xr:uid="{831A8549-24F0-4BDE-B3E6-602124FB2ED0}"/>
    <cellStyle name="Comma 4 2 5 3 2 4" xfId="20258" xr:uid="{FCAEE203-0763-42AD-9257-466F143F0969}"/>
    <cellStyle name="Comma 4 2 5 3 3" xfId="5442" xr:uid="{00000000-0005-0000-0000-0000EA080000}"/>
    <cellStyle name="Comma 4 2 5 3 3 2" xfId="13884" xr:uid="{3AC213FC-1E64-4FF5-92DB-A394396785C8}"/>
    <cellStyle name="Comma 4 2 5 3 3 3" xfId="22330" xr:uid="{1271EE65-53C0-49DD-AA58-67CC6E1AFBC1}"/>
    <cellStyle name="Comma 4 2 5 3 4" xfId="9666" xr:uid="{92C8C87C-6B97-4140-A71C-5EE52D422F96}"/>
    <cellStyle name="Comma 4 2 5 3 5" xfId="18111" xr:uid="{B8F05B91-248E-488E-B7C6-6793C8352DE3}"/>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096D6675-ACF7-4A61-96D0-F1C92B3E1004}"/>
    <cellStyle name="Comma 4 2 5 4 2 2 3" xfId="24888" xr:uid="{3AC30C40-C1EF-4891-9B8C-436EDE25FD9A}"/>
    <cellStyle name="Comma 4 2 5 4 2 3" xfId="12224" xr:uid="{37F1B998-6CCC-4A75-A9AA-442B67BEE9F2}"/>
    <cellStyle name="Comma 4 2 5 4 2 4" xfId="20671" xr:uid="{6298659F-5ED2-4D7A-BE58-08C6B9E474E7}"/>
    <cellStyle name="Comma 4 2 5 4 3" xfId="5855" xr:uid="{00000000-0005-0000-0000-0000EE080000}"/>
    <cellStyle name="Comma 4 2 5 4 3 2" xfId="14297" xr:uid="{6DD97654-2FC5-4C5F-B5D0-AE7BB1D2C912}"/>
    <cellStyle name="Comma 4 2 5 4 3 3" xfId="22743" xr:uid="{F19AE0C1-8254-4F06-99D2-A2AFD9FFB1BF}"/>
    <cellStyle name="Comma 4 2 5 4 4" xfId="10079" xr:uid="{8BA59A71-9F9C-4C61-BC58-C74C1B4BA766}"/>
    <cellStyle name="Comma 4 2 5 4 5" xfId="18524" xr:uid="{23729C29-139A-4718-9EE8-C6F76715F1D2}"/>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710E6DCD-2C52-4E7B-B0FB-DFE9F0BB1770}"/>
    <cellStyle name="Comma 4 2 5 5 2 2 3" xfId="25301" xr:uid="{1ABBA88F-FF76-47D8-9AC7-EEE8869166D3}"/>
    <cellStyle name="Comma 4 2 5 5 2 3" xfId="12637" xr:uid="{19051A14-94FB-49E1-BFB5-DA700D2E3CCE}"/>
    <cellStyle name="Comma 4 2 5 5 2 4" xfId="21084" xr:uid="{445E5C68-2FD5-4A92-A3BF-D918B3A83883}"/>
    <cellStyle name="Comma 4 2 5 5 3" xfId="6268" xr:uid="{00000000-0005-0000-0000-0000F2080000}"/>
    <cellStyle name="Comma 4 2 5 5 3 2" xfId="14710" xr:uid="{CF7FD96D-BB08-4017-A0EB-E6C71861B059}"/>
    <cellStyle name="Comma 4 2 5 5 3 3" xfId="23156" xr:uid="{5B770374-2077-4C7C-A763-6AA0368B7E4D}"/>
    <cellStyle name="Comma 4 2 5 5 4" xfId="10492" xr:uid="{B4DD2FBE-88B6-4749-B408-4686F59002BE}"/>
    <cellStyle name="Comma 4 2 5 5 5" xfId="18937" xr:uid="{C24ABC7D-23BB-4298-AC46-4AE9710C7634}"/>
    <cellStyle name="Comma 4 2 5 6" xfId="2396" xr:uid="{00000000-0005-0000-0000-0000F3080000}"/>
    <cellStyle name="Comma 4 2 5 6 2" xfId="6681" xr:uid="{00000000-0005-0000-0000-0000F4080000}"/>
    <cellStyle name="Comma 4 2 5 6 2 2" xfId="15123" xr:uid="{B69351D4-7EF4-454E-9A68-103F0E3A1BA4}"/>
    <cellStyle name="Comma 4 2 5 6 2 3" xfId="23569" xr:uid="{07F0F75C-C581-46BC-B798-099E07EE359A}"/>
    <cellStyle name="Comma 4 2 5 6 3" xfId="10905" xr:uid="{48541E88-13CA-4978-A176-FF43C09B0D95}"/>
    <cellStyle name="Comma 4 2 5 6 4" xfId="19350" xr:uid="{A1CF18F5-47CE-47F6-B641-DCA865150183}"/>
    <cellStyle name="Comma 4 2 5 7" xfId="2367" xr:uid="{00000000-0005-0000-0000-0000F5080000}"/>
    <cellStyle name="Comma 4 2 5 8" xfId="2774" xr:uid="{00000000-0005-0000-0000-0000F6080000}"/>
    <cellStyle name="Comma 4 2 5 8 2" xfId="6998" xr:uid="{00000000-0005-0000-0000-0000F7080000}"/>
    <cellStyle name="Comma 4 2 5 8 2 2" xfId="15440" xr:uid="{C769A049-F83E-46BC-A722-DC600A41C678}"/>
    <cellStyle name="Comma 4 2 5 8 2 3" xfId="23886" xr:uid="{E8191708-B3A3-4B44-9346-13382936F38B}"/>
    <cellStyle name="Comma 4 2 5 8 3" xfId="11222" xr:uid="{FFED75BD-2A29-4C20-B50D-9DC30FE543C1}"/>
    <cellStyle name="Comma 4 2 5 8 4" xfId="19669" xr:uid="{9AFEDED3-3556-4C81-9CFE-43A14BC44C78}"/>
    <cellStyle name="Comma 4 2 5 9" xfId="4615" xr:uid="{00000000-0005-0000-0000-0000F8080000}"/>
    <cellStyle name="Comma 4 2 5 9 2" xfId="13057" xr:uid="{F40770BF-B31E-4DA1-9560-9436239ECA25}"/>
    <cellStyle name="Comma 4 2 5 9 3" xfId="21503" xr:uid="{4DD5C9A7-7CF5-43E9-B380-9182F15A076D}"/>
    <cellStyle name="Comma 4 2 6" xfId="143" xr:uid="{00000000-0005-0000-0000-0000F9080000}"/>
    <cellStyle name="Comma 4 2 6 10" xfId="8840" xr:uid="{A1D92850-65F1-4A4A-BAF0-A76B7C42F0B7}"/>
    <cellStyle name="Comma 4 2 6 11" xfId="17283" xr:uid="{DC2E112A-054E-4860-8770-20E307C6E5AE}"/>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E7D46485-F3A1-4FDC-AC73-6DC0FACB4F5A}"/>
    <cellStyle name="Comma 4 2 6 2 2 2 3" xfId="24063" xr:uid="{656C055B-570E-431D-B0AF-527E1EF05068}"/>
    <cellStyle name="Comma 4 2 6 2 2 3" xfId="11399" xr:uid="{04BDC565-2369-4705-AC45-D1E22B6DFCA8}"/>
    <cellStyle name="Comma 4 2 6 2 2 4" xfId="19846" xr:uid="{45AD35A5-D4DA-4BDE-988F-CB8EF7BCB99B}"/>
    <cellStyle name="Comma 4 2 6 2 3" xfId="5030" xr:uid="{00000000-0005-0000-0000-0000FD080000}"/>
    <cellStyle name="Comma 4 2 6 2 3 2" xfId="13472" xr:uid="{364D9B3B-84F5-48F4-A6A8-239313A71FFF}"/>
    <cellStyle name="Comma 4 2 6 2 3 3" xfId="21918" xr:uid="{7C684AD3-02B8-4F30-BE47-8083244805F3}"/>
    <cellStyle name="Comma 4 2 6 2 4" xfId="9254" xr:uid="{5688EF0C-9DF0-45CA-B522-4DAE85A94C1E}"/>
    <cellStyle name="Comma 4 2 6 2 5" xfId="17699" xr:uid="{EFA29215-20DC-4B4F-8571-431AD8FD8A33}"/>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7F450A46-E918-4DD0-A5DC-A6A6EB1B1B45}"/>
    <cellStyle name="Comma 4 2 6 3 2 2 3" xfId="24476" xr:uid="{979D05CB-E049-4E05-8AD0-732007B91857}"/>
    <cellStyle name="Comma 4 2 6 3 2 3" xfId="11812" xr:uid="{CA5E7021-6083-41C9-AF07-D4C5197097D3}"/>
    <cellStyle name="Comma 4 2 6 3 2 4" xfId="20259" xr:uid="{A120B8D7-1621-4CEB-95D3-9477C1D492CD}"/>
    <cellStyle name="Comma 4 2 6 3 3" xfId="5443" xr:uid="{00000000-0005-0000-0000-000001090000}"/>
    <cellStyle name="Comma 4 2 6 3 3 2" xfId="13885" xr:uid="{314A932B-144E-4B3C-BEB2-38CA6D99B48F}"/>
    <cellStyle name="Comma 4 2 6 3 3 3" xfId="22331" xr:uid="{F1C6F0C1-5F91-4675-B2EA-E58470FE3BB3}"/>
    <cellStyle name="Comma 4 2 6 3 4" xfId="9667" xr:uid="{F8B05C44-E72D-43AD-8502-6C5F08F486B9}"/>
    <cellStyle name="Comma 4 2 6 3 5" xfId="18112" xr:uid="{FA137ECB-D84F-483F-845E-AB3662B4D4B9}"/>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8EFA98E0-8EC2-4122-9DDB-5654719BF573}"/>
    <cellStyle name="Comma 4 2 6 4 2 2 3" xfId="24889" xr:uid="{DECAEB8D-1139-4D20-9FB8-75A5D515DA8E}"/>
    <cellStyle name="Comma 4 2 6 4 2 3" xfId="12225" xr:uid="{FF5063B3-4E7F-499E-A2D0-FF7525040FB8}"/>
    <cellStyle name="Comma 4 2 6 4 2 4" xfId="20672" xr:uid="{03CBC363-2D3F-4766-9381-C6EFDC71BB59}"/>
    <cellStyle name="Comma 4 2 6 4 3" xfId="5856" xr:uid="{00000000-0005-0000-0000-000005090000}"/>
    <cellStyle name="Comma 4 2 6 4 3 2" xfId="14298" xr:uid="{83ED21E5-8E99-4545-9784-4C3118F0675E}"/>
    <cellStyle name="Comma 4 2 6 4 3 3" xfId="22744" xr:uid="{C6C03667-7DFD-43DE-BEA3-ABAC15771178}"/>
    <cellStyle name="Comma 4 2 6 4 4" xfId="10080" xr:uid="{2E066CC0-6FCB-4C2A-B8C6-FC9FD402BDE4}"/>
    <cellStyle name="Comma 4 2 6 4 5" xfId="18525" xr:uid="{728B0EF1-34F4-43A8-ABB9-488A07C612F0}"/>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ACB265A0-0391-48AB-BFCF-40C19AB0FB8B}"/>
    <cellStyle name="Comma 4 2 6 5 2 2 3" xfId="25302" xr:uid="{5F52A40A-5DB0-49FE-8CBC-73A484E37090}"/>
    <cellStyle name="Comma 4 2 6 5 2 3" xfId="12638" xr:uid="{4CB083CB-D5DF-4B15-AB42-AAEA9E9CB523}"/>
    <cellStyle name="Comma 4 2 6 5 2 4" xfId="21085" xr:uid="{CA85A9BE-9D47-420F-8A56-6EA0211319FF}"/>
    <cellStyle name="Comma 4 2 6 5 3" xfId="6269" xr:uid="{00000000-0005-0000-0000-000009090000}"/>
    <cellStyle name="Comma 4 2 6 5 3 2" xfId="14711" xr:uid="{707630FA-92C8-4BAD-839A-1CC26276AB38}"/>
    <cellStyle name="Comma 4 2 6 5 3 3" xfId="23157" xr:uid="{202E181D-611F-41B3-9FC8-90B129DEDAFA}"/>
    <cellStyle name="Comma 4 2 6 5 4" xfId="10493" xr:uid="{2F291533-4784-4233-AB51-4914E2BB3726}"/>
    <cellStyle name="Comma 4 2 6 5 5" xfId="18938" xr:uid="{A1AF7647-5FF8-4EB3-A496-8453D289DAB3}"/>
    <cellStyle name="Comma 4 2 6 6" xfId="2397" xr:uid="{00000000-0005-0000-0000-00000A090000}"/>
    <cellStyle name="Comma 4 2 6 6 2" xfId="6682" xr:uid="{00000000-0005-0000-0000-00000B090000}"/>
    <cellStyle name="Comma 4 2 6 6 2 2" xfId="15124" xr:uid="{58BD67D2-B71F-4B40-8B56-B85442CCC254}"/>
    <cellStyle name="Comma 4 2 6 6 2 3" xfId="23570" xr:uid="{EE288565-07D3-4467-A8FA-C2679A424ED3}"/>
    <cellStyle name="Comma 4 2 6 6 3" xfId="10906" xr:uid="{BA77C2DA-613C-4821-B9FE-A1DEBE506B92}"/>
    <cellStyle name="Comma 4 2 6 6 4" xfId="19351" xr:uid="{0E021E09-43B2-4F72-BD70-8CF546330FF2}"/>
    <cellStyle name="Comma 4 2 6 7" xfId="2366" xr:uid="{00000000-0005-0000-0000-00000C090000}"/>
    <cellStyle name="Comma 4 2 6 8" xfId="2775" xr:uid="{00000000-0005-0000-0000-00000D090000}"/>
    <cellStyle name="Comma 4 2 6 8 2" xfId="6999" xr:uid="{00000000-0005-0000-0000-00000E090000}"/>
    <cellStyle name="Comma 4 2 6 8 2 2" xfId="15441" xr:uid="{79A9588A-ECD3-476B-9A8F-696B9EF2D0A4}"/>
    <cellStyle name="Comma 4 2 6 8 2 3" xfId="23887" xr:uid="{6A9188C0-A091-4AD6-959B-32B7818D262E}"/>
    <cellStyle name="Comma 4 2 6 8 3" xfId="11223" xr:uid="{5129BA43-3149-4266-86E3-BE1E82D6BC5A}"/>
    <cellStyle name="Comma 4 2 6 8 4" xfId="19670" xr:uid="{03209C32-2048-414F-B0E5-DB9901E30403}"/>
    <cellStyle name="Comma 4 2 6 9" xfId="4616" xr:uid="{00000000-0005-0000-0000-00000F090000}"/>
    <cellStyle name="Comma 4 2 6 9 2" xfId="13058" xr:uid="{12DF965F-38CA-4FEB-B3FD-D362F2409E5D}"/>
    <cellStyle name="Comma 4 2 6 9 3" xfId="21504" xr:uid="{350C688F-2568-4F0E-B9CF-DCC5E960D64D}"/>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C1345861-8C01-4C33-BE1E-C4B022ABB7AE}"/>
    <cellStyle name="Comma 4 3 2 10 2 3" xfId="23888" xr:uid="{C8D5FAD6-CC2F-436B-942D-66895817DB2C}"/>
    <cellStyle name="Comma 4 3 2 10 3" xfId="11224" xr:uid="{D115F4BD-7C45-4710-8945-892C276D676E}"/>
    <cellStyle name="Comma 4 3 2 10 4" xfId="19671" xr:uid="{3EFC5843-077B-4B34-98A3-7279D13CDBE1}"/>
    <cellStyle name="Comma 4 3 2 11" xfId="4617" xr:uid="{00000000-0005-0000-0000-000014090000}"/>
    <cellStyle name="Comma 4 3 2 11 2" xfId="13059" xr:uid="{AE1AB7C6-7E1F-4C56-B28F-472621C6D3FA}"/>
    <cellStyle name="Comma 4 3 2 11 3" xfId="21505" xr:uid="{7A0583CC-A4A1-4D2F-8358-37290BDD97F9}"/>
    <cellStyle name="Comma 4 3 2 12" xfId="8841" xr:uid="{1FCC0985-FCCB-45DF-AAC0-593CE2941E12}"/>
    <cellStyle name="Comma 4 3 2 13" xfId="17284" xr:uid="{6E4F6B92-31CB-4ACA-BD92-68D00C109190}"/>
    <cellStyle name="Comma 4 3 2 2" xfId="146" xr:uid="{00000000-0005-0000-0000-000015090000}"/>
    <cellStyle name="Comma 4 3 2 2 10" xfId="4618" xr:uid="{00000000-0005-0000-0000-000016090000}"/>
    <cellStyle name="Comma 4 3 2 2 10 2" xfId="13060" xr:uid="{2D2B7538-A24D-4BCD-92E7-83BBDE2E7BAC}"/>
    <cellStyle name="Comma 4 3 2 2 10 3" xfId="21506" xr:uid="{E2964666-B8E6-488A-B077-AFAF491BC14C}"/>
    <cellStyle name="Comma 4 3 2 2 11" xfId="8842" xr:uid="{10DA38BC-58A5-4678-A5C2-324EE2FD3F26}"/>
    <cellStyle name="Comma 4 3 2 2 12" xfId="17285" xr:uid="{63A6B4F8-D6E5-4968-BD6B-FD162ADB386E}"/>
    <cellStyle name="Comma 4 3 2 2 2" xfId="147" xr:uid="{00000000-0005-0000-0000-000017090000}"/>
    <cellStyle name="Comma 4 3 2 2 2 10" xfId="8843" xr:uid="{9C03F7EE-024F-4BE5-8717-A52E482A41C3}"/>
    <cellStyle name="Comma 4 3 2 2 2 11" xfId="17286" xr:uid="{43DE0260-B8E8-47AC-B13E-29B76AF245C8}"/>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4E15163B-00AD-45A6-8463-96480B229A75}"/>
    <cellStyle name="Comma 4 3 2 2 2 2 2 2 3" xfId="24066" xr:uid="{C9CF2309-7376-4375-B0E2-808300FABF41}"/>
    <cellStyle name="Comma 4 3 2 2 2 2 2 3" xfId="11402" xr:uid="{06E48936-C85B-4AEB-9136-8645A4369B1E}"/>
    <cellStyle name="Comma 4 3 2 2 2 2 2 4" xfId="19849" xr:uid="{9A90EE59-0214-4B77-8610-7BB1A68CA1EC}"/>
    <cellStyle name="Comma 4 3 2 2 2 2 3" xfId="5033" xr:uid="{00000000-0005-0000-0000-00001B090000}"/>
    <cellStyle name="Comma 4 3 2 2 2 2 3 2" xfId="13475" xr:uid="{1227FF0C-F9EA-4600-AA66-032F5BD90659}"/>
    <cellStyle name="Comma 4 3 2 2 2 2 3 3" xfId="21921" xr:uid="{7CA136D2-83FE-4D10-AE57-15EFCFB9B11F}"/>
    <cellStyle name="Comma 4 3 2 2 2 2 4" xfId="9257" xr:uid="{F8580EE0-9AAB-461E-9492-53B34EB6EB05}"/>
    <cellStyle name="Comma 4 3 2 2 2 2 5" xfId="17702" xr:uid="{8D37D4E1-2C54-4C51-9328-BC17CE2C8B2B}"/>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66B6D81F-6BFC-443F-9D7D-8250E24C6388}"/>
    <cellStyle name="Comma 4 3 2 2 2 3 2 2 3" xfId="24479" xr:uid="{7C5222C3-96FC-49F0-A8E8-8E10B5800D51}"/>
    <cellStyle name="Comma 4 3 2 2 2 3 2 3" xfId="11815" xr:uid="{D7EA9920-6D59-4360-816E-C7376E3BAB96}"/>
    <cellStyle name="Comma 4 3 2 2 2 3 2 4" xfId="20262" xr:uid="{CB3D83FE-436E-4EB0-96C4-6D36A74B77F0}"/>
    <cellStyle name="Comma 4 3 2 2 2 3 3" xfId="5446" xr:uid="{00000000-0005-0000-0000-00001F090000}"/>
    <cellStyle name="Comma 4 3 2 2 2 3 3 2" xfId="13888" xr:uid="{C0D71838-385D-4C36-A68B-BF78613CE955}"/>
    <cellStyle name="Comma 4 3 2 2 2 3 3 3" xfId="22334" xr:uid="{4E9C8170-2F4C-430F-986F-8F3DB24396B0}"/>
    <cellStyle name="Comma 4 3 2 2 2 3 4" xfId="9670" xr:uid="{0390F661-8F25-43FF-8B4C-2B80D18017C8}"/>
    <cellStyle name="Comma 4 3 2 2 2 3 5" xfId="18115" xr:uid="{23CE4853-03E5-47AF-B086-9D59AB8A2083}"/>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F2248E5E-EF20-4DC1-9BBE-4660EB480B02}"/>
    <cellStyle name="Comma 4 3 2 2 2 4 2 2 3" xfId="24892" xr:uid="{D3F6E1BB-1E84-4948-9BE0-68D2F39A90C8}"/>
    <cellStyle name="Comma 4 3 2 2 2 4 2 3" xfId="12228" xr:uid="{BD032E58-95A2-464B-9B29-9E491B110248}"/>
    <cellStyle name="Comma 4 3 2 2 2 4 2 4" xfId="20675" xr:uid="{C3750126-3644-4DEB-B640-FDFFFC979CE7}"/>
    <cellStyle name="Comma 4 3 2 2 2 4 3" xfId="5859" xr:uid="{00000000-0005-0000-0000-000023090000}"/>
    <cellStyle name="Comma 4 3 2 2 2 4 3 2" xfId="14301" xr:uid="{AECB1F15-0476-495C-AC82-1E11EAC2AAB1}"/>
    <cellStyle name="Comma 4 3 2 2 2 4 3 3" xfId="22747" xr:uid="{E7E2EC18-193E-4AA5-A41A-4D1A5430CEAC}"/>
    <cellStyle name="Comma 4 3 2 2 2 4 4" xfId="10083" xr:uid="{394268C5-BECB-45B8-9051-67D603606D2A}"/>
    <cellStyle name="Comma 4 3 2 2 2 4 5" xfId="18528" xr:uid="{EE72CF8A-EE17-4F38-9E43-C66C1132D07C}"/>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B0D31E2A-F0EC-447A-80B3-C0A666AC278A}"/>
    <cellStyle name="Comma 4 3 2 2 2 5 2 2 3" xfId="25305" xr:uid="{DF435FD9-6EE2-4D39-8799-3300BC1AA7DD}"/>
    <cellStyle name="Comma 4 3 2 2 2 5 2 3" xfId="12641" xr:uid="{755B2B9B-B19E-4B7D-9AFD-F3C48DBC3FB1}"/>
    <cellStyle name="Comma 4 3 2 2 2 5 2 4" xfId="21088" xr:uid="{7CBEEA10-37E5-4612-9DC2-62B5B74BA29B}"/>
    <cellStyle name="Comma 4 3 2 2 2 5 3" xfId="6272" xr:uid="{00000000-0005-0000-0000-000027090000}"/>
    <cellStyle name="Comma 4 3 2 2 2 5 3 2" xfId="14714" xr:uid="{437F2455-01D3-4853-997C-1A9A9C2C6672}"/>
    <cellStyle name="Comma 4 3 2 2 2 5 3 3" xfId="23160" xr:uid="{CC2D9AB7-BF52-4B0F-B278-9E4981EB8099}"/>
    <cellStyle name="Comma 4 3 2 2 2 5 4" xfId="10496" xr:uid="{384D31BD-1A5A-4CBC-A006-D3DA6657B050}"/>
    <cellStyle name="Comma 4 3 2 2 2 5 5" xfId="18941" xr:uid="{DA5096F8-3C80-4900-9AC6-FD7959B70E59}"/>
    <cellStyle name="Comma 4 3 2 2 2 6" xfId="2400" xr:uid="{00000000-0005-0000-0000-000028090000}"/>
    <cellStyle name="Comma 4 3 2 2 2 6 2" xfId="6685" xr:uid="{00000000-0005-0000-0000-000029090000}"/>
    <cellStyle name="Comma 4 3 2 2 2 6 2 2" xfId="15127" xr:uid="{0ED30BD9-3F3F-455B-8993-29169FFD794A}"/>
    <cellStyle name="Comma 4 3 2 2 2 6 2 3" xfId="23573" xr:uid="{DDD59A69-1123-46B4-AD0C-88AD763EEE42}"/>
    <cellStyle name="Comma 4 3 2 2 2 6 3" xfId="10909" xr:uid="{82ED54FA-1EB0-486E-834E-4C76F104DB89}"/>
    <cellStyle name="Comma 4 3 2 2 2 6 4" xfId="19354" xr:uid="{6B100BD7-F93E-48D3-8B1B-B74B9BE12917}"/>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C5844AA9-97CD-43AF-B1E2-C5FC52B61A1E}"/>
    <cellStyle name="Comma 4 3 2 2 2 8 2 3" xfId="23890" xr:uid="{FF403230-3A40-481A-A214-F59D2446750C}"/>
    <cellStyle name="Comma 4 3 2 2 2 8 3" xfId="11226" xr:uid="{EDE745DB-286F-430E-8604-509A62CB334A}"/>
    <cellStyle name="Comma 4 3 2 2 2 8 4" xfId="19673" xr:uid="{4C6E49B9-7BDF-40E0-9A2F-D425C823999C}"/>
    <cellStyle name="Comma 4 3 2 2 2 9" xfId="4619" xr:uid="{00000000-0005-0000-0000-00002D090000}"/>
    <cellStyle name="Comma 4 3 2 2 2 9 2" xfId="13061" xr:uid="{ABC55D04-611C-496D-9641-C6D227058423}"/>
    <cellStyle name="Comma 4 3 2 2 2 9 3" xfId="21507" xr:uid="{0A838F9F-9F1F-4850-AD2C-DE2A15A55B42}"/>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1C2AF17C-BF0F-449F-A3F6-E7F36CCA72EC}"/>
    <cellStyle name="Comma 4 3 2 2 3 2 2 3" xfId="24065" xr:uid="{5A2A04B1-0588-40A1-BB32-3FB9EEA20745}"/>
    <cellStyle name="Comma 4 3 2 2 3 2 3" xfId="11401" xr:uid="{48FEBC1E-0EF7-4DEE-8BAC-1520D92FBF2E}"/>
    <cellStyle name="Comma 4 3 2 2 3 2 4" xfId="19848" xr:uid="{2BE31A95-5E42-47CC-B06C-041318B70DC4}"/>
    <cellStyle name="Comma 4 3 2 2 3 3" xfId="5032" xr:uid="{00000000-0005-0000-0000-000031090000}"/>
    <cellStyle name="Comma 4 3 2 2 3 3 2" xfId="13474" xr:uid="{E1566E74-67DC-4773-8551-51D68178352B}"/>
    <cellStyle name="Comma 4 3 2 2 3 3 3" xfId="21920" xr:uid="{1BD4F278-A49B-467D-8D13-F8AE2A1C50FF}"/>
    <cellStyle name="Comma 4 3 2 2 3 4" xfId="9256" xr:uid="{E80436CB-27D6-4F82-986B-60A7634EDE30}"/>
    <cellStyle name="Comma 4 3 2 2 3 5" xfId="17701" xr:uid="{895C9168-5EA4-4CC2-A352-A68A10B89FF0}"/>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3247B212-5795-47DD-895E-0EF15DF8441C}"/>
    <cellStyle name="Comma 4 3 2 2 4 2 2 3" xfId="24478" xr:uid="{4D1AE470-6CDE-42F0-AC6C-4EF9375BECEA}"/>
    <cellStyle name="Comma 4 3 2 2 4 2 3" xfId="11814" xr:uid="{1F4DC361-2EA0-4931-AAD1-614AC31D3C70}"/>
    <cellStyle name="Comma 4 3 2 2 4 2 4" xfId="20261" xr:uid="{64F18586-8307-41E0-9934-44CB09E2320E}"/>
    <cellStyle name="Comma 4 3 2 2 4 3" xfId="5445" xr:uid="{00000000-0005-0000-0000-000035090000}"/>
    <cellStyle name="Comma 4 3 2 2 4 3 2" xfId="13887" xr:uid="{A950824B-F12F-4FFE-A37E-FA828E39D72A}"/>
    <cellStyle name="Comma 4 3 2 2 4 3 3" xfId="22333" xr:uid="{0144F726-7159-4326-A296-113D42DE1EE0}"/>
    <cellStyle name="Comma 4 3 2 2 4 4" xfId="9669" xr:uid="{CF65B6C5-724F-4B32-9853-3B7C66E2314E}"/>
    <cellStyle name="Comma 4 3 2 2 4 5" xfId="18114" xr:uid="{CD581917-EC58-4669-BDAF-2D7CB78AA73E}"/>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174DD824-A00D-40AE-81C5-FD1E119DABA4}"/>
    <cellStyle name="Comma 4 3 2 2 5 2 2 3" xfId="24891" xr:uid="{2C1CC202-D19B-4F95-A4F0-1DCD2E0B69C3}"/>
    <cellStyle name="Comma 4 3 2 2 5 2 3" xfId="12227" xr:uid="{9FB799E0-32EC-43C8-A542-A492A7F2A256}"/>
    <cellStyle name="Comma 4 3 2 2 5 2 4" xfId="20674" xr:uid="{8781F30B-9CDF-454F-A8C6-DE147BDCEDE1}"/>
    <cellStyle name="Comma 4 3 2 2 5 3" xfId="5858" xr:uid="{00000000-0005-0000-0000-000039090000}"/>
    <cellStyle name="Comma 4 3 2 2 5 3 2" xfId="14300" xr:uid="{065203B0-F326-4FCC-AFC1-2EE20D995213}"/>
    <cellStyle name="Comma 4 3 2 2 5 3 3" xfId="22746" xr:uid="{84FCDF08-4FD1-45C2-AB2D-41D2CC46304C}"/>
    <cellStyle name="Comma 4 3 2 2 5 4" xfId="10082" xr:uid="{2ECAC63F-EDF4-4B7C-A5DA-31D9FAB0D694}"/>
    <cellStyle name="Comma 4 3 2 2 5 5" xfId="18527" xr:uid="{D2D1D87F-3E80-4091-996A-A3483773C907}"/>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8BFD47ED-CD42-4A24-882C-985E89155055}"/>
    <cellStyle name="Comma 4 3 2 2 6 2 2 3" xfId="25304" xr:uid="{4E786625-C56B-4148-B71A-8D77ED5BF9A5}"/>
    <cellStyle name="Comma 4 3 2 2 6 2 3" xfId="12640" xr:uid="{B56BE270-C08D-4384-918A-3E8766674B29}"/>
    <cellStyle name="Comma 4 3 2 2 6 2 4" xfId="21087" xr:uid="{AC6FCB68-5E4B-4A2C-8B82-4108DF354232}"/>
    <cellStyle name="Comma 4 3 2 2 6 3" xfId="6271" xr:uid="{00000000-0005-0000-0000-00003D090000}"/>
    <cellStyle name="Comma 4 3 2 2 6 3 2" xfId="14713" xr:uid="{56AED2F2-E57A-4CB9-99E1-1564782B53EB}"/>
    <cellStyle name="Comma 4 3 2 2 6 3 3" xfId="23159" xr:uid="{84073213-CDEC-44B4-B5B5-0E75B8737264}"/>
    <cellStyle name="Comma 4 3 2 2 6 4" xfId="10495" xr:uid="{D4288211-556C-4BAD-BAE8-8EEFAE809D51}"/>
    <cellStyle name="Comma 4 3 2 2 6 5" xfId="18940" xr:uid="{68654708-FBB3-4AAB-B27E-1D485D2CFE24}"/>
    <cellStyle name="Comma 4 3 2 2 7" xfId="2399" xr:uid="{00000000-0005-0000-0000-00003E090000}"/>
    <cellStyle name="Comma 4 3 2 2 7 2" xfId="6684" xr:uid="{00000000-0005-0000-0000-00003F090000}"/>
    <cellStyle name="Comma 4 3 2 2 7 2 2" xfId="15126" xr:uid="{A743E056-993A-41A5-919A-9A6F55D87652}"/>
    <cellStyle name="Comma 4 3 2 2 7 2 3" xfId="23572" xr:uid="{FAF52E49-FB6B-4F54-831A-400FADB533E5}"/>
    <cellStyle name="Comma 4 3 2 2 7 3" xfId="10908" xr:uid="{27F0B81D-26F2-42EA-B33C-547467DF248F}"/>
    <cellStyle name="Comma 4 3 2 2 7 4" xfId="19353" xr:uid="{BBCF2D59-157A-49F4-B76A-75AF980C7D4D}"/>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9706D0FC-6069-4D2B-852A-259AADCB3B83}"/>
    <cellStyle name="Comma 4 3 2 2 9 2 3" xfId="23889" xr:uid="{98DE2C8C-302A-4221-A41D-DDC9D40CF348}"/>
    <cellStyle name="Comma 4 3 2 2 9 3" xfId="11225" xr:uid="{7C8C4866-83EB-45E6-B2DB-75CB49786181}"/>
    <cellStyle name="Comma 4 3 2 2 9 4" xfId="19672" xr:uid="{C39B18FC-1ABF-43A9-BF2D-B89A4A764686}"/>
    <cellStyle name="Comma 4 3 2 3" xfId="148" xr:uid="{00000000-0005-0000-0000-000043090000}"/>
    <cellStyle name="Comma 4 3 2 3 10" xfId="8844" xr:uid="{2E16E05E-1EC5-439A-ABC8-CFBA8888850D}"/>
    <cellStyle name="Comma 4 3 2 3 11" xfId="17287" xr:uid="{7DE783BD-C523-4689-9AC8-5A3FDDFDD80B}"/>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9F16A37A-170F-44E0-9EA5-6EC11C67168E}"/>
    <cellStyle name="Comma 4 3 2 3 2 2 2 3" xfId="24067" xr:uid="{96E01F18-381C-464D-A705-3CB897D9488A}"/>
    <cellStyle name="Comma 4 3 2 3 2 2 3" xfId="11403" xr:uid="{E99A2B77-0384-4EAD-8B18-B8EC09F49C53}"/>
    <cellStyle name="Comma 4 3 2 3 2 2 4" xfId="19850" xr:uid="{29076840-A263-486F-BDB4-CFB8F2DEFDA1}"/>
    <cellStyle name="Comma 4 3 2 3 2 3" xfId="5034" xr:uid="{00000000-0005-0000-0000-000047090000}"/>
    <cellStyle name="Comma 4 3 2 3 2 3 2" xfId="13476" xr:uid="{7AD520CD-0F7F-42F3-B4D0-A64337553195}"/>
    <cellStyle name="Comma 4 3 2 3 2 3 3" xfId="21922" xr:uid="{7C5FA3BD-9D1F-4B93-8B09-F082191DD927}"/>
    <cellStyle name="Comma 4 3 2 3 2 4" xfId="9258" xr:uid="{AA6689CF-83E4-408C-A261-9280A0B6613E}"/>
    <cellStyle name="Comma 4 3 2 3 2 5" xfId="17703" xr:uid="{C7EC6218-6670-4CF1-81C0-0A1DE31BE340}"/>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39A11938-8D58-4918-ACCD-88DD87EEC3FE}"/>
    <cellStyle name="Comma 4 3 2 3 3 2 2 3" xfId="24480" xr:uid="{EFB3B2D8-EFBD-46F2-A286-54A2F0B2EC01}"/>
    <cellStyle name="Comma 4 3 2 3 3 2 3" xfId="11816" xr:uid="{4D0FDD4F-CC45-453D-8930-19660B45C617}"/>
    <cellStyle name="Comma 4 3 2 3 3 2 4" xfId="20263" xr:uid="{C5D91224-3DD2-47B7-A146-D9853D7B6347}"/>
    <cellStyle name="Comma 4 3 2 3 3 3" xfId="5447" xr:uid="{00000000-0005-0000-0000-00004B090000}"/>
    <cellStyle name="Comma 4 3 2 3 3 3 2" xfId="13889" xr:uid="{5E52A7BD-6159-4652-A3E0-6B6252D156CA}"/>
    <cellStyle name="Comma 4 3 2 3 3 3 3" xfId="22335" xr:uid="{C5CEE8F8-84A9-4919-ACF4-7A8E896CBF1D}"/>
    <cellStyle name="Comma 4 3 2 3 3 4" xfId="9671" xr:uid="{F71E9BAB-BD51-4C11-A9CA-E60E4F6B2FED}"/>
    <cellStyle name="Comma 4 3 2 3 3 5" xfId="18116" xr:uid="{40FC1302-BC46-40C9-957C-BB5A980157CE}"/>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D42385E9-040C-4285-998D-7A220D3C8C84}"/>
    <cellStyle name="Comma 4 3 2 3 4 2 2 3" xfId="24893" xr:uid="{5DBF393F-0A14-45FB-9B3A-E1DCFA9ACF2C}"/>
    <cellStyle name="Comma 4 3 2 3 4 2 3" xfId="12229" xr:uid="{F22A3428-ACD7-449C-8748-35F67B1F45F9}"/>
    <cellStyle name="Comma 4 3 2 3 4 2 4" xfId="20676" xr:uid="{713532C8-97B7-47F6-9D42-5973686671DE}"/>
    <cellStyle name="Comma 4 3 2 3 4 3" xfId="5860" xr:uid="{00000000-0005-0000-0000-00004F090000}"/>
    <cellStyle name="Comma 4 3 2 3 4 3 2" xfId="14302" xr:uid="{D619F8C6-1791-490B-963E-9F129B126375}"/>
    <cellStyle name="Comma 4 3 2 3 4 3 3" xfId="22748" xr:uid="{49D84E0F-2BA1-4AB5-AF68-0A02B85158F9}"/>
    <cellStyle name="Comma 4 3 2 3 4 4" xfId="10084" xr:uid="{2FE640A4-6CC3-46B9-BB05-3549DB27CBE9}"/>
    <cellStyle name="Comma 4 3 2 3 4 5" xfId="18529" xr:uid="{2C9DA205-F5E7-452E-92BD-A554A2D4697E}"/>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5760509C-097A-4B12-B1A4-71AAD6A4BFFA}"/>
    <cellStyle name="Comma 4 3 2 3 5 2 2 3" xfId="25306" xr:uid="{3127CB90-B844-4C9A-990D-123A6A956915}"/>
    <cellStyle name="Comma 4 3 2 3 5 2 3" xfId="12642" xr:uid="{39AAB0CC-738B-4FCD-B553-E17E8F5EA94E}"/>
    <cellStyle name="Comma 4 3 2 3 5 2 4" xfId="21089" xr:uid="{B42DE153-C382-4EDF-94E6-B6A1A2C4669F}"/>
    <cellStyle name="Comma 4 3 2 3 5 3" xfId="6273" xr:uid="{00000000-0005-0000-0000-000053090000}"/>
    <cellStyle name="Comma 4 3 2 3 5 3 2" xfId="14715" xr:uid="{565B544E-7F63-48B7-8109-B055AB697436}"/>
    <cellStyle name="Comma 4 3 2 3 5 3 3" xfId="23161" xr:uid="{84FD3628-BB54-463E-A3D8-C523FC22FE8D}"/>
    <cellStyle name="Comma 4 3 2 3 5 4" xfId="10497" xr:uid="{0CD91DE3-4BA3-4041-9654-FB5B8514E52F}"/>
    <cellStyle name="Comma 4 3 2 3 5 5" xfId="18942" xr:uid="{A559DB54-9D66-4AC0-9068-5E3D80280CD5}"/>
    <cellStyle name="Comma 4 3 2 3 6" xfId="2401" xr:uid="{00000000-0005-0000-0000-000054090000}"/>
    <cellStyle name="Comma 4 3 2 3 6 2" xfId="6686" xr:uid="{00000000-0005-0000-0000-000055090000}"/>
    <cellStyle name="Comma 4 3 2 3 6 2 2" xfId="15128" xr:uid="{15E857E6-C08E-4659-B871-869FEE2871AD}"/>
    <cellStyle name="Comma 4 3 2 3 6 2 3" xfId="23574" xr:uid="{26B25D59-3366-4F19-9E1E-A503F78F8612}"/>
    <cellStyle name="Comma 4 3 2 3 6 3" xfId="10910" xr:uid="{552479C9-C3CB-4928-A0FA-7B298A8448A1}"/>
    <cellStyle name="Comma 4 3 2 3 6 4" xfId="19355" xr:uid="{E612E660-ED05-44E6-B0DE-850F31A852A3}"/>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0A0132C1-43C0-4D1A-B23D-3744C332B01B}"/>
    <cellStyle name="Comma 4 3 2 3 8 2 3" xfId="23891" xr:uid="{96176B03-2E45-475D-96DA-46CF8B209BB9}"/>
    <cellStyle name="Comma 4 3 2 3 8 3" xfId="11227" xr:uid="{DF8082FC-731B-4BCC-BAF9-9573C116A7EF}"/>
    <cellStyle name="Comma 4 3 2 3 8 4" xfId="19674" xr:uid="{1CDFF21F-1459-42B2-BDC6-38A6137153B8}"/>
    <cellStyle name="Comma 4 3 2 3 9" xfId="4620" xr:uid="{00000000-0005-0000-0000-000059090000}"/>
    <cellStyle name="Comma 4 3 2 3 9 2" xfId="13062" xr:uid="{B2602DD7-3D2A-4F64-9971-5E6BAEEAE698}"/>
    <cellStyle name="Comma 4 3 2 3 9 3" xfId="21508" xr:uid="{240DF30B-C9DB-4CB5-A281-22227B5DB156}"/>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0F79849A-DD21-4FB0-B2A0-E9513E850AFA}"/>
    <cellStyle name="Comma 4 3 2 4 2 2 3" xfId="24064" xr:uid="{1A0D9CD3-F7A0-45AF-8F89-56539C5DC14F}"/>
    <cellStyle name="Comma 4 3 2 4 2 3" xfId="11400" xr:uid="{675E1BC0-F6D3-4A4B-B8AB-2FD8E0113B14}"/>
    <cellStyle name="Comma 4 3 2 4 2 4" xfId="19847" xr:uid="{398D0342-E33A-4078-AD0E-9686669790EB}"/>
    <cellStyle name="Comma 4 3 2 4 3" xfId="5031" xr:uid="{00000000-0005-0000-0000-00005D090000}"/>
    <cellStyle name="Comma 4 3 2 4 3 2" xfId="13473" xr:uid="{C319A403-5145-4BE6-B632-CFF7A82DAA71}"/>
    <cellStyle name="Comma 4 3 2 4 3 3" xfId="21919" xr:uid="{633E284F-7E5D-4C26-A40B-1823BC49E344}"/>
    <cellStyle name="Comma 4 3 2 4 4" xfId="9255" xr:uid="{35E9A354-36E3-4CE7-B4E9-3083EDDF2211}"/>
    <cellStyle name="Comma 4 3 2 4 5" xfId="17700" xr:uid="{0909CA2C-B372-4C10-86A0-2DF69410B106}"/>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946072E0-8585-4215-A1C4-34AC7816157A}"/>
    <cellStyle name="Comma 4 3 2 5 2 2 3" xfId="24477" xr:uid="{4E9894B9-679C-4571-B003-D3A2CEC6FDC9}"/>
    <cellStyle name="Comma 4 3 2 5 2 3" xfId="11813" xr:uid="{65D0CE8C-B88E-4A9B-B3EA-E5E0D5E1B0F5}"/>
    <cellStyle name="Comma 4 3 2 5 2 4" xfId="20260" xr:uid="{FB5C3BBF-7599-4DD6-9876-D93107585B3D}"/>
    <cellStyle name="Comma 4 3 2 5 3" xfId="5444" xr:uid="{00000000-0005-0000-0000-000061090000}"/>
    <cellStyle name="Comma 4 3 2 5 3 2" xfId="13886" xr:uid="{45A75460-8313-4E26-8609-A2C27D77EECF}"/>
    <cellStyle name="Comma 4 3 2 5 3 3" xfId="22332" xr:uid="{9ED2253A-1603-42D0-B555-06EFF90BBA92}"/>
    <cellStyle name="Comma 4 3 2 5 4" xfId="9668" xr:uid="{E980F5B2-2DC8-4556-A072-B1684F5EAD5F}"/>
    <cellStyle name="Comma 4 3 2 5 5" xfId="18113" xr:uid="{0F920622-2AC2-413F-A5FD-B376F4B207DC}"/>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0834938E-2D3B-422A-9CCC-22E9BDEE8199}"/>
    <cellStyle name="Comma 4 3 2 6 2 2 3" xfId="24890" xr:uid="{52B1C0E1-976E-4188-932D-6116E3D0B165}"/>
    <cellStyle name="Comma 4 3 2 6 2 3" xfId="12226" xr:uid="{A92F608D-B5FA-479A-BC10-B6446AA37DA4}"/>
    <cellStyle name="Comma 4 3 2 6 2 4" xfId="20673" xr:uid="{19C57ABC-F206-4A6C-A9E7-B57E166722DA}"/>
    <cellStyle name="Comma 4 3 2 6 3" xfId="5857" xr:uid="{00000000-0005-0000-0000-000065090000}"/>
    <cellStyle name="Comma 4 3 2 6 3 2" xfId="14299" xr:uid="{355932D5-A74F-41EC-8BD2-8228B430C496}"/>
    <cellStyle name="Comma 4 3 2 6 3 3" xfId="22745" xr:uid="{43F75253-8C39-46FB-92B2-F2E0DBC9CB03}"/>
    <cellStyle name="Comma 4 3 2 6 4" xfId="10081" xr:uid="{9545DEBB-FBFB-44F2-A8F2-2AED9DA866C1}"/>
    <cellStyle name="Comma 4 3 2 6 5" xfId="18526" xr:uid="{6DF0F0DD-6ABC-427D-800D-FB3FDF312CA5}"/>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98B86FFC-BDFA-4910-B26D-D47D5FA894E0}"/>
    <cellStyle name="Comma 4 3 2 7 2 2 3" xfId="25303" xr:uid="{38CA441F-E1EE-423E-BDB9-89AF435C80E6}"/>
    <cellStyle name="Comma 4 3 2 7 2 3" xfId="12639" xr:uid="{936B45C5-7071-427E-B213-3A0F38DFA82D}"/>
    <cellStyle name="Comma 4 3 2 7 2 4" xfId="21086" xr:uid="{52278AFC-AB2F-42BC-B0C0-54668076A239}"/>
    <cellStyle name="Comma 4 3 2 7 3" xfId="6270" xr:uid="{00000000-0005-0000-0000-000069090000}"/>
    <cellStyle name="Comma 4 3 2 7 3 2" xfId="14712" xr:uid="{B85C175D-733B-4FDD-BFAB-E064CA717F7B}"/>
    <cellStyle name="Comma 4 3 2 7 3 3" xfId="23158" xr:uid="{7EE3F012-40DD-4840-AF89-419BC9E7C164}"/>
    <cellStyle name="Comma 4 3 2 7 4" xfId="10494" xr:uid="{166212F3-3495-461C-9457-FF920A20BB36}"/>
    <cellStyle name="Comma 4 3 2 7 5" xfId="18939" xr:uid="{B3F56E04-CA95-4C27-BDB2-29D4BFD7B4FD}"/>
    <cellStyle name="Comma 4 3 2 8" xfId="2398" xr:uid="{00000000-0005-0000-0000-00006A090000}"/>
    <cellStyle name="Comma 4 3 2 8 2" xfId="6683" xr:uid="{00000000-0005-0000-0000-00006B090000}"/>
    <cellStyle name="Comma 4 3 2 8 2 2" xfId="15125" xr:uid="{610730BD-8534-4CA6-943E-A585E99C939F}"/>
    <cellStyle name="Comma 4 3 2 8 2 3" xfId="23571" xr:uid="{F6F01D5B-E072-4E4A-966D-E047617DD2FF}"/>
    <cellStyle name="Comma 4 3 2 8 3" xfId="10907" xr:uid="{0C92E310-B460-44F6-8549-F7DC4ADAAC52}"/>
    <cellStyle name="Comma 4 3 2 8 4" xfId="19352" xr:uid="{492BCEAB-546F-4A99-8111-40B878444753}"/>
    <cellStyle name="Comma 4 3 2 9" xfId="2365" xr:uid="{00000000-0005-0000-0000-00006C090000}"/>
    <cellStyle name="Comma 4 3 3" xfId="149" xr:uid="{00000000-0005-0000-0000-00006D090000}"/>
    <cellStyle name="Comma 4 3 3 10" xfId="4621" xr:uid="{00000000-0005-0000-0000-00006E090000}"/>
    <cellStyle name="Comma 4 3 3 10 2" xfId="13063" xr:uid="{D3A16A1E-338C-4458-BFD6-84547187F316}"/>
    <cellStyle name="Comma 4 3 3 10 3" xfId="21509" xr:uid="{F5E1BB0D-7CD0-4593-9A39-E51A7DEA94A8}"/>
    <cellStyle name="Comma 4 3 3 11" xfId="8845" xr:uid="{241DF59A-8DA7-4E73-B19A-1E0C3CBE245F}"/>
    <cellStyle name="Comma 4 3 3 12" xfId="17288" xr:uid="{F6B1AEF4-BC14-4291-831A-21481CC0B4F3}"/>
    <cellStyle name="Comma 4 3 3 2" xfId="150" xr:uid="{00000000-0005-0000-0000-00006F090000}"/>
    <cellStyle name="Comma 4 3 3 2 10" xfId="8846" xr:uid="{4B294218-363A-40BA-A986-15D6D24B98C4}"/>
    <cellStyle name="Comma 4 3 3 2 11" xfId="17289" xr:uid="{C20E5B7A-6240-4ECB-BDE9-14B10CDA170A}"/>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D9EFEC36-EBF8-4BF3-AE50-06848B29B823}"/>
    <cellStyle name="Comma 4 3 3 2 2 2 2 3" xfId="24069" xr:uid="{6CCB8A8C-EE23-440E-B23A-9195D2CC04FE}"/>
    <cellStyle name="Comma 4 3 3 2 2 2 3" xfId="11405" xr:uid="{8CE9B3DB-2D9B-4182-B38F-1298797EB0C2}"/>
    <cellStyle name="Comma 4 3 3 2 2 2 4" xfId="19852" xr:uid="{66EA486D-FC00-471F-B0B4-C8F971B15387}"/>
    <cellStyle name="Comma 4 3 3 2 2 3" xfId="5036" xr:uid="{00000000-0005-0000-0000-000073090000}"/>
    <cellStyle name="Comma 4 3 3 2 2 3 2" xfId="13478" xr:uid="{FE712960-9473-422D-90B9-8A20E60BE2F5}"/>
    <cellStyle name="Comma 4 3 3 2 2 3 3" xfId="21924" xr:uid="{A05BC897-EF3F-41B3-89D3-A288D03BB6C1}"/>
    <cellStyle name="Comma 4 3 3 2 2 4" xfId="9260" xr:uid="{12382482-006D-440F-B34D-0F5B825C4912}"/>
    <cellStyle name="Comma 4 3 3 2 2 5" xfId="17705" xr:uid="{CDB20DC9-DFDC-4ED7-B629-952F8E001530}"/>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C8061BB5-4B58-48D5-92C2-B5496F8DA6B2}"/>
    <cellStyle name="Comma 4 3 3 2 3 2 2 3" xfId="24482" xr:uid="{818B891A-9890-43CA-A7C9-DD09FD935EBC}"/>
    <cellStyle name="Comma 4 3 3 2 3 2 3" xfId="11818" xr:uid="{6A18E5CD-312D-486E-9A72-D87A926E85EB}"/>
    <cellStyle name="Comma 4 3 3 2 3 2 4" xfId="20265" xr:uid="{009D8FD7-DE62-4C0E-B0E3-161BCB2A2DA3}"/>
    <cellStyle name="Comma 4 3 3 2 3 3" xfId="5449" xr:uid="{00000000-0005-0000-0000-000077090000}"/>
    <cellStyle name="Comma 4 3 3 2 3 3 2" xfId="13891" xr:uid="{CFF45644-6B2C-4B2E-8E09-59F883CCC2AE}"/>
    <cellStyle name="Comma 4 3 3 2 3 3 3" xfId="22337" xr:uid="{070D456E-91C0-4FCB-84E2-3FA92B98D714}"/>
    <cellStyle name="Comma 4 3 3 2 3 4" xfId="9673" xr:uid="{701E336D-6FFC-4EBD-8B7F-4961FD06536B}"/>
    <cellStyle name="Comma 4 3 3 2 3 5" xfId="18118" xr:uid="{9CE3B876-B410-4552-8CA0-D71D7A1D88A2}"/>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01520A57-AD30-4EE4-94F3-2C23C5995745}"/>
    <cellStyle name="Comma 4 3 3 2 4 2 2 3" xfId="24895" xr:uid="{E07AD12D-C44B-4454-8388-9E06264E01A1}"/>
    <cellStyle name="Comma 4 3 3 2 4 2 3" xfId="12231" xr:uid="{9D96CA97-D766-4198-9158-A3147650D31F}"/>
    <cellStyle name="Comma 4 3 3 2 4 2 4" xfId="20678" xr:uid="{45171847-F4D7-4F1D-94C2-842CC047D27F}"/>
    <cellStyle name="Comma 4 3 3 2 4 3" xfId="5862" xr:uid="{00000000-0005-0000-0000-00007B090000}"/>
    <cellStyle name="Comma 4 3 3 2 4 3 2" xfId="14304" xr:uid="{5C36E3A3-BBF7-47A7-B256-3B8C804DA5C0}"/>
    <cellStyle name="Comma 4 3 3 2 4 3 3" xfId="22750" xr:uid="{B7DB60F6-FC6D-410B-A0BE-C4494F8948C6}"/>
    <cellStyle name="Comma 4 3 3 2 4 4" xfId="10086" xr:uid="{3DC1BE21-8C5F-41D4-9271-D7F37EC58C06}"/>
    <cellStyle name="Comma 4 3 3 2 4 5" xfId="18531" xr:uid="{E3C526AB-9198-4BA2-9434-DEAF9CD6498D}"/>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EA6CD8CC-FDED-41E7-8A50-0F4B94E494E8}"/>
    <cellStyle name="Comma 4 3 3 2 5 2 2 3" xfId="25308" xr:uid="{93AA317C-1BF3-47D6-8144-5CC05BD2506E}"/>
    <cellStyle name="Comma 4 3 3 2 5 2 3" xfId="12644" xr:uid="{F7877F6A-01A6-4E0E-887B-ACEDCBF64152}"/>
    <cellStyle name="Comma 4 3 3 2 5 2 4" xfId="21091" xr:uid="{7D382430-E28E-4006-AF30-949CFDC8A5CA}"/>
    <cellStyle name="Comma 4 3 3 2 5 3" xfId="6275" xr:uid="{00000000-0005-0000-0000-00007F090000}"/>
    <cellStyle name="Comma 4 3 3 2 5 3 2" xfId="14717" xr:uid="{A797538A-0FB1-451E-9F57-E673ECA28522}"/>
    <cellStyle name="Comma 4 3 3 2 5 3 3" xfId="23163" xr:uid="{C0185E77-122A-4003-9394-1067D85B6FBA}"/>
    <cellStyle name="Comma 4 3 3 2 5 4" xfId="10499" xr:uid="{88E0A85A-4820-460A-AF59-CAA5B8FE8CC5}"/>
    <cellStyle name="Comma 4 3 3 2 5 5" xfId="18944" xr:uid="{7D988BAB-917A-4914-A5E3-38F6486B2C95}"/>
    <cellStyle name="Comma 4 3 3 2 6" xfId="2403" xr:uid="{00000000-0005-0000-0000-000080090000}"/>
    <cellStyle name="Comma 4 3 3 2 6 2" xfId="6688" xr:uid="{00000000-0005-0000-0000-000081090000}"/>
    <cellStyle name="Comma 4 3 3 2 6 2 2" xfId="15130" xr:uid="{13C42D8C-75F8-40C7-A6D2-A0A7376E3016}"/>
    <cellStyle name="Comma 4 3 3 2 6 2 3" xfId="23576" xr:uid="{407180A3-346F-42C6-85AA-B1A67CEE4F14}"/>
    <cellStyle name="Comma 4 3 3 2 6 3" xfId="10912" xr:uid="{6AE172F7-6070-4B2F-84D1-2D27CEFB3ED5}"/>
    <cellStyle name="Comma 4 3 3 2 6 4" xfId="19357" xr:uid="{B55A8633-EC5A-4502-AE64-54D601552590}"/>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5BC832C7-A02C-474B-AE81-28E45D139754}"/>
    <cellStyle name="Comma 4 3 3 2 8 2 3" xfId="23893" xr:uid="{E5467A9E-4C7F-4990-8315-CA44AAC20562}"/>
    <cellStyle name="Comma 4 3 3 2 8 3" xfId="11229" xr:uid="{208D278B-920F-441C-9841-9CECE0E343B5}"/>
    <cellStyle name="Comma 4 3 3 2 8 4" xfId="19676" xr:uid="{22591CEC-94A1-4CE1-8096-9C2283ABA3B7}"/>
    <cellStyle name="Comma 4 3 3 2 9" xfId="4622" xr:uid="{00000000-0005-0000-0000-000085090000}"/>
    <cellStyle name="Comma 4 3 3 2 9 2" xfId="13064" xr:uid="{16F63855-BFFD-4BB3-A4B8-A5ECFADCF73C}"/>
    <cellStyle name="Comma 4 3 3 2 9 3" xfId="21510" xr:uid="{D8CB252E-3DE2-4839-931D-02B3EF48DAA9}"/>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1D9419D8-7E10-482F-A194-9559AE4E7EBB}"/>
    <cellStyle name="Comma 4 3 3 3 2 2 3" xfId="24068" xr:uid="{FCD89766-E8AA-4E61-8BBE-035F1307353A}"/>
    <cellStyle name="Comma 4 3 3 3 2 3" xfId="11404" xr:uid="{37FDAEEC-9046-49FD-B674-B330B6259DB8}"/>
    <cellStyle name="Comma 4 3 3 3 2 4" xfId="19851" xr:uid="{47046A5B-64DC-42FD-AB6F-76531D1FE2A9}"/>
    <cellStyle name="Comma 4 3 3 3 3" xfId="5035" xr:uid="{00000000-0005-0000-0000-000089090000}"/>
    <cellStyle name="Comma 4 3 3 3 3 2" xfId="13477" xr:uid="{403A4C92-7BFA-4EB9-BE31-0BC7867C87D9}"/>
    <cellStyle name="Comma 4 3 3 3 3 3" xfId="21923" xr:uid="{093F6C68-098A-49BD-8802-194BBC22AF0F}"/>
    <cellStyle name="Comma 4 3 3 3 4" xfId="9259" xr:uid="{2D744635-F606-4FE0-AC83-D06D973BD0B8}"/>
    <cellStyle name="Comma 4 3 3 3 5" xfId="17704" xr:uid="{39D36661-885D-485B-9862-AD52D15A9556}"/>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DD1AA6BC-5774-49D9-896C-4504A23B8100}"/>
    <cellStyle name="Comma 4 3 3 4 2 2 3" xfId="24481" xr:uid="{F4F81604-D036-4E90-B4D8-1D493ABC80C8}"/>
    <cellStyle name="Comma 4 3 3 4 2 3" xfId="11817" xr:uid="{BD5D9B04-136E-418A-B952-9904849C2D27}"/>
    <cellStyle name="Comma 4 3 3 4 2 4" xfId="20264" xr:uid="{6AFC26C3-5773-49B7-B74E-E4C9D1ECF8F8}"/>
    <cellStyle name="Comma 4 3 3 4 3" xfId="5448" xr:uid="{00000000-0005-0000-0000-00008D090000}"/>
    <cellStyle name="Comma 4 3 3 4 3 2" xfId="13890" xr:uid="{A3E1A340-FC8B-43DF-B255-1B1233AE959E}"/>
    <cellStyle name="Comma 4 3 3 4 3 3" xfId="22336" xr:uid="{5A5CD04B-C30C-465C-A52A-39081CF32B50}"/>
    <cellStyle name="Comma 4 3 3 4 4" xfId="9672" xr:uid="{6467C9F6-69BF-4212-9F11-CBA2D2515473}"/>
    <cellStyle name="Comma 4 3 3 4 5" xfId="18117" xr:uid="{003CBC7D-4EBF-4BE8-BF6F-14D289D48C44}"/>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6529DA0F-A054-411D-9AF0-C5BFBBAFA6CF}"/>
    <cellStyle name="Comma 4 3 3 5 2 2 3" xfId="24894" xr:uid="{ED182771-30D1-45F8-8AB7-AFB790FB14A9}"/>
    <cellStyle name="Comma 4 3 3 5 2 3" xfId="12230" xr:uid="{95D6AFB6-CB33-4D2D-A634-49CF65E461D8}"/>
    <cellStyle name="Comma 4 3 3 5 2 4" xfId="20677" xr:uid="{4D97C069-37F4-4B4B-A53F-27FEA3D109CC}"/>
    <cellStyle name="Comma 4 3 3 5 3" xfId="5861" xr:uid="{00000000-0005-0000-0000-000091090000}"/>
    <cellStyle name="Comma 4 3 3 5 3 2" xfId="14303" xr:uid="{80EA45E8-3CC0-4140-B7CA-629EFAF2D919}"/>
    <cellStyle name="Comma 4 3 3 5 3 3" xfId="22749" xr:uid="{385298EC-F19F-4F3F-9D00-4ABDE66C4E11}"/>
    <cellStyle name="Comma 4 3 3 5 4" xfId="10085" xr:uid="{E50143D3-6D1B-4C8D-9D4C-BC435DCCF17B}"/>
    <cellStyle name="Comma 4 3 3 5 5" xfId="18530" xr:uid="{6DA9E6C4-EFE9-4291-A697-7B26B95CEB3F}"/>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5D932E94-FA33-4732-AC64-712669CFB060}"/>
    <cellStyle name="Comma 4 3 3 6 2 2 3" xfId="25307" xr:uid="{2F38360A-7395-4E29-A596-BE3F1C836F6A}"/>
    <cellStyle name="Comma 4 3 3 6 2 3" xfId="12643" xr:uid="{B76D74D8-21E4-431B-90A4-96B1634687F1}"/>
    <cellStyle name="Comma 4 3 3 6 2 4" xfId="21090" xr:uid="{46CBA81E-EF83-4B09-B28C-543FDC86236C}"/>
    <cellStyle name="Comma 4 3 3 6 3" xfId="6274" xr:uid="{00000000-0005-0000-0000-000095090000}"/>
    <cellStyle name="Comma 4 3 3 6 3 2" xfId="14716" xr:uid="{AE0EC28D-8114-4EAC-B9EF-3D9DA7145BE2}"/>
    <cellStyle name="Comma 4 3 3 6 3 3" xfId="23162" xr:uid="{47118B80-E3C1-4219-9905-FCAFD024BA28}"/>
    <cellStyle name="Comma 4 3 3 6 4" xfId="10498" xr:uid="{D9B98258-1CC2-493D-9219-1CCDADCD3D74}"/>
    <cellStyle name="Comma 4 3 3 6 5" xfId="18943" xr:uid="{565EB7AB-3583-4252-B367-D5DFC3A59A3D}"/>
    <cellStyle name="Comma 4 3 3 7" xfId="2402" xr:uid="{00000000-0005-0000-0000-000096090000}"/>
    <cellStyle name="Comma 4 3 3 7 2" xfId="6687" xr:uid="{00000000-0005-0000-0000-000097090000}"/>
    <cellStyle name="Comma 4 3 3 7 2 2" xfId="15129" xr:uid="{83763CFF-614A-4ECB-A4C5-105A4F543F93}"/>
    <cellStyle name="Comma 4 3 3 7 2 3" xfId="23575" xr:uid="{BA6695DD-BA3B-42D7-BA10-46C2D7440DFB}"/>
    <cellStyle name="Comma 4 3 3 7 3" xfId="10911" xr:uid="{E8092109-5AFF-4755-B4ED-08BD55675E42}"/>
    <cellStyle name="Comma 4 3 3 7 4" xfId="19356" xr:uid="{8A70BD93-3948-4AFE-85AC-7CF759EB6FFD}"/>
    <cellStyle name="Comma 4 3 3 8" xfId="2361" xr:uid="{00000000-0005-0000-0000-000098090000}"/>
    <cellStyle name="Comma 4 3 3 9" xfId="2780" xr:uid="{00000000-0005-0000-0000-000099090000}"/>
    <cellStyle name="Comma 4 3 3 9 2" xfId="7004" xr:uid="{00000000-0005-0000-0000-00009A090000}"/>
    <cellStyle name="Comma 4 3 3 9 2 2" xfId="15446" xr:uid="{8853E588-2992-43ED-A1A1-40B28EA05D8E}"/>
    <cellStyle name="Comma 4 3 3 9 2 3" xfId="23892" xr:uid="{CA4A8F67-A99B-4519-8743-4883C4B430AE}"/>
    <cellStyle name="Comma 4 3 3 9 3" xfId="11228" xr:uid="{2B33D15B-2AFE-4964-974F-E7A0AF5C2CC8}"/>
    <cellStyle name="Comma 4 3 3 9 4" xfId="19675" xr:uid="{19D897CC-C3D3-4D58-92F5-E58D11F7D093}"/>
    <cellStyle name="Comma 4 3 4" xfId="151" xr:uid="{00000000-0005-0000-0000-00009B090000}"/>
    <cellStyle name="Comma 4 3 4 10" xfId="8847" xr:uid="{87FF0F9A-71F0-46EA-8076-0E46BF201D65}"/>
    <cellStyle name="Comma 4 3 4 11" xfId="17290" xr:uid="{9C86E6D4-AB3E-440C-8C48-F334AACE14F4}"/>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EE6B29F2-3D23-44B6-B394-3C75B9E38626}"/>
    <cellStyle name="Comma 4 3 4 2 2 2 3" xfId="24070" xr:uid="{D2AF7AA4-520B-44C8-8C17-55FF9BF7FC1B}"/>
    <cellStyle name="Comma 4 3 4 2 2 3" xfId="11406" xr:uid="{9410A1D9-7F7E-4288-AD87-C81C043E89D4}"/>
    <cellStyle name="Comma 4 3 4 2 2 4" xfId="19853" xr:uid="{9583D124-A246-4B35-B329-2B3A46D47E4E}"/>
    <cellStyle name="Comma 4 3 4 2 3" xfId="5037" xr:uid="{00000000-0005-0000-0000-00009F090000}"/>
    <cellStyle name="Comma 4 3 4 2 3 2" xfId="13479" xr:uid="{70DCAE2E-2A84-42C3-8EB7-AD4AE84B5856}"/>
    <cellStyle name="Comma 4 3 4 2 3 3" xfId="21925" xr:uid="{D485CE0A-816A-4C0A-9699-3D5F74F2A5DF}"/>
    <cellStyle name="Comma 4 3 4 2 4" xfId="9261" xr:uid="{2F778FB7-AF91-45A7-BA61-C91975A60C1E}"/>
    <cellStyle name="Comma 4 3 4 2 5" xfId="17706" xr:uid="{57E8624F-CE49-4EA8-8BB9-0B7A21A816AC}"/>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20D5830E-F8A5-4EEB-9137-FFF2A1CDD38D}"/>
    <cellStyle name="Comma 4 3 4 3 2 2 3" xfId="24483" xr:uid="{530AB377-DA97-4903-A974-7CD08D8A0930}"/>
    <cellStyle name="Comma 4 3 4 3 2 3" xfId="11819" xr:uid="{23359ACE-02CF-4B64-9135-0914370A7759}"/>
    <cellStyle name="Comma 4 3 4 3 2 4" xfId="20266" xr:uid="{C2F1D315-4E7D-41E9-B619-73520AA0F7DF}"/>
    <cellStyle name="Comma 4 3 4 3 3" xfId="5450" xr:uid="{00000000-0005-0000-0000-0000A3090000}"/>
    <cellStyle name="Comma 4 3 4 3 3 2" xfId="13892" xr:uid="{4F7AE9BA-D974-4280-B194-77C244496395}"/>
    <cellStyle name="Comma 4 3 4 3 3 3" xfId="22338" xr:uid="{FB5E8E6C-762B-4294-9C98-F2E84147A340}"/>
    <cellStyle name="Comma 4 3 4 3 4" xfId="9674" xr:uid="{F476EA49-5BA9-4D89-9B90-4DAC8479ECE3}"/>
    <cellStyle name="Comma 4 3 4 3 5" xfId="18119" xr:uid="{1C9D6EB5-3056-4905-B315-3403B3ABB729}"/>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5D640D56-C3D5-4ADB-A6F7-1F811CAAE617}"/>
    <cellStyle name="Comma 4 3 4 4 2 2 3" xfId="24896" xr:uid="{E1A93CC4-BC0B-4E94-AA23-C7E6586C8D2E}"/>
    <cellStyle name="Comma 4 3 4 4 2 3" xfId="12232" xr:uid="{EC02566F-2CFB-44E6-8960-19B01B8ADA71}"/>
    <cellStyle name="Comma 4 3 4 4 2 4" xfId="20679" xr:uid="{CD6B81BB-6432-4DBA-BAB2-19457B5518C5}"/>
    <cellStyle name="Comma 4 3 4 4 3" xfId="5863" xr:uid="{00000000-0005-0000-0000-0000A7090000}"/>
    <cellStyle name="Comma 4 3 4 4 3 2" xfId="14305" xr:uid="{2BE68678-F9FA-4951-B9EF-B183239C4F16}"/>
    <cellStyle name="Comma 4 3 4 4 3 3" xfId="22751" xr:uid="{D2EFA571-BCF3-4381-950C-C0AFFBC201E1}"/>
    <cellStyle name="Comma 4 3 4 4 4" xfId="10087" xr:uid="{35E0932D-6FB0-4218-9BB7-E8C72FA67787}"/>
    <cellStyle name="Comma 4 3 4 4 5" xfId="18532" xr:uid="{1F2024CE-32EE-4A48-8915-9CB5B70B5169}"/>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89B98CB6-E441-443D-8208-42EA060F1230}"/>
    <cellStyle name="Comma 4 3 4 5 2 2 3" xfId="25309" xr:uid="{393DCC7F-321A-4C81-862A-A65D3B266618}"/>
    <cellStyle name="Comma 4 3 4 5 2 3" xfId="12645" xr:uid="{5C3864C3-6B29-43AE-828E-85C813C9064D}"/>
    <cellStyle name="Comma 4 3 4 5 2 4" xfId="21092" xr:uid="{68FAB54E-D81B-47B7-94F1-1FD65762025C}"/>
    <cellStyle name="Comma 4 3 4 5 3" xfId="6276" xr:uid="{00000000-0005-0000-0000-0000AB090000}"/>
    <cellStyle name="Comma 4 3 4 5 3 2" xfId="14718" xr:uid="{47AA34AC-06FA-4975-B7DB-26252F7B7631}"/>
    <cellStyle name="Comma 4 3 4 5 3 3" xfId="23164" xr:uid="{56F23EE7-46D4-4FDB-AAD5-D0A0759C6AA7}"/>
    <cellStyle name="Comma 4 3 4 5 4" xfId="10500" xr:uid="{B1BB2129-C7D2-4388-9421-E0FDA28CB82B}"/>
    <cellStyle name="Comma 4 3 4 5 5" xfId="18945" xr:uid="{66DACCA2-8D5D-4DE6-8C12-B0B164B524E4}"/>
    <cellStyle name="Comma 4 3 4 6" xfId="2404" xr:uid="{00000000-0005-0000-0000-0000AC090000}"/>
    <cellStyle name="Comma 4 3 4 6 2" xfId="6689" xr:uid="{00000000-0005-0000-0000-0000AD090000}"/>
    <cellStyle name="Comma 4 3 4 6 2 2" xfId="15131" xr:uid="{5129DCDA-0B53-4A91-A603-20B6C59EC587}"/>
    <cellStyle name="Comma 4 3 4 6 2 3" xfId="23577" xr:uid="{086815C1-46D4-45E0-9351-05FEED8630C6}"/>
    <cellStyle name="Comma 4 3 4 6 3" xfId="10913" xr:uid="{1F2C9237-0DA0-4C63-82D9-F179B046FDDB}"/>
    <cellStyle name="Comma 4 3 4 6 4" xfId="19358" xr:uid="{F3CFC875-70E4-4716-9C43-417C5DAEC00D}"/>
    <cellStyle name="Comma 4 3 4 7" xfId="2700" xr:uid="{00000000-0005-0000-0000-0000AE090000}"/>
    <cellStyle name="Comma 4 3 4 8" xfId="2782" xr:uid="{00000000-0005-0000-0000-0000AF090000}"/>
    <cellStyle name="Comma 4 3 4 8 2" xfId="7006" xr:uid="{00000000-0005-0000-0000-0000B0090000}"/>
    <cellStyle name="Comma 4 3 4 8 2 2" xfId="15448" xr:uid="{8E697D19-5D8F-407D-B87B-0DBF480F3536}"/>
    <cellStyle name="Comma 4 3 4 8 2 3" xfId="23894" xr:uid="{819AB748-77C0-4CBD-9483-9EDBF284AB48}"/>
    <cellStyle name="Comma 4 3 4 8 3" xfId="11230" xr:uid="{6A564CE0-6447-40EA-BDA7-8F1FD82D70CF}"/>
    <cellStyle name="Comma 4 3 4 8 4" xfId="19677" xr:uid="{9AEEE6DC-8A00-4DB9-BD15-7F38479E2938}"/>
    <cellStyle name="Comma 4 3 4 9" xfId="4623" xr:uid="{00000000-0005-0000-0000-0000B1090000}"/>
    <cellStyle name="Comma 4 3 4 9 2" xfId="13065" xr:uid="{F48D9805-2772-4016-B409-4A8D73204DF5}"/>
    <cellStyle name="Comma 4 3 4 9 3" xfId="21511" xr:uid="{F4973E0F-2CE1-4D36-BF91-0217714F12AB}"/>
    <cellStyle name="Comma 4 3 5" xfId="152" xr:uid="{00000000-0005-0000-0000-0000B2090000}"/>
    <cellStyle name="Comma 4 3 5 10" xfId="8848" xr:uid="{F4F6C0AD-E61E-49AE-9EF7-0A197461C5AE}"/>
    <cellStyle name="Comma 4 3 5 11" xfId="17291" xr:uid="{98442A9C-2734-42DA-B14E-689BBDEF83BF}"/>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3FDB914A-3114-4915-B62B-5D54ABF7FCB4}"/>
    <cellStyle name="Comma 4 3 5 2 2 2 3" xfId="24071" xr:uid="{97546417-A488-4216-B6FC-A34CFF9F7733}"/>
    <cellStyle name="Comma 4 3 5 2 2 3" xfId="11407" xr:uid="{F6A26C41-5E27-4A0D-B2BB-AF75696C0041}"/>
    <cellStyle name="Comma 4 3 5 2 2 4" xfId="19854" xr:uid="{9B845C37-1E79-4050-8523-83D5F1867B80}"/>
    <cellStyle name="Comma 4 3 5 2 3" xfId="5038" xr:uid="{00000000-0005-0000-0000-0000B6090000}"/>
    <cellStyle name="Comma 4 3 5 2 3 2" xfId="13480" xr:uid="{29241204-C6C5-4741-90E5-D4A33E24600E}"/>
    <cellStyle name="Comma 4 3 5 2 3 3" xfId="21926" xr:uid="{FDC804BD-CC2C-431E-B6F6-B4B08E49CF3F}"/>
    <cellStyle name="Comma 4 3 5 2 4" xfId="9262" xr:uid="{BA9489C2-34C7-4E6E-88D1-8E208E5D976B}"/>
    <cellStyle name="Comma 4 3 5 2 5" xfId="17707" xr:uid="{C2AC8727-5B11-4813-A89D-DF49AC813F52}"/>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B393BD21-68F5-474D-9C66-C038810CD36E}"/>
    <cellStyle name="Comma 4 3 5 3 2 2 3" xfId="24484" xr:uid="{2CBE0E68-207E-4681-81B1-46AA5902918C}"/>
    <cellStyle name="Comma 4 3 5 3 2 3" xfId="11820" xr:uid="{B1350A74-D771-4A6A-852A-06042381B3A4}"/>
    <cellStyle name="Comma 4 3 5 3 2 4" xfId="20267" xr:uid="{40935613-6DDF-461C-8185-CD77EC0566A8}"/>
    <cellStyle name="Comma 4 3 5 3 3" xfId="5451" xr:uid="{00000000-0005-0000-0000-0000BA090000}"/>
    <cellStyle name="Comma 4 3 5 3 3 2" xfId="13893" xr:uid="{89A84F36-0756-4584-B997-FEF075478AC0}"/>
    <cellStyle name="Comma 4 3 5 3 3 3" xfId="22339" xr:uid="{BB5975FA-974C-4EBA-A7EA-1D0975E037D4}"/>
    <cellStyle name="Comma 4 3 5 3 4" xfId="9675" xr:uid="{6D4A054F-86FF-4A1F-933C-24142BF09B3E}"/>
    <cellStyle name="Comma 4 3 5 3 5" xfId="18120" xr:uid="{829133E3-E17E-44E2-9F64-79F9F08AEAEA}"/>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22C03B1D-7280-48EF-9B85-0A8955DC4D7C}"/>
    <cellStyle name="Comma 4 3 5 4 2 2 3" xfId="24897" xr:uid="{D6FC8ED9-F46E-4B61-A3A2-29A5FCA554A9}"/>
    <cellStyle name="Comma 4 3 5 4 2 3" xfId="12233" xr:uid="{0EC0A7BF-9B30-48F0-B613-516D99E0455E}"/>
    <cellStyle name="Comma 4 3 5 4 2 4" xfId="20680" xr:uid="{028B16F9-54BB-44F4-97C1-6D78D1909466}"/>
    <cellStyle name="Comma 4 3 5 4 3" xfId="5864" xr:uid="{00000000-0005-0000-0000-0000BE090000}"/>
    <cellStyle name="Comma 4 3 5 4 3 2" xfId="14306" xr:uid="{DE84229B-5636-45DD-879C-F67D217F912F}"/>
    <cellStyle name="Comma 4 3 5 4 3 3" xfId="22752" xr:uid="{85D6D225-A72F-49BF-8774-B4286CDDDFC7}"/>
    <cellStyle name="Comma 4 3 5 4 4" xfId="10088" xr:uid="{8419A117-CF56-4080-97C9-3A0C21D588CE}"/>
    <cellStyle name="Comma 4 3 5 4 5" xfId="18533" xr:uid="{190041DC-AD85-4590-B3DD-854CD3B0F9DB}"/>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38D94C77-0161-434F-9F6C-651662E18BCA}"/>
    <cellStyle name="Comma 4 3 5 5 2 2 3" xfId="25310" xr:uid="{0F2A4F83-5508-4668-9D88-EF37249FDA16}"/>
    <cellStyle name="Comma 4 3 5 5 2 3" xfId="12646" xr:uid="{9D55F0C2-671C-4273-91FC-EE870BA731AD}"/>
    <cellStyle name="Comma 4 3 5 5 2 4" xfId="21093" xr:uid="{8854ED39-3287-45D3-B481-4755A275FEE4}"/>
    <cellStyle name="Comma 4 3 5 5 3" xfId="6277" xr:uid="{00000000-0005-0000-0000-0000C2090000}"/>
    <cellStyle name="Comma 4 3 5 5 3 2" xfId="14719" xr:uid="{9D1D1E25-BB2A-43D3-8480-33C901319C67}"/>
    <cellStyle name="Comma 4 3 5 5 3 3" xfId="23165" xr:uid="{4BFEEF20-57B5-42F8-84D9-18E1114061C9}"/>
    <cellStyle name="Comma 4 3 5 5 4" xfId="10501" xr:uid="{ACF2FD10-498F-4525-A9C6-1A3291656212}"/>
    <cellStyle name="Comma 4 3 5 5 5" xfId="18946" xr:uid="{771212F3-3FBB-4963-9E6D-35C8055D3B20}"/>
    <cellStyle name="Comma 4 3 5 6" xfId="2405" xr:uid="{00000000-0005-0000-0000-0000C3090000}"/>
    <cellStyle name="Comma 4 3 5 6 2" xfId="6690" xr:uid="{00000000-0005-0000-0000-0000C4090000}"/>
    <cellStyle name="Comma 4 3 5 6 2 2" xfId="15132" xr:uid="{99F417DC-5EB2-4E69-BBDC-E6D460DA6896}"/>
    <cellStyle name="Comma 4 3 5 6 2 3" xfId="23578" xr:uid="{7BBCF130-1AAB-4205-A3CC-423F4F2265DC}"/>
    <cellStyle name="Comma 4 3 5 6 3" xfId="10914" xr:uid="{602FCA16-694B-44D9-AF67-91D46C9A3FD7}"/>
    <cellStyle name="Comma 4 3 5 6 4" xfId="19359" xr:uid="{EAA3D624-FC25-44A8-B073-119D4C977877}"/>
    <cellStyle name="Comma 4 3 5 7" xfId="2701" xr:uid="{00000000-0005-0000-0000-0000C5090000}"/>
    <cellStyle name="Comma 4 3 5 8" xfId="2783" xr:uid="{00000000-0005-0000-0000-0000C6090000}"/>
    <cellStyle name="Comma 4 3 5 8 2" xfId="7007" xr:uid="{00000000-0005-0000-0000-0000C7090000}"/>
    <cellStyle name="Comma 4 3 5 8 2 2" xfId="15449" xr:uid="{E946DD79-8D4E-4BBA-84F2-33EA03BAA4C8}"/>
    <cellStyle name="Comma 4 3 5 8 2 3" xfId="23895" xr:uid="{B503FC7C-A3BF-4890-8E5F-B867517389DF}"/>
    <cellStyle name="Comma 4 3 5 8 3" xfId="11231" xr:uid="{8A537DC3-248E-4355-8090-12E2E166230A}"/>
    <cellStyle name="Comma 4 3 5 8 4" xfId="19678" xr:uid="{A4E49293-F49D-40F5-BE14-3E06685B4BA7}"/>
    <cellStyle name="Comma 4 3 5 9" xfId="4624" xr:uid="{00000000-0005-0000-0000-0000C8090000}"/>
    <cellStyle name="Comma 4 3 5 9 2" xfId="13066" xr:uid="{1431296D-627A-449F-868A-B59D3AA01E2C}"/>
    <cellStyle name="Comma 4 3 5 9 3" xfId="21512" xr:uid="{1B353F49-F70D-4867-8E75-113A49B12FA7}"/>
    <cellStyle name="Comma 4 4" xfId="153" xr:uid="{00000000-0005-0000-0000-0000C9090000}"/>
    <cellStyle name="Comma 4 4 10" xfId="2784" xr:uid="{00000000-0005-0000-0000-0000CA090000}"/>
    <cellStyle name="Comma 4 4 10 2" xfId="7008" xr:uid="{00000000-0005-0000-0000-0000CB090000}"/>
    <cellStyle name="Comma 4 4 10 2 2" xfId="15450" xr:uid="{953314B4-A4B1-4984-AC1A-957ED0FC47F9}"/>
    <cellStyle name="Comma 4 4 10 2 3" xfId="23896" xr:uid="{1858BE4B-0127-45DB-AF05-9C6BA6406AFA}"/>
    <cellStyle name="Comma 4 4 10 3" xfId="11232" xr:uid="{3150566A-429B-4122-A506-5DF5D864C510}"/>
    <cellStyle name="Comma 4 4 10 4" xfId="19679" xr:uid="{03AF2B55-E446-4AD5-A948-3C371849BC71}"/>
    <cellStyle name="Comma 4 4 11" xfId="4625" xr:uid="{00000000-0005-0000-0000-0000CC090000}"/>
    <cellStyle name="Comma 4 4 11 2" xfId="13067" xr:uid="{D13A843B-900C-4729-920B-E8289616EB20}"/>
    <cellStyle name="Comma 4 4 11 3" xfId="21513" xr:uid="{7E0714E4-0D96-4EDE-9E23-5E27323D8B42}"/>
    <cellStyle name="Comma 4 4 12" xfId="8849" xr:uid="{D464F91D-7DB1-4163-9217-0F4C3E2F6AAF}"/>
    <cellStyle name="Comma 4 4 13" xfId="17292" xr:uid="{A15B35F4-CF52-4BA9-B07C-A93C7D844076}"/>
    <cellStyle name="Comma 4 4 2" xfId="154" xr:uid="{00000000-0005-0000-0000-0000CD090000}"/>
    <cellStyle name="Comma 4 4 2 10" xfId="4626" xr:uid="{00000000-0005-0000-0000-0000CE090000}"/>
    <cellStyle name="Comma 4 4 2 10 2" xfId="13068" xr:uid="{D0E55C2A-7397-44C0-829A-CE37697747FA}"/>
    <cellStyle name="Comma 4 4 2 10 3" xfId="21514" xr:uid="{0A05E9D2-941A-4356-9812-426F60A7AD0E}"/>
    <cellStyle name="Comma 4 4 2 11" xfId="8850" xr:uid="{1D0030A6-ECD8-4F9B-9635-709CEF8BAE0C}"/>
    <cellStyle name="Comma 4 4 2 12" xfId="17293" xr:uid="{93C49560-9640-40A4-8451-A604CCD88519}"/>
    <cellStyle name="Comma 4 4 2 2" xfId="155" xr:uid="{00000000-0005-0000-0000-0000CF090000}"/>
    <cellStyle name="Comma 4 4 2 2 10" xfId="8851" xr:uid="{59C802F6-DE78-497E-A429-F8607605F169}"/>
    <cellStyle name="Comma 4 4 2 2 11" xfId="17294" xr:uid="{8824A5D9-C237-41BD-B946-E23F5A0DA918}"/>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94B2B15D-24BE-478E-9613-C833D7DD4364}"/>
    <cellStyle name="Comma 4 4 2 2 2 2 2 3" xfId="24074" xr:uid="{48AA5CE4-5AE6-42A3-82E0-7BD461B43DEF}"/>
    <cellStyle name="Comma 4 4 2 2 2 2 3" xfId="11410" xr:uid="{8CE0DE4F-F1EE-4A17-A507-E4537D636620}"/>
    <cellStyle name="Comma 4 4 2 2 2 2 4" xfId="19857" xr:uid="{74F3AF8F-CD6E-4489-89FE-2024CD9E385B}"/>
    <cellStyle name="Comma 4 4 2 2 2 3" xfId="5041" xr:uid="{00000000-0005-0000-0000-0000D3090000}"/>
    <cellStyle name="Comma 4 4 2 2 2 3 2" xfId="13483" xr:uid="{04B2AA60-DE0F-4088-BA69-A30551EDB121}"/>
    <cellStyle name="Comma 4 4 2 2 2 3 3" xfId="21929" xr:uid="{DFAFB5F8-92FB-4A88-BC90-29E4D4ED7A6E}"/>
    <cellStyle name="Comma 4 4 2 2 2 4" xfId="9265" xr:uid="{9FF15B6A-EE0D-44C2-BF56-AB027EBFB863}"/>
    <cellStyle name="Comma 4 4 2 2 2 5" xfId="17710" xr:uid="{AFAD471B-7E05-4A66-9CE1-C3061F235A4A}"/>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D25BBCD1-261E-44F8-B6FF-9C38047AB778}"/>
    <cellStyle name="Comma 4 4 2 2 3 2 2 3" xfId="24487" xr:uid="{82F4BB10-ABE0-4723-946E-F1FDF7C7443D}"/>
    <cellStyle name="Comma 4 4 2 2 3 2 3" xfId="11823" xr:uid="{BC404FF7-286F-4A9B-8CF1-0FF56E02F64A}"/>
    <cellStyle name="Comma 4 4 2 2 3 2 4" xfId="20270" xr:uid="{C2CF3A9E-3747-4415-ADD5-1E1341D5E956}"/>
    <cellStyle name="Comma 4 4 2 2 3 3" xfId="5454" xr:uid="{00000000-0005-0000-0000-0000D7090000}"/>
    <cellStyle name="Comma 4 4 2 2 3 3 2" xfId="13896" xr:uid="{B37BFE4C-5838-4D7C-AA53-8A8367D83213}"/>
    <cellStyle name="Comma 4 4 2 2 3 3 3" xfId="22342" xr:uid="{1EAE6D0F-235D-4145-B44B-F34D55B49EF1}"/>
    <cellStyle name="Comma 4 4 2 2 3 4" xfId="9678" xr:uid="{C5777870-1BEE-464C-A909-0BDE4D05EA6F}"/>
    <cellStyle name="Comma 4 4 2 2 3 5" xfId="18123" xr:uid="{76FB0728-7E43-46E1-B177-6C7598F7DF2F}"/>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5EA49599-E4BF-44F2-BEDA-A1FF20FF056B}"/>
    <cellStyle name="Comma 4 4 2 2 4 2 2 3" xfId="24900" xr:uid="{A36CE98D-ECF4-4AE3-87FF-DF2932D64AD7}"/>
    <cellStyle name="Comma 4 4 2 2 4 2 3" xfId="12236" xr:uid="{C25AA3FD-C61C-4704-8316-1FD31EC4DD26}"/>
    <cellStyle name="Comma 4 4 2 2 4 2 4" xfId="20683" xr:uid="{0C1858D3-9ED9-4820-8DD8-37154F80D915}"/>
    <cellStyle name="Comma 4 4 2 2 4 3" xfId="5867" xr:uid="{00000000-0005-0000-0000-0000DB090000}"/>
    <cellStyle name="Comma 4 4 2 2 4 3 2" xfId="14309" xr:uid="{D60A5A91-A845-4A3D-A408-D622E0A9AA38}"/>
    <cellStyle name="Comma 4 4 2 2 4 3 3" xfId="22755" xr:uid="{E79444EA-9914-4946-9EAC-299CCA7D3E84}"/>
    <cellStyle name="Comma 4 4 2 2 4 4" xfId="10091" xr:uid="{5115B8F1-71E2-4973-B4D3-F916908F4C7D}"/>
    <cellStyle name="Comma 4 4 2 2 4 5" xfId="18536" xr:uid="{9A67FB75-E20F-4F3E-9963-DEDBF7290369}"/>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4240414A-50FA-478D-9E35-A62E3D4E7D93}"/>
    <cellStyle name="Comma 4 4 2 2 5 2 2 3" xfId="25313" xr:uid="{69D40DC9-5C41-470B-BA77-2844A8D231C4}"/>
    <cellStyle name="Comma 4 4 2 2 5 2 3" xfId="12649" xr:uid="{C16471DE-CA65-4330-8A3B-4419734A7D7A}"/>
    <cellStyle name="Comma 4 4 2 2 5 2 4" xfId="21096" xr:uid="{E5129215-85D7-441A-9086-E9A8473C71CE}"/>
    <cellStyle name="Comma 4 4 2 2 5 3" xfId="6280" xr:uid="{00000000-0005-0000-0000-0000DF090000}"/>
    <cellStyle name="Comma 4 4 2 2 5 3 2" xfId="14722" xr:uid="{803E5D20-04B2-4FA6-9908-95828018A498}"/>
    <cellStyle name="Comma 4 4 2 2 5 3 3" xfId="23168" xr:uid="{A2D51FAF-C19E-4C5A-B608-FBB9E159C448}"/>
    <cellStyle name="Comma 4 4 2 2 5 4" xfId="10504" xr:uid="{FA2B64BE-2328-4A88-A489-99F1C2346D3A}"/>
    <cellStyle name="Comma 4 4 2 2 5 5" xfId="18949" xr:uid="{B9E216EB-FBAF-47C6-BA7F-98B6C71FE5B4}"/>
    <cellStyle name="Comma 4 4 2 2 6" xfId="2408" xr:uid="{00000000-0005-0000-0000-0000E0090000}"/>
    <cellStyle name="Comma 4 4 2 2 6 2" xfId="6693" xr:uid="{00000000-0005-0000-0000-0000E1090000}"/>
    <cellStyle name="Comma 4 4 2 2 6 2 2" xfId="15135" xr:uid="{014FB3A1-8C84-42FB-8894-169DAF54C127}"/>
    <cellStyle name="Comma 4 4 2 2 6 2 3" xfId="23581" xr:uid="{A5268F8F-B760-4C01-AEDE-4AC4506A6A03}"/>
    <cellStyle name="Comma 4 4 2 2 6 3" xfId="10917" xr:uid="{154076DF-6C51-457C-AE91-FBCD219FFA98}"/>
    <cellStyle name="Comma 4 4 2 2 6 4" xfId="19362" xr:uid="{386DC944-A827-41F6-92D6-6ED7B3530982}"/>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3EB3EED5-D5F6-4176-AA7F-B8B4A7A67EEE}"/>
    <cellStyle name="Comma 4 4 2 2 8 2 3" xfId="23898" xr:uid="{739409AE-6903-42FE-946F-E3C20C6303B8}"/>
    <cellStyle name="Comma 4 4 2 2 8 3" xfId="11234" xr:uid="{3DA02BDE-D899-408C-85B0-1BC431C42351}"/>
    <cellStyle name="Comma 4 4 2 2 8 4" xfId="19681" xr:uid="{594E75FF-6B0A-4025-8C3A-B3CEC503CDED}"/>
    <cellStyle name="Comma 4 4 2 2 9" xfId="4627" xr:uid="{00000000-0005-0000-0000-0000E5090000}"/>
    <cellStyle name="Comma 4 4 2 2 9 2" xfId="13069" xr:uid="{B48A34F8-7ADE-46AC-9897-05325900F79C}"/>
    <cellStyle name="Comma 4 4 2 2 9 3" xfId="21515" xr:uid="{5A1F2EB0-7008-4E72-96C7-89B43A8A24DB}"/>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FD3CF92E-3F77-48C2-9FF2-B3561401892D}"/>
    <cellStyle name="Comma 4 4 2 3 2 2 3" xfId="24073" xr:uid="{B78B8A68-A9D3-4DE0-8C13-31D07AF530B7}"/>
    <cellStyle name="Comma 4 4 2 3 2 3" xfId="11409" xr:uid="{C74F7540-DFE5-4F57-94AF-F89AF3F9EA94}"/>
    <cellStyle name="Comma 4 4 2 3 2 4" xfId="19856" xr:uid="{8AF78FBE-8D1C-4FCB-A04D-3F9A3A1CEEF4}"/>
    <cellStyle name="Comma 4 4 2 3 3" xfId="5040" xr:uid="{00000000-0005-0000-0000-0000E9090000}"/>
    <cellStyle name="Comma 4 4 2 3 3 2" xfId="13482" xr:uid="{9E965970-1129-4079-AD83-EFBD2235E641}"/>
    <cellStyle name="Comma 4 4 2 3 3 3" xfId="21928" xr:uid="{056894E6-C2E1-48B4-8B48-162F66BDD0C6}"/>
    <cellStyle name="Comma 4 4 2 3 4" xfId="9264" xr:uid="{49768209-8820-43BD-9B06-039994A39574}"/>
    <cellStyle name="Comma 4 4 2 3 5" xfId="17709" xr:uid="{149F4847-5844-4502-9A8F-8A915EFFC11C}"/>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C1D6E5B0-60B5-4B64-9E11-AE62F6C0454A}"/>
    <cellStyle name="Comma 4 4 2 4 2 2 3" xfId="24486" xr:uid="{DDC801ED-402D-482A-9CAA-6609074B4A1E}"/>
    <cellStyle name="Comma 4 4 2 4 2 3" xfId="11822" xr:uid="{D66AC251-83EC-4BA8-B36D-AFD92AF66DFA}"/>
    <cellStyle name="Comma 4 4 2 4 2 4" xfId="20269" xr:uid="{4D81C4F7-C1EA-4BCD-9649-E015FC4456CE}"/>
    <cellStyle name="Comma 4 4 2 4 3" xfId="5453" xr:uid="{00000000-0005-0000-0000-0000ED090000}"/>
    <cellStyle name="Comma 4 4 2 4 3 2" xfId="13895" xr:uid="{A7C856F0-A4FE-40DF-805E-0674FB3515C8}"/>
    <cellStyle name="Comma 4 4 2 4 3 3" xfId="22341" xr:uid="{F8DEFC04-560F-43FE-A241-40F84C49E6CA}"/>
    <cellStyle name="Comma 4 4 2 4 4" xfId="9677" xr:uid="{2B9D0800-2245-4C40-9736-FD878A4E17CF}"/>
    <cellStyle name="Comma 4 4 2 4 5" xfId="18122" xr:uid="{51E415DC-494C-4E7E-8E3D-FC670000F9B1}"/>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39B7A6DC-BF69-4608-B7A7-61161571807B}"/>
    <cellStyle name="Comma 4 4 2 5 2 2 3" xfId="24899" xr:uid="{11C22611-7F30-42B9-BA19-E7039B1A1A87}"/>
    <cellStyle name="Comma 4 4 2 5 2 3" xfId="12235" xr:uid="{7177D238-2DCF-459D-9210-E96C174011C7}"/>
    <cellStyle name="Comma 4 4 2 5 2 4" xfId="20682" xr:uid="{F925F26D-FD26-4B85-B535-54201ACC0A3E}"/>
    <cellStyle name="Comma 4 4 2 5 3" xfId="5866" xr:uid="{00000000-0005-0000-0000-0000F1090000}"/>
    <cellStyle name="Comma 4 4 2 5 3 2" xfId="14308" xr:uid="{9C0401B8-B447-4021-A65D-EDB3848D300C}"/>
    <cellStyle name="Comma 4 4 2 5 3 3" xfId="22754" xr:uid="{CA7BE666-F203-45C4-A196-2316B535D236}"/>
    <cellStyle name="Comma 4 4 2 5 4" xfId="10090" xr:uid="{20BECD6E-0C0B-4C9D-94E4-B48739C68856}"/>
    <cellStyle name="Comma 4 4 2 5 5" xfId="18535" xr:uid="{9FFD91DA-B5B5-4204-B896-06550CA0C638}"/>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1EB38C7E-B75C-4280-91FC-12417C496D3A}"/>
    <cellStyle name="Comma 4 4 2 6 2 2 3" xfId="25312" xr:uid="{EB6B3EDF-AD76-4AB2-8D24-E3F8BC71F9BF}"/>
    <cellStyle name="Comma 4 4 2 6 2 3" xfId="12648" xr:uid="{860C317D-AC53-4A53-B818-85D6856D3B76}"/>
    <cellStyle name="Comma 4 4 2 6 2 4" xfId="21095" xr:uid="{E0543EBC-D31D-474E-8FE7-17376BC6DB28}"/>
    <cellStyle name="Comma 4 4 2 6 3" xfId="6279" xr:uid="{00000000-0005-0000-0000-0000F5090000}"/>
    <cellStyle name="Comma 4 4 2 6 3 2" xfId="14721" xr:uid="{E27CEED8-3C86-4CE6-8CA2-032CB397230B}"/>
    <cellStyle name="Comma 4 4 2 6 3 3" xfId="23167" xr:uid="{A42DD4D2-3ED8-4CE0-B957-A950371AEF6C}"/>
    <cellStyle name="Comma 4 4 2 6 4" xfId="10503" xr:uid="{B0EC0506-0C57-4883-9BBF-FAFA82D531FE}"/>
    <cellStyle name="Comma 4 4 2 6 5" xfId="18948" xr:uid="{AC98C392-FFF9-4D3E-801D-64890A3E8621}"/>
    <cellStyle name="Comma 4 4 2 7" xfId="2407" xr:uid="{00000000-0005-0000-0000-0000F6090000}"/>
    <cellStyle name="Comma 4 4 2 7 2" xfId="6692" xr:uid="{00000000-0005-0000-0000-0000F7090000}"/>
    <cellStyle name="Comma 4 4 2 7 2 2" xfId="15134" xr:uid="{B6F8F066-D903-4859-BB33-9E1A01583EB9}"/>
    <cellStyle name="Comma 4 4 2 7 2 3" xfId="23580" xr:uid="{C62BC8B8-69AE-4D16-8F27-E4ED222A4A74}"/>
    <cellStyle name="Comma 4 4 2 7 3" xfId="10916" xr:uid="{09BF8670-2A82-4903-BB5E-A35BBB6AAE6E}"/>
    <cellStyle name="Comma 4 4 2 7 4" xfId="19361" xr:uid="{CED2EFEE-6E8F-4253-AB9B-EF9E04B19A6A}"/>
    <cellStyle name="Comma 4 4 2 8" xfId="2703" xr:uid="{00000000-0005-0000-0000-0000F8090000}"/>
    <cellStyle name="Comma 4 4 2 9" xfId="2785" xr:uid="{00000000-0005-0000-0000-0000F9090000}"/>
    <cellStyle name="Comma 4 4 2 9 2" xfId="7009" xr:uid="{00000000-0005-0000-0000-0000FA090000}"/>
    <cellStyle name="Comma 4 4 2 9 2 2" xfId="15451" xr:uid="{FC5FD692-B3AD-456D-9F84-F40E2CF403B0}"/>
    <cellStyle name="Comma 4 4 2 9 2 3" xfId="23897" xr:uid="{18AE8893-E780-482C-885D-80286400BAE5}"/>
    <cellStyle name="Comma 4 4 2 9 3" xfId="11233" xr:uid="{ADEFF72A-FEE9-46C0-957C-7CE9A4C14135}"/>
    <cellStyle name="Comma 4 4 2 9 4" xfId="19680" xr:uid="{5D6D3E4D-A074-4CD2-B6AC-75C77543ABA8}"/>
    <cellStyle name="Comma 4 4 3" xfId="156" xr:uid="{00000000-0005-0000-0000-0000FB090000}"/>
    <cellStyle name="Comma 4 4 3 10" xfId="8852" xr:uid="{811BEFF5-C252-424A-BABD-8A744B71D019}"/>
    <cellStyle name="Comma 4 4 3 11" xfId="17295" xr:uid="{918CD7AD-5221-42EC-BA32-8C711F6010F7}"/>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700A0AC9-10AC-4A6D-B653-3681F2335010}"/>
    <cellStyle name="Comma 4 4 3 2 2 2 3" xfId="24075" xr:uid="{920DB2D7-8977-4F10-9DD5-0975574F9120}"/>
    <cellStyle name="Comma 4 4 3 2 2 3" xfId="11411" xr:uid="{ED84BFBC-1F3D-4EBE-8D6D-21949CD6295D}"/>
    <cellStyle name="Comma 4 4 3 2 2 4" xfId="19858" xr:uid="{80FEFB13-5D83-41AE-BBB7-858C36474FB2}"/>
    <cellStyle name="Comma 4 4 3 2 3" xfId="5042" xr:uid="{00000000-0005-0000-0000-0000FF090000}"/>
    <cellStyle name="Comma 4 4 3 2 3 2" xfId="13484" xr:uid="{8EFDF361-D6B7-4512-A4B7-9D79A4AD362A}"/>
    <cellStyle name="Comma 4 4 3 2 3 3" xfId="21930" xr:uid="{F88CD056-401A-4375-A37A-4D4AB02D8930}"/>
    <cellStyle name="Comma 4 4 3 2 4" xfId="9266" xr:uid="{4A53FCE7-DBB8-498B-B366-5C7A8DF262EC}"/>
    <cellStyle name="Comma 4 4 3 2 5" xfId="17711" xr:uid="{C1023DED-BF2F-47F6-B7B1-BD7A4DB9FC2C}"/>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D79C02A9-ADBC-46D1-B86A-9CB8D2A86228}"/>
    <cellStyle name="Comma 4 4 3 3 2 2 3" xfId="24488" xr:uid="{4ABAFD34-D920-40CC-8B27-BFFDF25E56C6}"/>
    <cellStyle name="Comma 4 4 3 3 2 3" xfId="11824" xr:uid="{25B63CEE-3E7C-4B05-830F-1D963BECCD11}"/>
    <cellStyle name="Comma 4 4 3 3 2 4" xfId="20271" xr:uid="{53FA9BAA-2426-494F-856A-39E6D71AE8CA}"/>
    <cellStyle name="Comma 4 4 3 3 3" xfId="5455" xr:uid="{00000000-0005-0000-0000-0000030A0000}"/>
    <cellStyle name="Comma 4 4 3 3 3 2" xfId="13897" xr:uid="{FB488E44-67E5-48CA-9C2D-039FF800B7E0}"/>
    <cellStyle name="Comma 4 4 3 3 3 3" xfId="22343" xr:uid="{843E2C51-5376-4AD4-9820-6427B1177A86}"/>
    <cellStyle name="Comma 4 4 3 3 4" xfId="9679" xr:uid="{8A6ABE7E-EC0D-49C2-ACCC-952447A66C74}"/>
    <cellStyle name="Comma 4 4 3 3 5" xfId="18124" xr:uid="{7786FDD7-B57D-4CA0-9C53-42732364670E}"/>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F1C7364D-8DC5-4539-A5BF-5CD1F8DB8F7A}"/>
    <cellStyle name="Comma 4 4 3 4 2 2 3" xfId="24901" xr:uid="{C32B891B-5EFB-4D86-944F-1D8235BBA8AB}"/>
    <cellStyle name="Comma 4 4 3 4 2 3" xfId="12237" xr:uid="{D0B5B387-3054-49B9-A261-F084E4CD9C7B}"/>
    <cellStyle name="Comma 4 4 3 4 2 4" xfId="20684" xr:uid="{F014E536-A091-4F1E-BEB5-34B04DB65447}"/>
    <cellStyle name="Comma 4 4 3 4 3" xfId="5868" xr:uid="{00000000-0005-0000-0000-0000070A0000}"/>
    <cellStyle name="Comma 4 4 3 4 3 2" xfId="14310" xr:uid="{3762CD2E-3B43-4FFB-A849-AB103687F808}"/>
    <cellStyle name="Comma 4 4 3 4 3 3" xfId="22756" xr:uid="{C8D8A915-3DDA-48B5-9198-BB82EBEACE62}"/>
    <cellStyle name="Comma 4 4 3 4 4" xfId="10092" xr:uid="{DEC0C1CE-C7E1-4D33-9D38-ECC8C7CFE134}"/>
    <cellStyle name="Comma 4 4 3 4 5" xfId="18537" xr:uid="{D4140EA5-AE1E-424B-8F52-C6EC68340D75}"/>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96929DB4-1017-465D-8D20-82FB6758A6DC}"/>
    <cellStyle name="Comma 4 4 3 5 2 2 3" xfId="25314" xr:uid="{EE62F0B8-3F1D-49BB-8CFC-27261408CAAB}"/>
    <cellStyle name="Comma 4 4 3 5 2 3" xfId="12650" xr:uid="{2BFFDFB3-6560-4E9C-B901-7246C93D446A}"/>
    <cellStyle name="Comma 4 4 3 5 2 4" xfId="21097" xr:uid="{776C7211-3BFE-4B6D-96C5-F5FF89A0DA35}"/>
    <cellStyle name="Comma 4 4 3 5 3" xfId="6281" xr:uid="{00000000-0005-0000-0000-00000B0A0000}"/>
    <cellStyle name="Comma 4 4 3 5 3 2" xfId="14723" xr:uid="{85C5D2FD-4469-4E4E-BE74-B28330A01C57}"/>
    <cellStyle name="Comma 4 4 3 5 3 3" xfId="23169" xr:uid="{AB619269-FC99-4DD7-9A83-863AD8587D08}"/>
    <cellStyle name="Comma 4 4 3 5 4" xfId="10505" xr:uid="{698FBF0C-B2C5-43E0-8FF4-9656B3A339BC}"/>
    <cellStyle name="Comma 4 4 3 5 5" xfId="18950" xr:uid="{8040E396-45AF-4222-9D24-461C3CDE61D9}"/>
    <cellStyle name="Comma 4 4 3 6" xfId="2409" xr:uid="{00000000-0005-0000-0000-00000C0A0000}"/>
    <cellStyle name="Comma 4 4 3 6 2" xfId="6694" xr:uid="{00000000-0005-0000-0000-00000D0A0000}"/>
    <cellStyle name="Comma 4 4 3 6 2 2" xfId="15136" xr:uid="{27A57C52-7FBF-46E4-BA23-EE61A352ADBB}"/>
    <cellStyle name="Comma 4 4 3 6 2 3" xfId="23582" xr:uid="{2B00C5C5-B752-44DD-AED5-F06F8DE5C959}"/>
    <cellStyle name="Comma 4 4 3 6 3" xfId="10918" xr:uid="{70FC6241-58F3-4594-AD89-7FA193B5D0E6}"/>
    <cellStyle name="Comma 4 4 3 6 4" xfId="19363" xr:uid="{97877C3B-72C5-4495-A1F3-868574E18365}"/>
    <cellStyle name="Comma 4 4 3 7" xfId="2705" xr:uid="{00000000-0005-0000-0000-00000E0A0000}"/>
    <cellStyle name="Comma 4 4 3 8" xfId="2787" xr:uid="{00000000-0005-0000-0000-00000F0A0000}"/>
    <cellStyle name="Comma 4 4 3 8 2" xfId="7011" xr:uid="{00000000-0005-0000-0000-0000100A0000}"/>
    <cellStyle name="Comma 4 4 3 8 2 2" xfId="15453" xr:uid="{49D1DD66-2531-478E-B591-9FD11A0CB7C1}"/>
    <cellStyle name="Comma 4 4 3 8 2 3" xfId="23899" xr:uid="{00ABA55D-D7A2-4AB0-9BEB-19E4743ADD2E}"/>
    <cellStyle name="Comma 4 4 3 8 3" xfId="11235" xr:uid="{FB44E932-6108-4D59-BC70-397D2C09D13C}"/>
    <cellStyle name="Comma 4 4 3 8 4" xfId="19682" xr:uid="{13BAD29B-9196-43C2-B820-4D722C6842DD}"/>
    <cellStyle name="Comma 4 4 3 9" xfId="4628" xr:uid="{00000000-0005-0000-0000-0000110A0000}"/>
    <cellStyle name="Comma 4 4 3 9 2" xfId="13070" xr:uid="{FAA26418-6123-4822-8EAE-BD15C68BADAB}"/>
    <cellStyle name="Comma 4 4 3 9 3" xfId="21516" xr:uid="{EBB9520D-B192-4586-BD74-2525EBECBBDF}"/>
    <cellStyle name="Comma 4 4 4" xfId="690" xr:uid="{00000000-0005-0000-0000-0000120A0000}"/>
    <cellStyle name="Comma 4 4 4 2" xfId="2961" xr:uid="{00000000-0005-0000-0000-0000130A0000}"/>
    <cellStyle name="Comma 4 4 4 2 2" xfId="7184" xr:uid="{00000000-0005-0000-0000-0000140A0000}"/>
    <cellStyle name="Comma 4 4 4 2 2 2" xfId="15626" xr:uid="{FF765F09-F4ED-48E2-AB46-B78B6E84BD33}"/>
    <cellStyle name="Comma 4 4 4 2 2 3" xfId="24072" xr:uid="{13B9299F-CE02-4C82-85C2-576D8290EA96}"/>
    <cellStyle name="Comma 4 4 4 2 3" xfId="11408" xr:uid="{E213069C-0E17-494B-8890-AEAC9CBE96ED}"/>
    <cellStyle name="Comma 4 4 4 2 4" xfId="19855" xr:uid="{E4D219F9-A627-4CF1-A343-FFDFBAD15E17}"/>
    <cellStyle name="Comma 4 4 4 3" xfId="5039" xr:uid="{00000000-0005-0000-0000-0000150A0000}"/>
    <cellStyle name="Comma 4 4 4 3 2" xfId="13481" xr:uid="{F07B4A43-E92B-4C9A-BDE7-8444DDEA30D5}"/>
    <cellStyle name="Comma 4 4 4 3 3" xfId="21927" xr:uid="{B4FB729F-854E-4AF4-AD9C-AFE5A72D1E6A}"/>
    <cellStyle name="Comma 4 4 4 4" xfId="9263" xr:uid="{0D5E078A-AE8F-4FA3-8C22-11EFBA3B8BE7}"/>
    <cellStyle name="Comma 4 4 4 5" xfId="17708" xr:uid="{AE445505-D1D8-4297-9095-8161F97ED8D7}"/>
    <cellStyle name="Comma 4 4 5" xfId="1143" xr:uid="{00000000-0005-0000-0000-0000160A0000}"/>
    <cellStyle name="Comma 4 4 5 2" xfId="3374" xr:uid="{00000000-0005-0000-0000-0000170A0000}"/>
    <cellStyle name="Comma 4 4 5 2 2" xfId="7597" xr:uid="{00000000-0005-0000-0000-0000180A0000}"/>
    <cellStyle name="Comma 4 4 5 2 2 2" xfId="16039" xr:uid="{C058016B-7F3A-4C76-8B18-F8F00B3A373E}"/>
    <cellStyle name="Comma 4 4 5 2 2 3" xfId="24485" xr:uid="{40B4501C-6671-45E2-9A3F-D6ADF3B6CB19}"/>
    <cellStyle name="Comma 4 4 5 2 3" xfId="11821" xr:uid="{2E2FF7BC-E12C-4CD8-9767-80A67D1620C9}"/>
    <cellStyle name="Comma 4 4 5 2 4" xfId="20268" xr:uid="{FE63FBE5-60DF-4189-94DE-A850ADD15459}"/>
    <cellStyle name="Comma 4 4 5 3" xfId="5452" xr:uid="{00000000-0005-0000-0000-0000190A0000}"/>
    <cellStyle name="Comma 4 4 5 3 2" xfId="13894" xr:uid="{717BF689-2924-4DE3-AF3C-2F2F6D8064F9}"/>
    <cellStyle name="Comma 4 4 5 3 3" xfId="22340" xr:uid="{1685D3FB-E69A-4BB8-873F-351F3F5F74DB}"/>
    <cellStyle name="Comma 4 4 5 4" xfId="9676" xr:uid="{78A99825-005F-4325-AC7B-E3AEBDD9D8E1}"/>
    <cellStyle name="Comma 4 4 5 5" xfId="18121" xr:uid="{5DFE8EF6-4C87-4EB0-932A-14573F7AFD8B}"/>
    <cellStyle name="Comma 4 4 6" xfId="1557" xr:uid="{00000000-0005-0000-0000-00001A0A0000}"/>
    <cellStyle name="Comma 4 4 6 2" xfId="3787" xr:uid="{00000000-0005-0000-0000-00001B0A0000}"/>
    <cellStyle name="Comma 4 4 6 2 2" xfId="8010" xr:uid="{00000000-0005-0000-0000-00001C0A0000}"/>
    <cellStyle name="Comma 4 4 6 2 2 2" xfId="16452" xr:uid="{AA1CE034-61C5-4019-A008-6E164A5209AF}"/>
    <cellStyle name="Comma 4 4 6 2 2 3" xfId="24898" xr:uid="{8DBA6391-83D2-4D0A-823E-A779088E77E4}"/>
    <cellStyle name="Comma 4 4 6 2 3" xfId="12234" xr:uid="{B0F055BD-A4BB-48C1-8C8D-FE8DA9A3532E}"/>
    <cellStyle name="Comma 4 4 6 2 4" xfId="20681" xr:uid="{B4DC562E-8B7E-4F0C-BC89-657FBD1CF35D}"/>
    <cellStyle name="Comma 4 4 6 3" xfId="5865" xr:uid="{00000000-0005-0000-0000-00001D0A0000}"/>
    <cellStyle name="Comma 4 4 6 3 2" xfId="14307" xr:uid="{8F094761-209C-4C2E-ADA0-760E68510802}"/>
    <cellStyle name="Comma 4 4 6 3 3" xfId="22753" xr:uid="{12F028EC-697D-4A18-B219-8E5042CF203E}"/>
    <cellStyle name="Comma 4 4 6 4" xfId="10089" xr:uid="{D156149A-0998-49E2-BE70-FAF86B283BF3}"/>
    <cellStyle name="Comma 4 4 6 5" xfId="18534" xr:uid="{0D9899E7-2344-4D68-889C-8D8314F4DDAA}"/>
    <cellStyle name="Comma 4 4 7" xfId="1971" xr:uid="{00000000-0005-0000-0000-00001E0A0000}"/>
    <cellStyle name="Comma 4 4 7 2" xfId="4200" xr:uid="{00000000-0005-0000-0000-00001F0A0000}"/>
    <cellStyle name="Comma 4 4 7 2 2" xfId="8423" xr:uid="{00000000-0005-0000-0000-0000200A0000}"/>
    <cellStyle name="Comma 4 4 7 2 2 2" xfId="16865" xr:uid="{A65876CD-1B0A-425D-A0B5-676AB22FC71C}"/>
    <cellStyle name="Comma 4 4 7 2 2 3" xfId="25311" xr:uid="{7C01C9F3-48A7-46DD-B9DE-DDA3805856BE}"/>
    <cellStyle name="Comma 4 4 7 2 3" xfId="12647" xr:uid="{0ED075D2-8495-4E3D-AC80-521D3BE5CC77}"/>
    <cellStyle name="Comma 4 4 7 2 4" xfId="21094" xr:uid="{4CD0CF16-C860-44BE-863C-C9698CD739DD}"/>
    <cellStyle name="Comma 4 4 7 3" xfId="6278" xr:uid="{00000000-0005-0000-0000-0000210A0000}"/>
    <cellStyle name="Comma 4 4 7 3 2" xfId="14720" xr:uid="{45ADD59E-000A-4A48-8872-5C13B5B70388}"/>
    <cellStyle name="Comma 4 4 7 3 3" xfId="23166" xr:uid="{8A29FC80-B84A-4A1A-97BE-F56C9FDDCDED}"/>
    <cellStyle name="Comma 4 4 7 4" xfId="10502" xr:uid="{0DC4069B-8D14-40DE-BB9C-59AE75976449}"/>
    <cellStyle name="Comma 4 4 7 5" xfId="18947" xr:uid="{F18A1299-18F8-4B4B-B62B-4CFDB13390FA}"/>
    <cellStyle name="Comma 4 4 8" xfId="2406" xr:uid="{00000000-0005-0000-0000-0000220A0000}"/>
    <cellStyle name="Comma 4 4 8 2" xfId="6691" xr:uid="{00000000-0005-0000-0000-0000230A0000}"/>
    <cellStyle name="Comma 4 4 8 2 2" xfId="15133" xr:uid="{F73BC9BD-5980-4A60-B60C-DBDC19180E1D}"/>
    <cellStyle name="Comma 4 4 8 2 3" xfId="23579" xr:uid="{92A77FD3-C321-446D-AFC5-1931B1CFBCFC}"/>
    <cellStyle name="Comma 4 4 8 3" xfId="10915" xr:uid="{3DBA7ECA-B8B2-43BB-B375-C99CC17A0719}"/>
    <cellStyle name="Comma 4 4 8 4" xfId="19360" xr:uid="{3D8B88E2-3761-4EF9-A8D8-BDF572B0ACBA}"/>
    <cellStyle name="Comma 4 4 9" xfId="2702" xr:uid="{00000000-0005-0000-0000-0000240A0000}"/>
    <cellStyle name="Comma 4 5" xfId="157" xr:uid="{00000000-0005-0000-0000-0000250A0000}"/>
    <cellStyle name="Comma 4 5 10" xfId="4629" xr:uid="{00000000-0005-0000-0000-0000260A0000}"/>
    <cellStyle name="Comma 4 5 10 2" xfId="13071" xr:uid="{0F1CD211-0191-4435-A12F-2F71437AC3ED}"/>
    <cellStyle name="Comma 4 5 10 3" xfId="21517" xr:uid="{7B60C243-4550-4496-B0E9-27E1AFE3B88C}"/>
    <cellStyle name="Comma 4 5 11" xfId="8853" xr:uid="{C534594C-F5A7-4AC2-95F2-93F6713EDA5F}"/>
    <cellStyle name="Comma 4 5 12" xfId="17296" xr:uid="{6BD4C752-3128-41A7-9B38-89902C7057D4}"/>
    <cellStyle name="Comma 4 5 2" xfId="158" xr:uid="{00000000-0005-0000-0000-0000270A0000}"/>
    <cellStyle name="Comma 4 5 2 10" xfId="8854" xr:uid="{07E0A161-6A9D-4EFD-B427-6DD2F1E139F7}"/>
    <cellStyle name="Comma 4 5 2 11" xfId="17297" xr:uid="{ADD56214-D21F-4C1F-9FBC-902D08B18EF8}"/>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027FB83F-344E-46DC-AC35-F690F93EA8B1}"/>
    <cellStyle name="Comma 4 5 2 2 2 2 3" xfId="24077" xr:uid="{1D00C967-B275-4D03-89B5-519CF0D9DEA6}"/>
    <cellStyle name="Comma 4 5 2 2 2 3" xfId="11413" xr:uid="{F150B248-7D17-4220-8EF1-75BC9D988BAA}"/>
    <cellStyle name="Comma 4 5 2 2 2 4" xfId="19860" xr:uid="{2A0E413B-39EE-4B01-9AC9-AF175742D633}"/>
    <cellStyle name="Comma 4 5 2 2 3" xfId="5044" xr:uid="{00000000-0005-0000-0000-00002B0A0000}"/>
    <cellStyle name="Comma 4 5 2 2 3 2" xfId="13486" xr:uid="{97E6E264-E30E-43F2-81B0-CE0B79C49134}"/>
    <cellStyle name="Comma 4 5 2 2 3 3" xfId="21932" xr:uid="{B57AD7EE-3ED7-4D86-86F8-81A9F5F677C3}"/>
    <cellStyle name="Comma 4 5 2 2 4" xfId="9268" xr:uid="{0540F403-4625-4E93-9FC7-9584F12B4EBF}"/>
    <cellStyle name="Comma 4 5 2 2 5" xfId="17713" xr:uid="{B3B661D3-44E7-47F1-8C4E-7FBAA07E92F3}"/>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B839C589-54D9-4F08-89E1-FD1C48146FC3}"/>
    <cellStyle name="Comma 4 5 2 3 2 2 3" xfId="24490" xr:uid="{EFC5F424-2DCC-4BDF-9C55-520CC069D6EA}"/>
    <cellStyle name="Comma 4 5 2 3 2 3" xfId="11826" xr:uid="{A1BE85DF-DE59-463C-8EF0-04E61B6DFA37}"/>
    <cellStyle name="Comma 4 5 2 3 2 4" xfId="20273" xr:uid="{A2DF9827-4185-4497-BF5F-1A4914F573A9}"/>
    <cellStyle name="Comma 4 5 2 3 3" xfId="5457" xr:uid="{00000000-0005-0000-0000-00002F0A0000}"/>
    <cellStyle name="Comma 4 5 2 3 3 2" xfId="13899" xr:uid="{5FD2D7F9-EFBA-4A83-AE0C-935773D85C5D}"/>
    <cellStyle name="Comma 4 5 2 3 3 3" xfId="22345" xr:uid="{5413E47F-C38A-4693-9669-9B55D352718B}"/>
    <cellStyle name="Comma 4 5 2 3 4" xfId="9681" xr:uid="{078584EA-20A6-4360-85C4-62E24BCE366E}"/>
    <cellStyle name="Comma 4 5 2 3 5" xfId="18126" xr:uid="{3639018B-81DD-40A7-8F02-84A0D2D97FE7}"/>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77DBF6A2-282F-4AE0-81A9-94CDBFD3B26C}"/>
    <cellStyle name="Comma 4 5 2 4 2 2 3" xfId="24903" xr:uid="{9114DD34-6D3C-4C81-9C1B-48AA8B682D1B}"/>
    <cellStyle name="Comma 4 5 2 4 2 3" xfId="12239" xr:uid="{526B2095-CF60-4638-8114-173FC4889C76}"/>
    <cellStyle name="Comma 4 5 2 4 2 4" xfId="20686" xr:uid="{AC7C16E3-2370-4A83-BF5C-7E9F7BFB56B8}"/>
    <cellStyle name="Comma 4 5 2 4 3" xfId="5870" xr:uid="{00000000-0005-0000-0000-0000330A0000}"/>
    <cellStyle name="Comma 4 5 2 4 3 2" xfId="14312" xr:uid="{C296B01E-F6A2-4C22-A215-52DD0F2A06B8}"/>
    <cellStyle name="Comma 4 5 2 4 3 3" xfId="22758" xr:uid="{8B409EB0-33E6-45AE-8366-9C1B4CA4BC33}"/>
    <cellStyle name="Comma 4 5 2 4 4" xfId="10094" xr:uid="{9CC1D6D6-2EBA-44D1-B9E6-2D7C388232CB}"/>
    <cellStyle name="Comma 4 5 2 4 5" xfId="18539" xr:uid="{7192C1AA-2B56-45F3-8880-FBCBAD5BE8B3}"/>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ECD6D56A-AAD4-4BDE-BEAA-B7EBD94C856F}"/>
    <cellStyle name="Comma 4 5 2 5 2 2 3" xfId="25316" xr:uid="{71DEB382-A59D-4890-83F2-D52925BA9806}"/>
    <cellStyle name="Comma 4 5 2 5 2 3" xfId="12652" xr:uid="{8ECA52C6-8574-4F2A-908E-5D595A4D16B2}"/>
    <cellStyle name="Comma 4 5 2 5 2 4" xfId="21099" xr:uid="{768B1DD0-D44F-43F8-B6E0-4B7DE2679999}"/>
    <cellStyle name="Comma 4 5 2 5 3" xfId="6283" xr:uid="{00000000-0005-0000-0000-0000370A0000}"/>
    <cellStyle name="Comma 4 5 2 5 3 2" xfId="14725" xr:uid="{B01A8570-194E-43B7-8B34-CDC7AF5B2723}"/>
    <cellStyle name="Comma 4 5 2 5 3 3" xfId="23171" xr:uid="{6217A837-218D-4474-9453-917E83CDC2C0}"/>
    <cellStyle name="Comma 4 5 2 5 4" xfId="10507" xr:uid="{ABB76534-1136-4FFD-9B11-7AB84F8AFDEC}"/>
    <cellStyle name="Comma 4 5 2 5 5" xfId="18952" xr:uid="{1ADE093B-50CA-4939-873E-D8B0E60F8A73}"/>
    <cellStyle name="Comma 4 5 2 6" xfId="2411" xr:uid="{00000000-0005-0000-0000-0000380A0000}"/>
    <cellStyle name="Comma 4 5 2 6 2" xfId="6696" xr:uid="{00000000-0005-0000-0000-0000390A0000}"/>
    <cellStyle name="Comma 4 5 2 6 2 2" xfId="15138" xr:uid="{A4FFB110-791E-483C-B8DC-5A42E580ACD7}"/>
    <cellStyle name="Comma 4 5 2 6 2 3" xfId="23584" xr:uid="{8C29DC8A-003B-42FD-8DB5-70CE18EFEE94}"/>
    <cellStyle name="Comma 4 5 2 6 3" xfId="10920" xr:uid="{221EBC58-58F8-4E45-ADE3-11BD4B23F1F6}"/>
    <cellStyle name="Comma 4 5 2 6 4" xfId="19365" xr:uid="{0C7A92D8-110C-468D-B376-6813DC4E6384}"/>
    <cellStyle name="Comma 4 5 2 7" xfId="2707" xr:uid="{00000000-0005-0000-0000-00003A0A0000}"/>
    <cellStyle name="Comma 4 5 2 8" xfId="2789" xr:uid="{00000000-0005-0000-0000-00003B0A0000}"/>
    <cellStyle name="Comma 4 5 2 8 2" xfId="7013" xr:uid="{00000000-0005-0000-0000-00003C0A0000}"/>
    <cellStyle name="Comma 4 5 2 8 2 2" xfId="15455" xr:uid="{D3976CBE-0C12-4728-9513-D87FF68EB588}"/>
    <cellStyle name="Comma 4 5 2 8 2 3" xfId="23901" xr:uid="{35E2A3E5-E410-43BF-BF83-EBD1F4367F63}"/>
    <cellStyle name="Comma 4 5 2 8 3" xfId="11237" xr:uid="{BBDD44EB-E464-4D48-B532-9451CD5B0781}"/>
    <cellStyle name="Comma 4 5 2 8 4" xfId="19684" xr:uid="{D085883F-B686-42BE-841F-8BF19B082E93}"/>
    <cellStyle name="Comma 4 5 2 9" xfId="4630" xr:uid="{00000000-0005-0000-0000-00003D0A0000}"/>
    <cellStyle name="Comma 4 5 2 9 2" xfId="13072" xr:uid="{BF40A541-A9C2-48E2-9885-D681CB86E71F}"/>
    <cellStyle name="Comma 4 5 2 9 3" xfId="21518" xr:uid="{F93EBF6F-67CD-4108-91FC-B57A6131C77F}"/>
    <cellStyle name="Comma 4 5 3" xfId="694" xr:uid="{00000000-0005-0000-0000-00003E0A0000}"/>
    <cellStyle name="Comma 4 5 3 2" xfId="2965" xr:uid="{00000000-0005-0000-0000-00003F0A0000}"/>
    <cellStyle name="Comma 4 5 3 2 2" xfId="7188" xr:uid="{00000000-0005-0000-0000-0000400A0000}"/>
    <cellStyle name="Comma 4 5 3 2 2 2" xfId="15630" xr:uid="{FBB7F152-E5D4-4DF3-A2F3-6508BC61A3C8}"/>
    <cellStyle name="Comma 4 5 3 2 2 3" xfId="24076" xr:uid="{5EBC5840-CA98-4C2F-9DA3-728B8D4207CB}"/>
    <cellStyle name="Comma 4 5 3 2 3" xfId="11412" xr:uid="{5BA30463-C49A-4A3A-91F0-A708F9D5A98C}"/>
    <cellStyle name="Comma 4 5 3 2 4" xfId="19859" xr:uid="{1C1E1758-38B6-4E1E-AC1B-0740137FD5C7}"/>
    <cellStyle name="Comma 4 5 3 3" xfId="5043" xr:uid="{00000000-0005-0000-0000-0000410A0000}"/>
    <cellStyle name="Comma 4 5 3 3 2" xfId="13485" xr:uid="{DA491658-C5D4-4569-8D75-50A58AF261D6}"/>
    <cellStyle name="Comma 4 5 3 3 3" xfId="21931" xr:uid="{8A4CF02B-6567-4E24-AC69-01A7D0367071}"/>
    <cellStyle name="Comma 4 5 3 4" xfId="9267" xr:uid="{312C7F5C-BE03-4F3D-987D-BA95B9E958D2}"/>
    <cellStyle name="Comma 4 5 3 5" xfId="17712" xr:uid="{09F6C3A8-8AED-4888-949A-4B5C0A61FFA2}"/>
    <cellStyle name="Comma 4 5 4" xfId="1147" xr:uid="{00000000-0005-0000-0000-0000420A0000}"/>
    <cellStyle name="Comma 4 5 4 2" xfId="3378" xr:uid="{00000000-0005-0000-0000-0000430A0000}"/>
    <cellStyle name="Comma 4 5 4 2 2" xfId="7601" xr:uid="{00000000-0005-0000-0000-0000440A0000}"/>
    <cellStyle name="Comma 4 5 4 2 2 2" xfId="16043" xr:uid="{BE71E835-D0B7-461D-80C7-B034611FF65D}"/>
    <cellStyle name="Comma 4 5 4 2 2 3" xfId="24489" xr:uid="{EE173669-B139-4E56-809A-D7B4B2E2F27A}"/>
    <cellStyle name="Comma 4 5 4 2 3" xfId="11825" xr:uid="{4E815157-3D2A-40A9-9A52-16F46AD1A026}"/>
    <cellStyle name="Comma 4 5 4 2 4" xfId="20272" xr:uid="{19EC4AC4-829C-4BAF-B490-CD1E25AF83D2}"/>
    <cellStyle name="Comma 4 5 4 3" xfId="5456" xr:uid="{00000000-0005-0000-0000-0000450A0000}"/>
    <cellStyle name="Comma 4 5 4 3 2" xfId="13898" xr:uid="{E6E4A006-1AEA-4A82-8C93-93DB5C53F0AA}"/>
    <cellStyle name="Comma 4 5 4 3 3" xfId="22344" xr:uid="{5FD27662-E335-493D-9741-6ABB13AC3A52}"/>
    <cellStyle name="Comma 4 5 4 4" xfId="9680" xr:uid="{3DF1E09D-E5F8-475E-B18D-C256E939C9A5}"/>
    <cellStyle name="Comma 4 5 4 5" xfId="18125" xr:uid="{32DA6EE1-1BCA-4078-9D4D-873DB53B9440}"/>
    <cellStyle name="Comma 4 5 5" xfId="1561" xr:uid="{00000000-0005-0000-0000-0000460A0000}"/>
    <cellStyle name="Comma 4 5 5 2" xfId="3791" xr:uid="{00000000-0005-0000-0000-0000470A0000}"/>
    <cellStyle name="Comma 4 5 5 2 2" xfId="8014" xr:uid="{00000000-0005-0000-0000-0000480A0000}"/>
    <cellStyle name="Comma 4 5 5 2 2 2" xfId="16456" xr:uid="{176A1D85-3875-4132-94EA-0ECA73804078}"/>
    <cellStyle name="Comma 4 5 5 2 2 3" xfId="24902" xr:uid="{8AA52476-8DE6-42C8-A4F0-F655BC64F5F6}"/>
    <cellStyle name="Comma 4 5 5 2 3" xfId="12238" xr:uid="{62CBC721-890F-4475-AA8D-06C78B9F1BDD}"/>
    <cellStyle name="Comma 4 5 5 2 4" xfId="20685" xr:uid="{EF798F63-9998-49AA-BB98-F44E21522AAA}"/>
    <cellStyle name="Comma 4 5 5 3" xfId="5869" xr:uid="{00000000-0005-0000-0000-0000490A0000}"/>
    <cellStyle name="Comma 4 5 5 3 2" xfId="14311" xr:uid="{2BA36339-FBC3-48F4-B2AE-9CB659FB9E86}"/>
    <cellStyle name="Comma 4 5 5 3 3" xfId="22757" xr:uid="{A9BF32E3-6CD8-4C7A-9378-09B8418A7828}"/>
    <cellStyle name="Comma 4 5 5 4" xfId="10093" xr:uid="{AC07DE6C-ED16-4F10-B1AB-E852785BE564}"/>
    <cellStyle name="Comma 4 5 5 5" xfId="18538" xr:uid="{EB89394F-ADBA-4534-ADDB-1B48DA2C9E6E}"/>
    <cellStyle name="Comma 4 5 6" xfId="1975" xr:uid="{00000000-0005-0000-0000-00004A0A0000}"/>
    <cellStyle name="Comma 4 5 6 2" xfId="4204" xr:uid="{00000000-0005-0000-0000-00004B0A0000}"/>
    <cellStyle name="Comma 4 5 6 2 2" xfId="8427" xr:uid="{00000000-0005-0000-0000-00004C0A0000}"/>
    <cellStyle name="Comma 4 5 6 2 2 2" xfId="16869" xr:uid="{8E8359B2-1FAB-4CF7-A7D3-DF7464D78F00}"/>
    <cellStyle name="Comma 4 5 6 2 2 3" xfId="25315" xr:uid="{1EB8CC24-89E8-4D91-B408-145509F4800D}"/>
    <cellStyle name="Comma 4 5 6 2 3" xfId="12651" xr:uid="{FC86EE2A-435C-49AA-A2FE-E974B7D3F238}"/>
    <cellStyle name="Comma 4 5 6 2 4" xfId="21098" xr:uid="{21D6195E-36C8-4CB0-825A-6E71D8D86A19}"/>
    <cellStyle name="Comma 4 5 6 3" xfId="6282" xr:uid="{00000000-0005-0000-0000-00004D0A0000}"/>
    <cellStyle name="Comma 4 5 6 3 2" xfId="14724" xr:uid="{D703B9D0-385E-4738-96BB-9ABE418F4BA5}"/>
    <cellStyle name="Comma 4 5 6 3 3" xfId="23170" xr:uid="{85FB5251-B82D-4EDC-84E5-4BAE01459914}"/>
    <cellStyle name="Comma 4 5 6 4" xfId="10506" xr:uid="{0DD901FF-A6FD-45FB-8C64-50BC1624E213}"/>
    <cellStyle name="Comma 4 5 6 5" xfId="18951" xr:uid="{D440A91C-AC11-45A2-BAD8-7202EFB637F0}"/>
    <cellStyle name="Comma 4 5 7" xfId="2410" xr:uid="{00000000-0005-0000-0000-00004E0A0000}"/>
    <cellStyle name="Comma 4 5 7 2" xfId="6695" xr:uid="{00000000-0005-0000-0000-00004F0A0000}"/>
    <cellStyle name="Comma 4 5 7 2 2" xfId="15137" xr:uid="{29249266-7475-4B97-BBDF-BD5D492F76A7}"/>
    <cellStyle name="Comma 4 5 7 2 3" xfId="23583" xr:uid="{043138B5-CA0E-4F0B-B6E0-CADBF7CCEABE}"/>
    <cellStyle name="Comma 4 5 7 3" xfId="10919" xr:uid="{33CAEFE6-2212-44E6-BB22-762B7B93B182}"/>
    <cellStyle name="Comma 4 5 7 4" xfId="19364" xr:uid="{8DEDFC92-9912-4628-9350-F8316632E31A}"/>
    <cellStyle name="Comma 4 5 8" xfId="2706" xr:uid="{00000000-0005-0000-0000-0000500A0000}"/>
    <cellStyle name="Comma 4 5 9" xfId="2788" xr:uid="{00000000-0005-0000-0000-0000510A0000}"/>
    <cellStyle name="Comma 4 5 9 2" xfId="7012" xr:uid="{00000000-0005-0000-0000-0000520A0000}"/>
    <cellStyle name="Comma 4 5 9 2 2" xfId="15454" xr:uid="{1F44EA08-70DD-4F7E-8C8E-D0A1D53CDCE8}"/>
    <cellStyle name="Comma 4 5 9 2 3" xfId="23900" xr:uid="{DE17EDBE-B6B9-4614-BED8-4D33CBBF905B}"/>
    <cellStyle name="Comma 4 5 9 3" xfId="11236" xr:uid="{421B2DB4-5413-4D30-8242-5E65F10C308D}"/>
    <cellStyle name="Comma 4 5 9 4" xfId="19683" xr:uid="{292D36E9-BAA4-4786-96DE-EB6EB9EF6A8B}"/>
    <cellStyle name="Comma 4 6" xfId="159" xr:uid="{00000000-0005-0000-0000-0000530A0000}"/>
    <cellStyle name="Comma 4 6 10" xfId="8855" xr:uid="{ED03960C-85B2-4CE9-9FB0-2F4BF48F7486}"/>
    <cellStyle name="Comma 4 6 11" xfId="17298" xr:uid="{A5337D93-D50D-4895-A0B0-2B639B60F67C}"/>
    <cellStyle name="Comma 4 6 2" xfId="696" xr:uid="{00000000-0005-0000-0000-0000540A0000}"/>
    <cellStyle name="Comma 4 6 2 2" xfId="2967" xr:uid="{00000000-0005-0000-0000-0000550A0000}"/>
    <cellStyle name="Comma 4 6 2 2 2" xfId="7190" xr:uid="{00000000-0005-0000-0000-0000560A0000}"/>
    <cellStyle name="Comma 4 6 2 2 2 2" xfId="15632" xr:uid="{25E40879-780A-45A3-A842-39E8A56126E9}"/>
    <cellStyle name="Comma 4 6 2 2 2 3" xfId="24078" xr:uid="{F98445C0-E756-4213-AF24-5192111EA843}"/>
    <cellStyle name="Comma 4 6 2 2 3" xfId="11414" xr:uid="{312D5707-384F-4B4D-8F84-5589B7D870FC}"/>
    <cellStyle name="Comma 4 6 2 2 4" xfId="19861" xr:uid="{19A73E69-97CC-4EE2-8C98-F66A2827589B}"/>
    <cellStyle name="Comma 4 6 2 3" xfId="5045" xr:uid="{00000000-0005-0000-0000-0000570A0000}"/>
    <cellStyle name="Comma 4 6 2 3 2" xfId="13487" xr:uid="{A46D6751-5059-4831-8B34-37C854478A35}"/>
    <cellStyle name="Comma 4 6 2 3 3" xfId="21933" xr:uid="{B76B231C-A227-427E-8306-71EDDE975628}"/>
    <cellStyle name="Comma 4 6 2 4" xfId="9269" xr:uid="{45195F41-2CB5-473B-B253-ADA43E8FE747}"/>
    <cellStyle name="Comma 4 6 2 5" xfId="17714" xr:uid="{8E78019E-A8F9-4FF1-9C57-27386E293CA5}"/>
    <cellStyle name="Comma 4 6 3" xfId="1149" xr:uid="{00000000-0005-0000-0000-0000580A0000}"/>
    <cellStyle name="Comma 4 6 3 2" xfId="3380" xr:uid="{00000000-0005-0000-0000-0000590A0000}"/>
    <cellStyle name="Comma 4 6 3 2 2" xfId="7603" xr:uid="{00000000-0005-0000-0000-00005A0A0000}"/>
    <cellStyle name="Comma 4 6 3 2 2 2" xfId="16045" xr:uid="{1C000DDE-C46F-4757-9086-0C84ADD607E3}"/>
    <cellStyle name="Comma 4 6 3 2 2 3" xfId="24491" xr:uid="{030EF8F6-6C18-45F5-9D0C-998FBF5FB26C}"/>
    <cellStyle name="Comma 4 6 3 2 3" xfId="11827" xr:uid="{423CF1BE-0569-413B-8D4E-1256BA171DA0}"/>
    <cellStyle name="Comma 4 6 3 2 4" xfId="20274" xr:uid="{30271768-B001-4E12-9E74-B6232C931095}"/>
    <cellStyle name="Comma 4 6 3 3" xfId="5458" xr:uid="{00000000-0005-0000-0000-00005B0A0000}"/>
    <cellStyle name="Comma 4 6 3 3 2" xfId="13900" xr:uid="{686D3C9B-9FDB-4553-AB23-13A508F8E1C2}"/>
    <cellStyle name="Comma 4 6 3 3 3" xfId="22346" xr:uid="{6096F76B-5BE7-45F7-B3FB-3FDFD363575D}"/>
    <cellStyle name="Comma 4 6 3 4" xfId="9682" xr:uid="{57416649-175A-4FB6-B315-C076E0B1DE32}"/>
    <cellStyle name="Comma 4 6 3 5" xfId="18127" xr:uid="{8728AD99-F1F1-4742-A8C2-B53E9CC7ABE3}"/>
    <cellStyle name="Comma 4 6 4" xfId="1563" xr:uid="{00000000-0005-0000-0000-00005C0A0000}"/>
    <cellStyle name="Comma 4 6 4 2" xfId="3793" xr:uid="{00000000-0005-0000-0000-00005D0A0000}"/>
    <cellStyle name="Comma 4 6 4 2 2" xfId="8016" xr:uid="{00000000-0005-0000-0000-00005E0A0000}"/>
    <cellStyle name="Comma 4 6 4 2 2 2" xfId="16458" xr:uid="{59BCBAA6-F3AC-478D-AEE1-76944A51E82D}"/>
    <cellStyle name="Comma 4 6 4 2 2 3" xfId="24904" xr:uid="{6E94CC78-CB4E-408A-B512-87B0B11DE0C5}"/>
    <cellStyle name="Comma 4 6 4 2 3" xfId="12240" xr:uid="{0B18163B-FF92-418D-87B1-534EF66434B0}"/>
    <cellStyle name="Comma 4 6 4 2 4" xfId="20687" xr:uid="{1846E44D-F890-4D45-A17E-276883491191}"/>
    <cellStyle name="Comma 4 6 4 3" xfId="5871" xr:uid="{00000000-0005-0000-0000-00005F0A0000}"/>
    <cellStyle name="Comma 4 6 4 3 2" xfId="14313" xr:uid="{16653FE4-BC94-4B00-B013-0891ED04101C}"/>
    <cellStyle name="Comma 4 6 4 3 3" xfId="22759" xr:uid="{470A7C6F-D631-42BD-9DDF-73F3205376C4}"/>
    <cellStyle name="Comma 4 6 4 4" xfId="10095" xr:uid="{78620161-B754-4293-BDEB-8CA2FC198580}"/>
    <cellStyle name="Comma 4 6 4 5" xfId="18540" xr:uid="{8CB4D4A4-69EF-4362-9676-673F1AA04104}"/>
    <cellStyle name="Comma 4 6 5" xfId="1977" xr:uid="{00000000-0005-0000-0000-0000600A0000}"/>
    <cellStyle name="Comma 4 6 5 2" xfId="4206" xr:uid="{00000000-0005-0000-0000-0000610A0000}"/>
    <cellStyle name="Comma 4 6 5 2 2" xfId="8429" xr:uid="{00000000-0005-0000-0000-0000620A0000}"/>
    <cellStyle name="Comma 4 6 5 2 2 2" xfId="16871" xr:uid="{2B92200B-6A59-403B-9EAE-A1C261A5BF98}"/>
    <cellStyle name="Comma 4 6 5 2 2 3" xfId="25317" xr:uid="{48A99B77-37E8-4108-AE97-510317269CE7}"/>
    <cellStyle name="Comma 4 6 5 2 3" xfId="12653" xr:uid="{43938656-0522-42B4-88BB-50CDACEE662A}"/>
    <cellStyle name="Comma 4 6 5 2 4" xfId="21100" xr:uid="{9BB18E50-B9B3-4DF5-8732-19EC072C4F98}"/>
    <cellStyle name="Comma 4 6 5 3" xfId="6284" xr:uid="{00000000-0005-0000-0000-0000630A0000}"/>
    <cellStyle name="Comma 4 6 5 3 2" xfId="14726" xr:uid="{156FD990-B014-4521-BC09-91EC9DA3C9DF}"/>
    <cellStyle name="Comma 4 6 5 3 3" xfId="23172" xr:uid="{FCE02545-7AC4-4ADF-9A40-5411EDF0B776}"/>
    <cellStyle name="Comma 4 6 5 4" xfId="10508" xr:uid="{285609D8-1895-49B7-A73F-8197B1E534BD}"/>
    <cellStyle name="Comma 4 6 5 5" xfId="18953" xr:uid="{F5203BC1-9447-439F-89E4-DA75F823E8BC}"/>
    <cellStyle name="Comma 4 6 6" xfId="2412" xr:uid="{00000000-0005-0000-0000-0000640A0000}"/>
    <cellStyle name="Comma 4 6 6 2" xfId="6697" xr:uid="{00000000-0005-0000-0000-0000650A0000}"/>
    <cellStyle name="Comma 4 6 6 2 2" xfId="15139" xr:uid="{3E031F71-4E54-41C9-AE0C-D38FDA119D58}"/>
    <cellStyle name="Comma 4 6 6 2 3" xfId="23585" xr:uid="{F0FDE9B0-0AC2-4091-B81A-C48BC7181BB4}"/>
    <cellStyle name="Comma 4 6 6 3" xfId="10921" xr:uid="{A290B778-4990-4C44-AAA0-29E227627784}"/>
    <cellStyle name="Comma 4 6 6 4" xfId="19366" xr:uid="{D5C7BDB3-3907-437C-9CC0-BD69A99A9E06}"/>
    <cellStyle name="Comma 4 6 7" xfId="2708" xr:uid="{00000000-0005-0000-0000-0000660A0000}"/>
    <cellStyle name="Comma 4 6 8" xfId="2790" xr:uid="{00000000-0005-0000-0000-0000670A0000}"/>
    <cellStyle name="Comma 4 6 8 2" xfId="7014" xr:uid="{00000000-0005-0000-0000-0000680A0000}"/>
    <cellStyle name="Comma 4 6 8 2 2" xfId="15456" xr:uid="{5A832A85-6859-4C37-86FC-5836271B351B}"/>
    <cellStyle name="Comma 4 6 8 2 3" xfId="23902" xr:uid="{5C589FC3-A53D-4290-B108-AD96D7A5D716}"/>
    <cellStyle name="Comma 4 6 8 3" xfId="11238" xr:uid="{41BD6538-9BDB-4563-A2C1-0833ABB77BD1}"/>
    <cellStyle name="Comma 4 6 8 4" xfId="19685" xr:uid="{704C213A-6397-403F-80EB-7840D104CF06}"/>
    <cellStyle name="Comma 4 6 9" xfId="4631" xr:uid="{00000000-0005-0000-0000-0000690A0000}"/>
    <cellStyle name="Comma 4 6 9 2" xfId="13073" xr:uid="{B4D33479-1AEB-418C-A735-71BF8C95791B}"/>
    <cellStyle name="Comma 4 6 9 3" xfId="21519" xr:uid="{AA9EBCCC-ACDE-4D48-BC8C-6D1A4357AC6D}"/>
    <cellStyle name="Comma 4 7" xfId="160" xr:uid="{00000000-0005-0000-0000-00006A0A0000}"/>
    <cellStyle name="Comma 4 7 10" xfId="8856" xr:uid="{0187E89D-8772-45CD-94A9-00831B727820}"/>
    <cellStyle name="Comma 4 7 11" xfId="17299" xr:uid="{251726E9-F466-46EA-BBE4-1D5AC8C3620D}"/>
    <cellStyle name="Comma 4 7 2" xfId="697" xr:uid="{00000000-0005-0000-0000-00006B0A0000}"/>
    <cellStyle name="Comma 4 7 2 2" xfId="2968" xr:uid="{00000000-0005-0000-0000-00006C0A0000}"/>
    <cellStyle name="Comma 4 7 2 2 2" xfId="7191" xr:uid="{00000000-0005-0000-0000-00006D0A0000}"/>
    <cellStyle name="Comma 4 7 2 2 2 2" xfId="15633" xr:uid="{BD5A1C85-6DAA-48DC-98FC-0DCE231C01C8}"/>
    <cellStyle name="Comma 4 7 2 2 2 3" xfId="24079" xr:uid="{E10854F8-5400-4572-86D8-D29C42377EE6}"/>
    <cellStyle name="Comma 4 7 2 2 3" xfId="11415" xr:uid="{EF264E8E-1773-4F6C-9EDA-F261658F4890}"/>
    <cellStyle name="Comma 4 7 2 2 4" xfId="19862" xr:uid="{39907A52-DA8E-4EA7-A228-3F0CB96D7ACF}"/>
    <cellStyle name="Comma 4 7 2 3" xfId="5046" xr:uid="{00000000-0005-0000-0000-00006E0A0000}"/>
    <cellStyle name="Comma 4 7 2 3 2" xfId="13488" xr:uid="{FAB27654-B617-4949-B7F5-6052DCB7C7FB}"/>
    <cellStyle name="Comma 4 7 2 3 3" xfId="21934" xr:uid="{0A24BA44-D2A1-422D-B779-1786396E31FD}"/>
    <cellStyle name="Comma 4 7 2 4" xfId="9270" xr:uid="{634B2A4E-2F9A-4E3B-81D9-F0C12408AE7B}"/>
    <cellStyle name="Comma 4 7 2 5" xfId="17715" xr:uid="{90170057-4AB8-4533-9CA5-DC6867D66B5E}"/>
    <cellStyle name="Comma 4 7 3" xfId="1150" xr:uid="{00000000-0005-0000-0000-00006F0A0000}"/>
    <cellStyle name="Comma 4 7 3 2" xfId="3381" xr:uid="{00000000-0005-0000-0000-0000700A0000}"/>
    <cellStyle name="Comma 4 7 3 2 2" xfId="7604" xr:uid="{00000000-0005-0000-0000-0000710A0000}"/>
    <cellStyle name="Comma 4 7 3 2 2 2" xfId="16046" xr:uid="{B18D8377-F8ED-40B4-BEAB-1C05A280AED7}"/>
    <cellStyle name="Comma 4 7 3 2 2 3" xfId="24492" xr:uid="{569AD6CC-CB02-44D6-BDC5-E957C86ACE49}"/>
    <cellStyle name="Comma 4 7 3 2 3" xfId="11828" xr:uid="{30373D08-3036-45CB-ADB7-FEF64B86AE48}"/>
    <cellStyle name="Comma 4 7 3 2 4" xfId="20275" xr:uid="{437C9EB3-F9BA-42E7-84B6-392C92863E79}"/>
    <cellStyle name="Comma 4 7 3 3" xfId="5459" xr:uid="{00000000-0005-0000-0000-0000720A0000}"/>
    <cellStyle name="Comma 4 7 3 3 2" xfId="13901" xr:uid="{C7AB9E5C-1662-4F4A-8D20-77B80C61A7F7}"/>
    <cellStyle name="Comma 4 7 3 3 3" xfId="22347" xr:uid="{354D25CE-05A7-4787-B8F4-36E9B7D816F0}"/>
    <cellStyle name="Comma 4 7 3 4" xfId="9683" xr:uid="{B6CD87BC-DF00-4069-A8C6-DC38BDFD68E1}"/>
    <cellStyle name="Comma 4 7 3 5" xfId="18128" xr:uid="{0B0F8212-D46F-4E69-9FC6-FC9A28B8518A}"/>
    <cellStyle name="Comma 4 7 4" xfId="1564" xr:uid="{00000000-0005-0000-0000-0000730A0000}"/>
    <cellStyle name="Comma 4 7 4 2" xfId="3794" xr:uid="{00000000-0005-0000-0000-0000740A0000}"/>
    <cellStyle name="Comma 4 7 4 2 2" xfId="8017" xr:uid="{00000000-0005-0000-0000-0000750A0000}"/>
    <cellStyle name="Comma 4 7 4 2 2 2" xfId="16459" xr:uid="{93E3632A-1129-4968-B6C8-BEE76DC814A2}"/>
    <cellStyle name="Comma 4 7 4 2 2 3" xfId="24905" xr:uid="{7200A530-C826-475F-BAA9-FC7A6B237BDE}"/>
    <cellStyle name="Comma 4 7 4 2 3" xfId="12241" xr:uid="{64221831-8A0A-4E8B-B4A1-C4CA0E0377EA}"/>
    <cellStyle name="Comma 4 7 4 2 4" xfId="20688" xr:uid="{765AC7FE-BBD5-4E97-8E29-9B164769AF73}"/>
    <cellStyle name="Comma 4 7 4 3" xfId="5872" xr:uid="{00000000-0005-0000-0000-0000760A0000}"/>
    <cellStyle name="Comma 4 7 4 3 2" xfId="14314" xr:uid="{4ACDACB6-FEC6-4956-9058-CCF31384FD04}"/>
    <cellStyle name="Comma 4 7 4 3 3" xfId="22760" xr:uid="{33A97C19-DB9D-4476-A3AC-3339D03705EE}"/>
    <cellStyle name="Comma 4 7 4 4" xfId="10096" xr:uid="{41E4670C-AF71-4E07-ACDA-151B72A981D0}"/>
    <cellStyle name="Comma 4 7 4 5" xfId="18541" xr:uid="{0EBA3DBE-EB71-4C6B-8A24-2743A3BEA85B}"/>
    <cellStyle name="Comma 4 7 5" xfId="1978" xr:uid="{00000000-0005-0000-0000-0000770A0000}"/>
    <cellStyle name="Comma 4 7 5 2" xfId="4207" xr:uid="{00000000-0005-0000-0000-0000780A0000}"/>
    <cellStyle name="Comma 4 7 5 2 2" xfId="8430" xr:uid="{00000000-0005-0000-0000-0000790A0000}"/>
    <cellStyle name="Comma 4 7 5 2 2 2" xfId="16872" xr:uid="{37499CF6-F445-45F0-9237-D3101E40D7FC}"/>
    <cellStyle name="Comma 4 7 5 2 2 3" xfId="25318" xr:uid="{842D3E43-E9D8-4FED-8469-D7F9370960F7}"/>
    <cellStyle name="Comma 4 7 5 2 3" xfId="12654" xr:uid="{DAF78FA1-5A74-4EE0-8A38-09579692FA20}"/>
    <cellStyle name="Comma 4 7 5 2 4" xfId="21101" xr:uid="{C14FB4F1-6EEC-4293-BEB4-9AC672327AA6}"/>
    <cellStyle name="Comma 4 7 5 3" xfId="6285" xr:uid="{00000000-0005-0000-0000-00007A0A0000}"/>
    <cellStyle name="Comma 4 7 5 3 2" xfId="14727" xr:uid="{9ED6C943-D2CC-4652-BBB2-8446D3AF6A3A}"/>
    <cellStyle name="Comma 4 7 5 3 3" xfId="23173" xr:uid="{87FDE153-73BD-4F19-AD59-4DD4C8CE68FD}"/>
    <cellStyle name="Comma 4 7 5 4" xfId="10509" xr:uid="{A8316FFD-E912-4902-8A0A-EBB2E17E03CD}"/>
    <cellStyle name="Comma 4 7 5 5" xfId="18954" xr:uid="{FCBE5F33-A07B-4209-AC81-867ABD3A922E}"/>
    <cellStyle name="Comma 4 7 6" xfId="2413" xr:uid="{00000000-0005-0000-0000-00007B0A0000}"/>
    <cellStyle name="Comma 4 7 6 2" xfId="6698" xr:uid="{00000000-0005-0000-0000-00007C0A0000}"/>
    <cellStyle name="Comma 4 7 6 2 2" xfId="15140" xr:uid="{809AFBB2-1975-4C9D-AA6A-26942640DE5C}"/>
    <cellStyle name="Comma 4 7 6 2 3" xfId="23586" xr:uid="{318E7374-5567-4080-933C-A76BB28DD130}"/>
    <cellStyle name="Comma 4 7 6 3" xfId="10922" xr:uid="{BE476586-7B7D-4DAD-A51A-0651E8739B09}"/>
    <cellStyle name="Comma 4 7 6 4" xfId="19367" xr:uid="{E5B77204-D2A8-4B61-AD8D-8D66B2F65C75}"/>
    <cellStyle name="Comma 4 7 7" xfId="2709" xr:uid="{00000000-0005-0000-0000-00007D0A0000}"/>
    <cellStyle name="Comma 4 7 8" xfId="2791" xr:uid="{00000000-0005-0000-0000-00007E0A0000}"/>
    <cellStyle name="Comma 4 7 8 2" xfId="7015" xr:uid="{00000000-0005-0000-0000-00007F0A0000}"/>
    <cellStyle name="Comma 4 7 8 2 2" xfId="15457" xr:uid="{29106FB7-AF06-4C2C-A3C5-C032C4A10EAB}"/>
    <cellStyle name="Comma 4 7 8 2 3" xfId="23903" xr:uid="{9852E6AB-B5A7-4678-8715-257410948D2E}"/>
    <cellStyle name="Comma 4 7 8 3" xfId="11239" xr:uid="{3F1AAA07-0160-435C-A9A6-B5304EE98289}"/>
    <cellStyle name="Comma 4 7 8 4" xfId="19686" xr:uid="{AB7CA39B-EC16-423F-88DA-94C4D6D55CAB}"/>
    <cellStyle name="Comma 4 7 9" xfId="4632" xr:uid="{00000000-0005-0000-0000-0000800A0000}"/>
    <cellStyle name="Comma 4 7 9 2" xfId="13074" xr:uid="{A83D8125-34E4-4457-81D6-FFB632207CB4}"/>
    <cellStyle name="Comma 4 7 9 3" xfId="21520" xr:uid="{6D695820-FBFA-4489-8724-F7A56276222D}"/>
    <cellStyle name="Comma 4 8" xfId="25688" xr:uid="{ED0A723E-42A5-404B-A145-E785C0DE8089}"/>
    <cellStyle name="Comma 5" xfId="161" xr:uid="{00000000-0005-0000-0000-0000810A0000}"/>
    <cellStyle name="Comma 5 2" xfId="162" xr:uid="{00000000-0005-0000-0000-0000820A0000}"/>
    <cellStyle name="Comma 5 2 2" xfId="698" xr:uid="{00000000-0005-0000-0000-0000830A0000}"/>
    <cellStyle name="Comma 5 3" xfId="25699" xr:uid="{39E40DBA-39E5-4E71-A65B-0E8649B093E8}"/>
    <cellStyle name="Comma 6" xfId="163" xr:uid="{00000000-0005-0000-0000-0000840A0000}"/>
    <cellStyle name="Comma 6 2" xfId="25769" xr:uid="{4BF7CF1F-2762-44E9-B705-E564994BBCB5}"/>
    <cellStyle name="Comma 7" xfId="4498" xr:uid="{00000000-0005-0000-0000-0000850A0000}"/>
    <cellStyle name="Comma 7 2" xfId="12942" xr:uid="{88CA5F5C-ECE1-4152-86C3-ED280B4CF764}"/>
    <cellStyle name="Comma 7 2 2" xfId="25695" xr:uid="{EC164A82-AA8E-4E26-AF97-006D4F6C4BFD}"/>
    <cellStyle name="Comma 7 3" xfId="21388" xr:uid="{51A30B7C-8E8D-49BE-ABA2-CD6FAB31F98E}"/>
    <cellStyle name="Comma 7 4" xfId="25740" xr:uid="{600A60F5-A56F-4CF2-A9AA-9AB51FEA72B8}"/>
    <cellStyle name="Comma 8" xfId="25630" xr:uid="{6742E53C-F691-4EBA-9DCC-C7FBBDBB4634}"/>
    <cellStyle name="Comma 9" xfId="25725" xr:uid="{9779D5A0-5050-4F98-97F1-120AC6973A25}"/>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FD591D26-CE7A-4EFA-B8EB-82D8C20A46B6}"/>
    <cellStyle name="Currency 14 2 3" xfId="25605" xr:uid="{75A91276-4785-4652-91CD-B82DF6A08879}"/>
    <cellStyle name="Currency 14 3" xfId="8720" xr:uid="{729B09A7-2394-4D7C-912C-1471FB3455A3}"/>
    <cellStyle name="Currency 14 3 2" xfId="8724" xr:uid="{1945FB0F-31EC-4D98-B64C-BAFBADA341A1}"/>
    <cellStyle name="Currency 14 3 2 2" xfId="8727" xr:uid="{03BA8DEE-11D2-406B-B26D-8EE163916FB0}"/>
    <cellStyle name="Currency 14 3 2 2 2" xfId="17168" xr:uid="{726E8C30-28CC-457C-9934-0A734658C1CF}"/>
    <cellStyle name="Currency 14 3 2 2 3" xfId="25614" xr:uid="{4CE317E4-8E87-48A2-AB5C-B70B3D1100B0}"/>
    <cellStyle name="Currency 14 3 2 3" xfId="17165" xr:uid="{C4EAB267-0D7D-4F56-BF15-213CC77C4125}"/>
    <cellStyle name="Currency 14 3 2 4" xfId="25611" xr:uid="{23D660D9-A5EA-4374-AB05-698D1618E816}"/>
    <cellStyle name="Currency 14 3 3" xfId="17162" xr:uid="{92DC8FE8-22A8-4956-A267-7401DE9BC593}"/>
    <cellStyle name="Currency 14 3 4" xfId="25608" xr:uid="{516AFD77-5CB4-439F-BDC0-F487A14DA7AF}"/>
    <cellStyle name="Currency 14 4" xfId="12945" xr:uid="{CB204ACF-CFF8-45B3-A00F-421CE21E8B13}"/>
    <cellStyle name="Currency 14 5" xfId="21391" xr:uid="{8B8EC69C-BC57-458E-8302-EDB64D728509}"/>
    <cellStyle name="Currency 2" xfId="171" xr:uid="{00000000-0005-0000-0000-0000990A0000}"/>
    <cellStyle name="Currency 2 2" xfId="172" xr:uid="{00000000-0005-0000-0000-00009A0A0000}"/>
    <cellStyle name="Currency 2 2 2" xfId="25644" xr:uid="{C1CE01B9-8F76-4973-90FC-84AEF0A7F343}"/>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CE64B08D-D8AE-4527-AF9B-846439A717AC}"/>
    <cellStyle name="Currency 3 2 2 10 2 3" xfId="23904" xr:uid="{7F2EAF9E-1E00-4D05-BEB2-3CF55408F825}"/>
    <cellStyle name="Currency 3 2 2 10 3" xfId="11240" xr:uid="{DC85381C-DCFD-4618-B830-CE5F179CCE73}"/>
    <cellStyle name="Currency 3 2 2 10 4" xfId="19687" xr:uid="{1DA49C3E-1EE2-41E1-9AB7-621FE8F959D7}"/>
    <cellStyle name="Currency 3 2 2 11" xfId="4633" xr:uid="{00000000-0005-0000-0000-0000A50A0000}"/>
    <cellStyle name="Currency 3 2 2 11 2" xfId="13075" xr:uid="{C243FBAB-CE1E-4297-BA52-D92B83C331BB}"/>
    <cellStyle name="Currency 3 2 2 11 3" xfId="21521" xr:uid="{F1B85435-F60C-421F-993F-E11EAB15570A}"/>
    <cellStyle name="Currency 3 2 2 12" xfId="8857" xr:uid="{82266B80-1AEC-4BC5-A151-4716F38D70DD}"/>
    <cellStyle name="Currency 3 2 2 13" xfId="17300" xr:uid="{643EC5C9-9AC8-4400-AF99-5EBC5514A7E3}"/>
    <cellStyle name="Currency 3 2 2 2" xfId="179" xr:uid="{00000000-0005-0000-0000-0000A60A0000}"/>
    <cellStyle name="Currency 3 2 2 2 10" xfId="4634" xr:uid="{00000000-0005-0000-0000-0000A70A0000}"/>
    <cellStyle name="Currency 3 2 2 2 10 2" xfId="13076" xr:uid="{45B472CF-4BD7-4E83-9DD0-00E6E4D098FB}"/>
    <cellStyle name="Currency 3 2 2 2 10 3" xfId="21522" xr:uid="{1D1270CD-1A5A-4D06-A8EA-3B78AD65C271}"/>
    <cellStyle name="Currency 3 2 2 2 11" xfId="8858" xr:uid="{6494E432-4509-4921-98B1-3E436FFD8631}"/>
    <cellStyle name="Currency 3 2 2 2 12" xfId="17301" xr:uid="{155B8C11-2F94-410C-85C1-F0EC6A3FB162}"/>
    <cellStyle name="Currency 3 2 2 2 2" xfId="180" xr:uid="{00000000-0005-0000-0000-0000A80A0000}"/>
    <cellStyle name="Currency 3 2 2 2 2 10" xfId="8859" xr:uid="{351C5FA1-036C-4ED9-9E68-D6B44C2985F4}"/>
    <cellStyle name="Currency 3 2 2 2 2 11" xfId="17302" xr:uid="{A8C0203F-079C-4231-87F5-D7EC2432DF2A}"/>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3BFA3C79-9B40-4A63-95FA-9B64E9BC6283}"/>
    <cellStyle name="Currency 3 2 2 2 2 2 2 2 3" xfId="24082" xr:uid="{CF11CFC4-809E-445E-92F0-B2D67EAA8E11}"/>
    <cellStyle name="Currency 3 2 2 2 2 2 2 3" xfId="11418" xr:uid="{48EFFB1C-8D66-42AD-B5D0-0BC4C6873819}"/>
    <cellStyle name="Currency 3 2 2 2 2 2 2 4" xfId="19865" xr:uid="{4BAC18EC-1FFB-4226-B748-AFF1BD99FC09}"/>
    <cellStyle name="Currency 3 2 2 2 2 2 3" xfId="5049" xr:uid="{00000000-0005-0000-0000-0000AC0A0000}"/>
    <cellStyle name="Currency 3 2 2 2 2 2 3 2" xfId="13491" xr:uid="{1CF6DD6E-82FE-4848-8195-324B89BBC3BB}"/>
    <cellStyle name="Currency 3 2 2 2 2 2 3 3" xfId="21937" xr:uid="{2F8B4012-AF1B-46E1-B1C7-D49A6D1AE9BB}"/>
    <cellStyle name="Currency 3 2 2 2 2 2 4" xfId="9273" xr:uid="{896D9C1C-1C72-4D71-BCB8-9F969EB6D304}"/>
    <cellStyle name="Currency 3 2 2 2 2 2 5" xfId="17718" xr:uid="{BC34670E-7AA3-43B2-8ED2-4A937C80A167}"/>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CEA5C701-73ED-4B9A-85F3-01C1B4199CC6}"/>
    <cellStyle name="Currency 3 2 2 2 2 3 2 2 3" xfId="24495" xr:uid="{30964D77-3C2A-49C8-B76B-7430EA2EC40D}"/>
    <cellStyle name="Currency 3 2 2 2 2 3 2 3" xfId="11831" xr:uid="{39CB65ED-36E9-4BCA-86C2-F4EAA2B9AFE7}"/>
    <cellStyle name="Currency 3 2 2 2 2 3 2 4" xfId="20278" xr:uid="{F1F555F8-DD95-407D-BCEC-6FF975419771}"/>
    <cellStyle name="Currency 3 2 2 2 2 3 3" xfId="5462" xr:uid="{00000000-0005-0000-0000-0000B00A0000}"/>
    <cellStyle name="Currency 3 2 2 2 2 3 3 2" xfId="13904" xr:uid="{A4A7CEA0-F80F-4F73-A44D-B5C07E2FA5AA}"/>
    <cellStyle name="Currency 3 2 2 2 2 3 3 3" xfId="22350" xr:uid="{126CE759-F995-43B1-9CF5-E76C31669BE6}"/>
    <cellStyle name="Currency 3 2 2 2 2 3 4" xfId="9686" xr:uid="{B1D13A48-E7FF-459E-9416-4E1439159695}"/>
    <cellStyle name="Currency 3 2 2 2 2 3 5" xfId="18131" xr:uid="{5F6B3C1A-E004-48B7-8789-3DF31D1D4963}"/>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4271DA90-1104-430C-B1C1-FAF09886FB15}"/>
    <cellStyle name="Currency 3 2 2 2 2 4 2 2 3" xfId="24908" xr:uid="{068C98FB-0058-4FA4-B8BF-19DF20C28C23}"/>
    <cellStyle name="Currency 3 2 2 2 2 4 2 3" xfId="12244" xr:uid="{FD96D3CB-1E5C-4434-831D-211DF954A4DE}"/>
    <cellStyle name="Currency 3 2 2 2 2 4 2 4" xfId="20691" xr:uid="{50680B46-C900-4583-8E5F-03BA3C390434}"/>
    <cellStyle name="Currency 3 2 2 2 2 4 3" xfId="5875" xr:uid="{00000000-0005-0000-0000-0000B40A0000}"/>
    <cellStyle name="Currency 3 2 2 2 2 4 3 2" xfId="14317" xr:uid="{0EB91650-B221-419E-800C-19D989058194}"/>
    <cellStyle name="Currency 3 2 2 2 2 4 3 3" xfId="22763" xr:uid="{51E40959-99ED-4FF3-B391-47193121A985}"/>
    <cellStyle name="Currency 3 2 2 2 2 4 4" xfId="10099" xr:uid="{D984D67F-EDB0-4D14-884A-9307C6BEF71C}"/>
    <cellStyle name="Currency 3 2 2 2 2 4 5" xfId="18544" xr:uid="{710C4968-3961-4CC4-BCB9-363D30C23369}"/>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B7BCDD2C-13E9-4F19-A339-A9A0204716CC}"/>
    <cellStyle name="Currency 3 2 2 2 2 5 2 2 3" xfId="25321" xr:uid="{18652A84-B8F6-4C64-873F-3BBABE986027}"/>
    <cellStyle name="Currency 3 2 2 2 2 5 2 3" xfId="12657" xr:uid="{C3749B42-CB6A-4B17-9B5A-8BE129A4BE33}"/>
    <cellStyle name="Currency 3 2 2 2 2 5 2 4" xfId="21104" xr:uid="{D2ECA94C-AE2C-42CF-910B-979A7E99941C}"/>
    <cellStyle name="Currency 3 2 2 2 2 5 3" xfId="6288" xr:uid="{00000000-0005-0000-0000-0000B80A0000}"/>
    <cellStyle name="Currency 3 2 2 2 2 5 3 2" xfId="14730" xr:uid="{D5165EAB-1227-4432-8FEB-9A594160221C}"/>
    <cellStyle name="Currency 3 2 2 2 2 5 3 3" xfId="23176" xr:uid="{FBF443FF-B287-4A2B-B85C-7AAD776DFC24}"/>
    <cellStyle name="Currency 3 2 2 2 2 5 4" xfId="10512" xr:uid="{6BD15CE2-B8F4-45BE-97C6-EEAB9DAD5AF8}"/>
    <cellStyle name="Currency 3 2 2 2 2 5 5" xfId="18957" xr:uid="{80C56ACA-EBEC-40E1-BD79-3DF3F9F8C918}"/>
    <cellStyle name="Currency 3 2 2 2 2 6" xfId="2416" xr:uid="{00000000-0005-0000-0000-0000B90A0000}"/>
    <cellStyle name="Currency 3 2 2 2 2 6 2" xfId="6701" xr:uid="{00000000-0005-0000-0000-0000BA0A0000}"/>
    <cellStyle name="Currency 3 2 2 2 2 6 2 2" xfId="15143" xr:uid="{0F033666-E1B4-4606-B6BB-AB9F564D486B}"/>
    <cellStyle name="Currency 3 2 2 2 2 6 2 3" xfId="23589" xr:uid="{CB5F4B81-5C96-4F29-8A9A-7B6DBF4257EA}"/>
    <cellStyle name="Currency 3 2 2 2 2 6 3" xfId="10925" xr:uid="{3EB6401A-A419-4C0C-A8B8-0B6AF8AD8C40}"/>
    <cellStyle name="Currency 3 2 2 2 2 6 4" xfId="19370" xr:uid="{376D61C3-7CC8-4CEE-971B-ECB59901A2DF}"/>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F04E1485-2C6C-4FC6-9929-CA6C4B13F36C}"/>
    <cellStyle name="Currency 3 2 2 2 2 8 2 3" xfId="23906" xr:uid="{9439A3AD-04F2-4894-A4F2-F65CA94B20FA}"/>
    <cellStyle name="Currency 3 2 2 2 2 8 3" xfId="11242" xr:uid="{F6197F09-6198-4548-9A92-5B2A313D775D}"/>
    <cellStyle name="Currency 3 2 2 2 2 8 4" xfId="19689" xr:uid="{C0F5C40D-2CA2-4BBE-9E4A-CD94DCE7BAC5}"/>
    <cellStyle name="Currency 3 2 2 2 2 9" xfId="4635" xr:uid="{00000000-0005-0000-0000-0000BE0A0000}"/>
    <cellStyle name="Currency 3 2 2 2 2 9 2" xfId="13077" xr:uid="{FD223DF3-9998-41F9-8E10-E9C153F08A41}"/>
    <cellStyle name="Currency 3 2 2 2 2 9 3" xfId="21523" xr:uid="{FA3A7060-0880-467D-9349-77B3DCE790ED}"/>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761BD5C0-AF14-454B-904D-6EA951B4B82D}"/>
    <cellStyle name="Currency 3 2 2 2 3 2 2 3" xfId="24081" xr:uid="{4CAD65A2-7229-4330-8BA5-86D8195D289D}"/>
    <cellStyle name="Currency 3 2 2 2 3 2 3" xfId="11417" xr:uid="{28BBE89F-57B3-4F98-8C10-C5E228087107}"/>
    <cellStyle name="Currency 3 2 2 2 3 2 4" xfId="19864" xr:uid="{1C509874-BA01-4800-8FF8-5040B4487352}"/>
    <cellStyle name="Currency 3 2 2 2 3 3" xfId="5048" xr:uid="{00000000-0005-0000-0000-0000C20A0000}"/>
    <cellStyle name="Currency 3 2 2 2 3 3 2" xfId="13490" xr:uid="{3B7C3C2C-3535-4D35-8431-7D280B435565}"/>
    <cellStyle name="Currency 3 2 2 2 3 3 3" xfId="21936" xr:uid="{8C43D78D-0FA0-4E22-A703-305FB72F9A68}"/>
    <cellStyle name="Currency 3 2 2 2 3 4" xfId="9272" xr:uid="{6A4CF4F4-AED6-4B94-9DC5-810ECF9CB2FE}"/>
    <cellStyle name="Currency 3 2 2 2 3 5" xfId="17717" xr:uid="{A9B12DB0-DBF4-4DBF-A9D7-EF8D5287EA8F}"/>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64FE5CF6-0456-46F4-AFC4-76988B2814B6}"/>
    <cellStyle name="Currency 3 2 2 2 4 2 2 3" xfId="24494" xr:uid="{2604D9DB-578C-49EB-839F-2ADDCE2CE7CB}"/>
    <cellStyle name="Currency 3 2 2 2 4 2 3" xfId="11830" xr:uid="{E90A4ED8-FF78-4100-B2F1-AB7ACAC4A424}"/>
    <cellStyle name="Currency 3 2 2 2 4 2 4" xfId="20277" xr:uid="{0CB27C5D-7648-4B23-B936-37EF505231B9}"/>
    <cellStyle name="Currency 3 2 2 2 4 3" xfId="5461" xr:uid="{00000000-0005-0000-0000-0000C60A0000}"/>
    <cellStyle name="Currency 3 2 2 2 4 3 2" xfId="13903" xr:uid="{F3CE871D-6F50-46B0-A1B5-0EAD63D42B12}"/>
    <cellStyle name="Currency 3 2 2 2 4 3 3" xfId="22349" xr:uid="{974F9D02-6A50-4F65-AA02-31B05B3ACB52}"/>
    <cellStyle name="Currency 3 2 2 2 4 4" xfId="9685" xr:uid="{EBDED025-5CF0-478B-A02B-2FE861389312}"/>
    <cellStyle name="Currency 3 2 2 2 4 5" xfId="18130" xr:uid="{EB9718AD-3012-46D3-80D1-DF325626CFF7}"/>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2AAFFBCB-F9C7-4D30-A8CB-4971D157F0C5}"/>
    <cellStyle name="Currency 3 2 2 2 5 2 2 3" xfId="24907" xr:uid="{52FD1F6C-A8EF-4921-A5A6-87057155F0B4}"/>
    <cellStyle name="Currency 3 2 2 2 5 2 3" xfId="12243" xr:uid="{155B7DEA-3D7C-4BA1-9ABF-92F6AA28C937}"/>
    <cellStyle name="Currency 3 2 2 2 5 2 4" xfId="20690" xr:uid="{35826AA9-4A18-425A-80E8-741143A19BED}"/>
    <cellStyle name="Currency 3 2 2 2 5 3" xfId="5874" xr:uid="{00000000-0005-0000-0000-0000CA0A0000}"/>
    <cellStyle name="Currency 3 2 2 2 5 3 2" xfId="14316" xr:uid="{9899EC27-EE01-489A-A029-EA3BC62A4FE4}"/>
    <cellStyle name="Currency 3 2 2 2 5 3 3" xfId="22762" xr:uid="{A48FCAA1-2C69-4BC7-B618-C1FEA2D83428}"/>
    <cellStyle name="Currency 3 2 2 2 5 4" xfId="10098" xr:uid="{C43B6A33-6F8B-4BB4-83E9-2782586583B4}"/>
    <cellStyle name="Currency 3 2 2 2 5 5" xfId="18543" xr:uid="{F1060546-4BCB-4036-B274-EFF931FD2EAB}"/>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F321E47C-3433-4F76-B305-2C3D10DA9C5B}"/>
    <cellStyle name="Currency 3 2 2 2 6 2 2 3" xfId="25320" xr:uid="{BB2477A0-5B18-4F9A-AD2D-3E7101397A8D}"/>
    <cellStyle name="Currency 3 2 2 2 6 2 3" xfId="12656" xr:uid="{E340C734-FF8A-4C22-A2C3-CDBB0CA8696C}"/>
    <cellStyle name="Currency 3 2 2 2 6 2 4" xfId="21103" xr:uid="{EAEF5AEA-60EB-4F46-9D17-BF0D8BBD8F69}"/>
    <cellStyle name="Currency 3 2 2 2 6 3" xfId="6287" xr:uid="{00000000-0005-0000-0000-0000CE0A0000}"/>
    <cellStyle name="Currency 3 2 2 2 6 3 2" xfId="14729" xr:uid="{2AAEE738-953E-471A-A89E-BF3DA2838585}"/>
    <cellStyle name="Currency 3 2 2 2 6 3 3" xfId="23175" xr:uid="{9EDF9A3A-A0C5-4681-9D3F-50130A683CA3}"/>
    <cellStyle name="Currency 3 2 2 2 6 4" xfId="10511" xr:uid="{727A42A6-C062-4359-98D4-603DD18C13EE}"/>
    <cellStyle name="Currency 3 2 2 2 6 5" xfId="18956" xr:uid="{643560BB-7FEA-4557-BC3D-8AA0A2DC1C91}"/>
    <cellStyle name="Currency 3 2 2 2 7" xfId="2415" xr:uid="{00000000-0005-0000-0000-0000CF0A0000}"/>
    <cellStyle name="Currency 3 2 2 2 7 2" xfId="6700" xr:uid="{00000000-0005-0000-0000-0000D00A0000}"/>
    <cellStyle name="Currency 3 2 2 2 7 2 2" xfId="15142" xr:uid="{23B47EB5-9839-498D-89BA-2851D31A146F}"/>
    <cellStyle name="Currency 3 2 2 2 7 2 3" xfId="23588" xr:uid="{FE7978E6-E399-4A94-B97F-7BC9990B0AB0}"/>
    <cellStyle name="Currency 3 2 2 2 7 3" xfId="10924" xr:uid="{A2DB078D-9F4F-41C8-8B27-D5DE48C0B2C9}"/>
    <cellStyle name="Currency 3 2 2 2 7 4" xfId="19369" xr:uid="{2FAA702B-5772-4318-9C17-6379143A10BA}"/>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477008F9-1593-4229-A951-6B6CF4D0B647}"/>
    <cellStyle name="Currency 3 2 2 2 9 2 3" xfId="23905" xr:uid="{D56069B1-7E59-4355-9EBD-4990AF0F5A43}"/>
    <cellStyle name="Currency 3 2 2 2 9 3" xfId="11241" xr:uid="{703748C6-8FAE-4598-976A-8E2281567A56}"/>
    <cellStyle name="Currency 3 2 2 2 9 4" xfId="19688" xr:uid="{C434378B-28A6-4315-A83F-3195505E3E2F}"/>
    <cellStyle name="Currency 3 2 2 3" xfId="181" xr:uid="{00000000-0005-0000-0000-0000D40A0000}"/>
    <cellStyle name="Currency 3 2 2 3 10" xfId="8860" xr:uid="{9A3FC20E-AD9D-4F73-A63E-0B59D986B04E}"/>
    <cellStyle name="Currency 3 2 2 3 11" xfId="17303" xr:uid="{B5A68E47-A320-4EE8-91C8-74638EAC7A9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A05FABC3-9497-4A06-9152-8B36FC2CD83B}"/>
    <cellStyle name="Currency 3 2 2 3 2 2 2 3" xfId="24083" xr:uid="{A8245E0A-1C65-4F56-A5FC-EC80551969EA}"/>
    <cellStyle name="Currency 3 2 2 3 2 2 3" xfId="11419" xr:uid="{7C173ED6-4928-430F-A7FD-CB80DFB0F4D2}"/>
    <cellStyle name="Currency 3 2 2 3 2 2 4" xfId="19866" xr:uid="{D63DB362-CA90-4451-A1B6-25E48D1B1820}"/>
    <cellStyle name="Currency 3 2 2 3 2 3" xfId="5050" xr:uid="{00000000-0005-0000-0000-0000D80A0000}"/>
    <cellStyle name="Currency 3 2 2 3 2 3 2" xfId="13492" xr:uid="{1D28A3E5-D7D2-4BD4-9650-9DF502FCFA8A}"/>
    <cellStyle name="Currency 3 2 2 3 2 3 3" xfId="21938" xr:uid="{9B2A3BBF-9057-45C7-B9EB-BD74D44ED169}"/>
    <cellStyle name="Currency 3 2 2 3 2 4" xfId="9274" xr:uid="{5780F23C-2C3E-40B6-A6D2-24C793280CA5}"/>
    <cellStyle name="Currency 3 2 2 3 2 5" xfId="17719" xr:uid="{DE0E629E-8F52-496B-88E3-C4A40F696A38}"/>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0F7FF1B0-7A52-4CDE-8B09-3DF339091B0C}"/>
    <cellStyle name="Currency 3 2 2 3 3 2 2 3" xfId="24496" xr:uid="{07296BA7-3516-4696-94FA-08E26E325592}"/>
    <cellStyle name="Currency 3 2 2 3 3 2 3" xfId="11832" xr:uid="{3095A347-BADD-42DA-957F-1A4E4B89CF42}"/>
    <cellStyle name="Currency 3 2 2 3 3 2 4" xfId="20279" xr:uid="{CB0127B4-C454-4144-95EA-300780D806F9}"/>
    <cellStyle name="Currency 3 2 2 3 3 3" xfId="5463" xr:uid="{00000000-0005-0000-0000-0000DC0A0000}"/>
    <cellStyle name="Currency 3 2 2 3 3 3 2" xfId="13905" xr:uid="{83199668-8140-4E25-8B19-113EBECCF1EB}"/>
    <cellStyle name="Currency 3 2 2 3 3 3 3" xfId="22351" xr:uid="{574AE5D0-6523-4802-B11A-5A84B7687860}"/>
    <cellStyle name="Currency 3 2 2 3 3 4" xfId="9687" xr:uid="{6C4BF7F2-8953-4997-A142-78411504539A}"/>
    <cellStyle name="Currency 3 2 2 3 3 5" xfId="18132" xr:uid="{54305457-269B-4E0C-93D7-DABC43C49C91}"/>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0A12DAC8-F6FC-4388-8774-62B0C74BF2AA}"/>
    <cellStyle name="Currency 3 2 2 3 4 2 2 3" xfId="24909" xr:uid="{D5B8CACB-E517-4A15-A3E6-F30190490BE8}"/>
    <cellStyle name="Currency 3 2 2 3 4 2 3" xfId="12245" xr:uid="{1917FD57-498F-40C4-8A20-B54D66CF932B}"/>
    <cellStyle name="Currency 3 2 2 3 4 2 4" xfId="20692" xr:uid="{65CB7288-EF0A-46C6-938F-D0F97FE4DE80}"/>
    <cellStyle name="Currency 3 2 2 3 4 3" xfId="5876" xr:uid="{00000000-0005-0000-0000-0000E00A0000}"/>
    <cellStyle name="Currency 3 2 2 3 4 3 2" xfId="14318" xr:uid="{E251862D-29DC-4598-AE41-C8509A48BC64}"/>
    <cellStyle name="Currency 3 2 2 3 4 3 3" xfId="22764" xr:uid="{CDD0DFEC-CA20-4032-9002-AD205C2755B9}"/>
    <cellStyle name="Currency 3 2 2 3 4 4" xfId="10100" xr:uid="{8106BF81-A0A0-4E50-BD78-63F4FEF9FEDB}"/>
    <cellStyle name="Currency 3 2 2 3 4 5" xfId="18545" xr:uid="{14515D4A-6922-40BE-B256-B493D295EBDF}"/>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6FF708BF-FBC7-413F-B663-701A33A4549D}"/>
    <cellStyle name="Currency 3 2 2 3 5 2 2 3" xfId="25322" xr:uid="{85B71DEA-DD68-4555-AFA2-935F812E8CA4}"/>
    <cellStyle name="Currency 3 2 2 3 5 2 3" xfId="12658" xr:uid="{671CDB50-64A5-46C9-8401-D0179D509C01}"/>
    <cellStyle name="Currency 3 2 2 3 5 2 4" xfId="21105" xr:uid="{CC625AD6-F64E-4681-99A0-E396CEDE7FF0}"/>
    <cellStyle name="Currency 3 2 2 3 5 3" xfId="6289" xr:uid="{00000000-0005-0000-0000-0000E40A0000}"/>
    <cellStyle name="Currency 3 2 2 3 5 3 2" xfId="14731" xr:uid="{A5D4D9E8-3C4B-46D3-A378-1E09F2FBFE5C}"/>
    <cellStyle name="Currency 3 2 2 3 5 3 3" xfId="23177" xr:uid="{ADCA213A-A3BB-4178-BD53-121D55EFF8F4}"/>
    <cellStyle name="Currency 3 2 2 3 5 4" xfId="10513" xr:uid="{5FDE51A9-A878-4831-8E7C-92EC7AB68A29}"/>
    <cellStyle name="Currency 3 2 2 3 5 5" xfId="18958" xr:uid="{EAB112CB-CC57-4AE4-8453-F61606D4FBA4}"/>
    <cellStyle name="Currency 3 2 2 3 6" xfId="2417" xr:uid="{00000000-0005-0000-0000-0000E50A0000}"/>
    <cellStyle name="Currency 3 2 2 3 6 2" xfId="6702" xr:uid="{00000000-0005-0000-0000-0000E60A0000}"/>
    <cellStyle name="Currency 3 2 2 3 6 2 2" xfId="15144" xr:uid="{1370389B-2DC1-4708-8C29-10895F3D2894}"/>
    <cellStyle name="Currency 3 2 2 3 6 2 3" xfId="23590" xr:uid="{A9A1D2D6-A4FA-4993-A361-25201029A3F7}"/>
    <cellStyle name="Currency 3 2 2 3 6 3" xfId="10926" xr:uid="{8A3F6B35-F6A1-4357-818D-7F3E62F0477E}"/>
    <cellStyle name="Currency 3 2 2 3 6 4" xfId="19371" xr:uid="{17E5F6B0-A062-4516-9432-EC1971373C4C}"/>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ACC6AA25-7102-450C-917D-AA144A15B0B6}"/>
    <cellStyle name="Currency 3 2 2 3 8 2 3" xfId="23907" xr:uid="{048A2502-B37B-446D-9DD9-76A7B377AD7D}"/>
    <cellStyle name="Currency 3 2 2 3 8 3" xfId="11243" xr:uid="{426FD658-8A80-4C99-8EC2-58FD72797844}"/>
    <cellStyle name="Currency 3 2 2 3 8 4" xfId="19690" xr:uid="{D773A10C-5E52-4170-933E-B467837BCB31}"/>
    <cellStyle name="Currency 3 2 2 3 9" xfId="4636" xr:uid="{00000000-0005-0000-0000-0000EA0A0000}"/>
    <cellStyle name="Currency 3 2 2 3 9 2" xfId="13078" xr:uid="{1813EF6E-CB5A-464F-A6EA-49FE57F5FC64}"/>
    <cellStyle name="Currency 3 2 2 3 9 3" xfId="21524" xr:uid="{0098CBC9-5EA6-47DE-9DAD-B8FA709E539B}"/>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75D4BB8C-3319-482B-99F4-9D3A357821D9}"/>
    <cellStyle name="Currency 3 2 2 4 2 2 3" xfId="24080" xr:uid="{740CEF3C-A6AA-4EE8-89A9-E250EB019633}"/>
    <cellStyle name="Currency 3 2 2 4 2 3" xfId="11416" xr:uid="{870C22A8-B816-491F-9F83-3292A582AF23}"/>
    <cellStyle name="Currency 3 2 2 4 2 4" xfId="19863" xr:uid="{BD5FB194-399D-4608-9B5B-108B331E3FD0}"/>
    <cellStyle name="Currency 3 2 2 4 3" xfId="5047" xr:uid="{00000000-0005-0000-0000-0000EE0A0000}"/>
    <cellStyle name="Currency 3 2 2 4 3 2" xfId="13489" xr:uid="{3D885753-E31B-435B-B09E-A2FA6C8647BA}"/>
    <cellStyle name="Currency 3 2 2 4 3 3" xfId="21935" xr:uid="{DC745EC5-DEAF-419D-BB75-63C7EF3B9BFF}"/>
    <cellStyle name="Currency 3 2 2 4 4" xfId="9271" xr:uid="{96C5C590-9DEE-43EC-84CF-CDB2B547C81A}"/>
    <cellStyle name="Currency 3 2 2 4 5" xfId="17716" xr:uid="{78D44C2A-5D8C-43BF-9C86-821A4BE93074}"/>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05544A7B-89C4-4AD9-A123-16F7DEFE76CD}"/>
    <cellStyle name="Currency 3 2 2 5 2 2 3" xfId="24493" xr:uid="{40BE6880-B623-48D1-A387-79C80173B818}"/>
    <cellStyle name="Currency 3 2 2 5 2 3" xfId="11829" xr:uid="{7D95DE43-286B-4470-9D50-91BE62BAD91A}"/>
    <cellStyle name="Currency 3 2 2 5 2 4" xfId="20276" xr:uid="{9ACEB877-080B-4E3B-8B1A-910E836F88AB}"/>
    <cellStyle name="Currency 3 2 2 5 3" xfId="5460" xr:uid="{00000000-0005-0000-0000-0000F20A0000}"/>
    <cellStyle name="Currency 3 2 2 5 3 2" xfId="13902" xr:uid="{ED6F6D86-9E5D-40C1-8FB1-406AB1BEE405}"/>
    <cellStyle name="Currency 3 2 2 5 3 3" xfId="22348" xr:uid="{635E370E-069E-4CF6-AB2C-826E37E83AC6}"/>
    <cellStyle name="Currency 3 2 2 5 4" xfId="9684" xr:uid="{7C25896C-D4FE-4486-90E6-6AAAD322314C}"/>
    <cellStyle name="Currency 3 2 2 5 5" xfId="18129" xr:uid="{E9D5A988-5AA7-446E-AAF7-DA613408BFEB}"/>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02501598-4EBA-4532-A1A6-741AA2E3F7A5}"/>
    <cellStyle name="Currency 3 2 2 6 2 2 3" xfId="24906" xr:uid="{E8A0DBFA-CC2E-451A-B0E6-B2B0B3E61406}"/>
    <cellStyle name="Currency 3 2 2 6 2 3" xfId="12242" xr:uid="{2BDA8F35-C2D1-4624-A873-3B6605D42D63}"/>
    <cellStyle name="Currency 3 2 2 6 2 4" xfId="20689" xr:uid="{6C92626B-A645-4373-B168-91AA2309CD1B}"/>
    <cellStyle name="Currency 3 2 2 6 3" xfId="5873" xr:uid="{00000000-0005-0000-0000-0000F60A0000}"/>
    <cellStyle name="Currency 3 2 2 6 3 2" xfId="14315" xr:uid="{455BB218-11D8-463B-A6C4-4AA0354811A7}"/>
    <cellStyle name="Currency 3 2 2 6 3 3" xfId="22761" xr:uid="{E949FC65-186E-45E9-A3A0-4915439D3F58}"/>
    <cellStyle name="Currency 3 2 2 6 4" xfId="10097" xr:uid="{5939F8A5-8AED-4775-BADD-8D23589A1415}"/>
    <cellStyle name="Currency 3 2 2 6 5" xfId="18542" xr:uid="{659B7798-4268-4D6A-A932-7600AF60728B}"/>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95BD8B8E-BDBC-45F6-B82F-8A81F73FBCD2}"/>
    <cellStyle name="Currency 3 2 2 7 2 2 3" xfId="25319" xr:uid="{2085D583-9E39-4857-9E27-3505195330DB}"/>
    <cellStyle name="Currency 3 2 2 7 2 3" xfId="12655" xr:uid="{BBD41C28-68FC-4772-AC53-15D56B6688C2}"/>
    <cellStyle name="Currency 3 2 2 7 2 4" xfId="21102" xr:uid="{EDFE40E6-CBB2-475C-83AF-6607C9CDB24C}"/>
    <cellStyle name="Currency 3 2 2 7 3" xfId="6286" xr:uid="{00000000-0005-0000-0000-0000FA0A0000}"/>
    <cellStyle name="Currency 3 2 2 7 3 2" xfId="14728" xr:uid="{01F7A2C7-0C33-4698-9BE8-571297BBFCD0}"/>
    <cellStyle name="Currency 3 2 2 7 3 3" xfId="23174" xr:uid="{7B3ECF2F-A083-4565-8105-9DF3AC99001A}"/>
    <cellStyle name="Currency 3 2 2 7 4" xfId="10510" xr:uid="{1AC5874C-A0B7-4D94-924D-8DB130AA8494}"/>
    <cellStyle name="Currency 3 2 2 7 5" xfId="18955" xr:uid="{45042855-04DC-4FED-970A-4E747E214A18}"/>
    <cellStyle name="Currency 3 2 2 8" xfId="2414" xr:uid="{00000000-0005-0000-0000-0000FB0A0000}"/>
    <cellStyle name="Currency 3 2 2 8 2" xfId="6699" xr:uid="{00000000-0005-0000-0000-0000FC0A0000}"/>
    <cellStyle name="Currency 3 2 2 8 2 2" xfId="15141" xr:uid="{5AB81F93-0045-4327-AB57-7BDD965CFD7A}"/>
    <cellStyle name="Currency 3 2 2 8 2 3" xfId="23587" xr:uid="{8480E78F-F30E-4897-88DB-D4247DCCF8AE}"/>
    <cellStyle name="Currency 3 2 2 8 3" xfId="10923" xr:uid="{41F91EE4-3F09-4CB3-BC98-4C0645C0D2CB}"/>
    <cellStyle name="Currency 3 2 2 8 4" xfId="19368" xr:uid="{22CD56CB-3557-4B5F-B065-3659643D0A3A}"/>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AB448C2A-D5F6-4706-994C-9379F7594FC1}"/>
    <cellStyle name="Currency 3 2 3 10 3" xfId="21525" xr:uid="{6B90488E-B926-4485-AEC3-79BD5CA72612}"/>
    <cellStyle name="Currency 3 2 3 11" xfId="8861" xr:uid="{A29116C9-7498-44E3-8583-A6D5C21911C8}"/>
    <cellStyle name="Currency 3 2 3 12" xfId="17304" xr:uid="{41BBC94E-FBED-4373-841D-84FCCE3292D7}"/>
    <cellStyle name="Currency 3 2 3 2" xfId="183" xr:uid="{00000000-0005-0000-0000-0000000B0000}"/>
    <cellStyle name="Currency 3 2 3 2 10" xfId="8862" xr:uid="{12A49F71-1EEF-4588-87F1-678A7D45FD4B}"/>
    <cellStyle name="Currency 3 2 3 2 11" xfId="17305" xr:uid="{ECBAD3E2-1A90-4A73-B8C6-AD2935D6B8D5}"/>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7FA4C0A5-67CD-4290-9D2F-B092C5C0A594}"/>
    <cellStyle name="Currency 3 2 3 2 2 2 2 3" xfId="24085" xr:uid="{E73C27D2-368D-486D-A569-D96754607C13}"/>
    <cellStyle name="Currency 3 2 3 2 2 2 3" xfId="11421" xr:uid="{736BF032-4368-48EE-8C4E-C11FB7CF4A50}"/>
    <cellStyle name="Currency 3 2 3 2 2 2 4" xfId="19868" xr:uid="{05303403-06A9-427E-A0E5-D5D1EDC6614B}"/>
    <cellStyle name="Currency 3 2 3 2 2 3" xfId="5052" xr:uid="{00000000-0005-0000-0000-0000040B0000}"/>
    <cellStyle name="Currency 3 2 3 2 2 3 2" xfId="13494" xr:uid="{5D3668EA-EEDA-4D28-926F-7C663A0DF5BC}"/>
    <cellStyle name="Currency 3 2 3 2 2 3 3" xfId="21940" xr:uid="{F1A03B40-DC20-4398-9667-6E29AA862A7F}"/>
    <cellStyle name="Currency 3 2 3 2 2 4" xfId="9276" xr:uid="{7EE41737-AB1E-4796-8B53-D178712DD654}"/>
    <cellStyle name="Currency 3 2 3 2 2 5" xfId="17721" xr:uid="{463E7FE1-87CD-46DC-8F79-8A7037731D4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0FDF411A-DB8D-493F-AE37-6A44D3F92EC4}"/>
    <cellStyle name="Currency 3 2 3 2 3 2 2 3" xfId="24498" xr:uid="{36623E31-55D7-410C-B5FA-2DF45998627A}"/>
    <cellStyle name="Currency 3 2 3 2 3 2 3" xfId="11834" xr:uid="{B5FAFAB4-E4BA-4BA7-85EE-629BC916BE22}"/>
    <cellStyle name="Currency 3 2 3 2 3 2 4" xfId="20281" xr:uid="{70E2731A-841A-4BFC-B2D3-D72C0FBF1C44}"/>
    <cellStyle name="Currency 3 2 3 2 3 3" xfId="5465" xr:uid="{00000000-0005-0000-0000-0000080B0000}"/>
    <cellStyle name="Currency 3 2 3 2 3 3 2" xfId="13907" xr:uid="{3A05B83D-9EC4-4C4C-A784-CB0FC2041E7D}"/>
    <cellStyle name="Currency 3 2 3 2 3 3 3" xfId="22353" xr:uid="{FFA229FE-C9D5-4247-882A-FE6F451A6DFB}"/>
    <cellStyle name="Currency 3 2 3 2 3 4" xfId="9689" xr:uid="{B3C78638-1925-4E8E-99E5-66B49007DB5B}"/>
    <cellStyle name="Currency 3 2 3 2 3 5" xfId="18134" xr:uid="{7D0034DB-BF11-4DE8-964F-6E3117A10DE5}"/>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A08D0291-C934-417F-BCA9-5B2E5EB43C69}"/>
    <cellStyle name="Currency 3 2 3 2 4 2 2 3" xfId="24911" xr:uid="{A0ABFA62-A2DA-4E25-8D3E-6E6417426D84}"/>
    <cellStyle name="Currency 3 2 3 2 4 2 3" xfId="12247" xr:uid="{940B41CA-86F2-4384-B3C6-387CC263446F}"/>
    <cellStyle name="Currency 3 2 3 2 4 2 4" xfId="20694" xr:uid="{4ACD50E7-59F7-4F3C-9954-48330C00BD95}"/>
    <cellStyle name="Currency 3 2 3 2 4 3" xfId="5878" xr:uid="{00000000-0005-0000-0000-00000C0B0000}"/>
    <cellStyle name="Currency 3 2 3 2 4 3 2" xfId="14320" xr:uid="{A23C2919-BDC0-48D9-AC3C-6CD66DFB2E5A}"/>
    <cellStyle name="Currency 3 2 3 2 4 3 3" xfId="22766" xr:uid="{0365B6D9-3644-4D87-82E2-BD3DFE003E5D}"/>
    <cellStyle name="Currency 3 2 3 2 4 4" xfId="10102" xr:uid="{2CC5489C-74DA-46A0-AD45-E0832890C6DF}"/>
    <cellStyle name="Currency 3 2 3 2 4 5" xfId="18547" xr:uid="{D609D980-52BE-4328-94F7-82C08C6E1DD6}"/>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1283DDFE-A961-44BB-9CAC-F529FA9DF1C6}"/>
    <cellStyle name="Currency 3 2 3 2 5 2 2 3" xfId="25324" xr:uid="{A384BA42-B4C6-44F4-A121-A3BC2D8D4DCC}"/>
    <cellStyle name="Currency 3 2 3 2 5 2 3" xfId="12660" xr:uid="{1BF64520-193F-48A3-8CE4-57D0C0380FBF}"/>
    <cellStyle name="Currency 3 2 3 2 5 2 4" xfId="21107" xr:uid="{090E51E2-2160-4DB5-A36F-FAE5DC1421EE}"/>
    <cellStyle name="Currency 3 2 3 2 5 3" xfId="6291" xr:uid="{00000000-0005-0000-0000-0000100B0000}"/>
    <cellStyle name="Currency 3 2 3 2 5 3 2" xfId="14733" xr:uid="{94FC4AE7-D35A-4D47-BF73-AF47C61EFF39}"/>
    <cellStyle name="Currency 3 2 3 2 5 3 3" xfId="23179" xr:uid="{6E00B67A-86E8-43C1-B4C6-953A956603E8}"/>
    <cellStyle name="Currency 3 2 3 2 5 4" xfId="10515" xr:uid="{CC810B95-B635-424C-A148-B44E2D76BECE}"/>
    <cellStyle name="Currency 3 2 3 2 5 5" xfId="18960" xr:uid="{EF522913-9354-450F-AE16-3EB1048B8BC0}"/>
    <cellStyle name="Currency 3 2 3 2 6" xfId="2419" xr:uid="{00000000-0005-0000-0000-0000110B0000}"/>
    <cellStyle name="Currency 3 2 3 2 6 2" xfId="6704" xr:uid="{00000000-0005-0000-0000-0000120B0000}"/>
    <cellStyle name="Currency 3 2 3 2 6 2 2" xfId="15146" xr:uid="{72E13198-AF76-406E-B56F-4FD1C5A03D1E}"/>
    <cellStyle name="Currency 3 2 3 2 6 2 3" xfId="23592" xr:uid="{852110CB-A17D-4995-B9EC-54A9B0534B97}"/>
    <cellStyle name="Currency 3 2 3 2 6 3" xfId="10928" xr:uid="{2DA8E193-C688-4933-B763-C9D5B2647EE1}"/>
    <cellStyle name="Currency 3 2 3 2 6 4" xfId="19373" xr:uid="{3E152963-8EE2-424A-B8A7-76753FB71719}"/>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4EA02A58-0F27-4280-B768-83419345EA5C}"/>
    <cellStyle name="Currency 3 2 3 2 8 2 3" xfId="23909" xr:uid="{FCF83A80-5754-46E1-8346-04F1659BBD42}"/>
    <cellStyle name="Currency 3 2 3 2 8 3" xfId="11245" xr:uid="{DD9F94EB-30EF-47BB-A751-2439FC861E4E}"/>
    <cellStyle name="Currency 3 2 3 2 8 4" xfId="19692" xr:uid="{28DDB26E-E745-438D-A847-A95B0DBA6E6C}"/>
    <cellStyle name="Currency 3 2 3 2 9" xfId="4638" xr:uid="{00000000-0005-0000-0000-0000160B0000}"/>
    <cellStyle name="Currency 3 2 3 2 9 2" xfId="13080" xr:uid="{7D048427-455D-49DD-8183-F49759C532F1}"/>
    <cellStyle name="Currency 3 2 3 2 9 3" xfId="21526" xr:uid="{97CF4E0A-6914-4865-A943-FADD3733E15F}"/>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C93E0C94-2FE9-48E3-8331-6941F8C16AF5}"/>
    <cellStyle name="Currency 3 2 3 3 2 2 3" xfId="24084" xr:uid="{87D9CF81-458D-4730-ACF8-67055647EA92}"/>
    <cellStyle name="Currency 3 2 3 3 2 3" xfId="11420" xr:uid="{DA76E8E6-683E-40E3-A179-256F6807647C}"/>
    <cellStyle name="Currency 3 2 3 3 2 4" xfId="19867" xr:uid="{4DD4CAC0-9D55-4345-AA4C-65E8712ABF38}"/>
    <cellStyle name="Currency 3 2 3 3 3" xfId="5051" xr:uid="{00000000-0005-0000-0000-00001A0B0000}"/>
    <cellStyle name="Currency 3 2 3 3 3 2" xfId="13493" xr:uid="{649C587E-C367-47FE-B5E2-2FCA896F4897}"/>
    <cellStyle name="Currency 3 2 3 3 3 3" xfId="21939" xr:uid="{72D43200-F3E0-4C70-906E-849001321BD8}"/>
    <cellStyle name="Currency 3 2 3 3 4" xfId="9275" xr:uid="{D870420C-E89D-4E56-B451-A60534EF560F}"/>
    <cellStyle name="Currency 3 2 3 3 5" xfId="17720" xr:uid="{FC0E9AF7-8EA4-4CB0-A4B2-1015B1063DB6}"/>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E8D76C57-5C84-4046-8F95-80E16FBCE7DC}"/>
    <cellStyle name="Currency 3 2 3 4 2 2 3" xfId="24497" xr:uid="{8C92C2FD-3E8A-47D1-A68B-EF747344EDED}"/>
    <cellStyle name="Currency 3 2 3 4 2 3" xfId="11833" xr:uid="{0C2D1B61-0F7E-4BA4-9A8A-B2DC6EEB5473}"/>
    <cellStyle name="Currency 3 2 3 4 2 4" xfId="20280" xr:uid="{FC160D77-75E2-43AD-9B38-F199F0BE8B54}"/>
    <cellStyle name="Currency 3 2 3 4 3" xfId="5464" xr:uid="{00000000-0005-0000-0000-00001E0B0000}"/>
    <cellStyle name="Currency 3 2 3 4 3 2" xfId="13906" xr:uid="{9A12137F-F0AA-48DE-88D8-75972A40D18D}"/>
    <cellStyle name="Currency 3 2 3 4 3 3" xfId="22352" xr:uid="{89DED72C-8820-4C88-ADC2-3FE03C6FE1DC}"/>
    <cellStyle name="Currency 3 2 3 4 4" xfId="9688" xr:uid="{26E9FAC1-DFE5-477A-9CA0-B769CC8D53CB}"/>
    <cellStyle name="Currency 3 2 3 4 5" xfId="18133" xr:uid="{83A9051E-6598-4ABA-B2A8-CA0B76FCDB90}"/>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C11F449A-DA1A-46CA-A35A-A023A3D972A5}"/>
    <cellStyle name="Currency 3 2 3 5 2 2 3" xfId="24910" xr:uid="{570B2BAD-1978-4E80-867D-A4AC798D646C}"/>
    <cellStyle name="Currency 3 2 3 5 2 3" xfId="12246" xr:uid="{66F952A6-E0E7-4F6A-B848-76F649418813}"/>
    <cellStyle name="Currency 3 2 3 5 2 4" xfId="20693" xr:uid="{AAEAB5DB-D1F4-4806-B1CB-C1514F25470E}"/>
    <cellStyle name="Currency 3 2 3 5 3" xfId="5877" xr:uid="{00000000-0005-0000-0000-0000220B0000}"/>
    <cellStyle name="Currency 3 2 3 5 3 2" xfId="14319" xr:uid="{C09B87A3-4173-4BEC-9EDC-53088D4F1CCA}"/>
    <cellStyle name="Currency 3 2 3 5 3 3" xfId="22765" xr:uid="{ACDBEE91-FDF8-47BE-8EEA-59F721176949}"/>
    <cellStyle name="Currency 3 2 3 5 4" xfId="10101" xr:uid="{ECDA5BFA-8F59-4587-98A4-FCC6267A0C22}"/>
    <cellStyle name="Currency 3 2 3 5 5" xfId="18546" xr:uid="{0F084616-9E1C-4332-9720-548BABCC894E}"/>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FA11360F-C927-4C19-A10D-3AB1163599B8}"/>
    <cellStyle name="Currency 3 2 3 6 2 2 3" xfId="25323" xr:uid="{BFFFD2A7-797C-4512-9BD2-D9B7BDC52C7F}"/>
    <cellStyle name="Currency 3 2 3 6 2 3" xfId="12659" xr:uid="{4B979F8F-0E88-4BB5-BF6C-7199A7142907}"/>
    <cellStyle name="Currency 3 2 3 6 2 4" xfId="21106" xr:uid="{F5C17EEF-BA53-4D8B-B9D7-8C5012F6223D}"/>
    <cellStyle name="Currency 3 2 3 6 3" xfId="6290" xr:uid="{00000000-0005-0000-0000-0000260B0000}"/>
    <cellStyle name="Currency 3 2 3 6 3 2" xfId="14732" xr:uid="{ED211556-DE8E-4DA0-BA11-52036D73A44B}"/>
    <cellStyle name="Currency 3 2 3 6 3 3" xfId="23178" xr:uid="{A2E81B6A-7E2F-4686-917B-EC5A6F125A9C}"/>
    <cellStyle name="Currency 3 2 3 6 4" xfId="10514" xr:uid="{5451293C-11D5-4942-9175-E769D51155FA}"/>
    <cellStyle name="Currency 3 2 3 6 5" xfId="18959" xr:uid="{0C253BD4-C1A5-4CE8-8E5B-83966B484810}"/>
    <cellStyle name="Currency 3 2 3 7" xfId="2418" xr:uid="{00000000-0005-0000-0000-0000270B0000}"/>
    <cellStyle name="Currency 3 2 3 7 2" xfId="6703" xr:uid="{00000000-0005-0000-0000-0000280B0000}"/>
    <cellStyle name="Currency 3 2 3 7 2 2" xfId="15145" xr:uid="{0783960B-89AC-437F-AA00-8A8813CFD6CE}"/>
    <cellStyle name="Currency 3 2 3 7 2 3" xfId="23591" xr:uid="{5D6703A3-3AE1-4DB9-AC1D-4F7340BEFB83}"/>
    <cellStyle name="Currency 3 2 3 7 3" xfId="10927" xr:uid="{9DBD4E73-E6FD-40CE-90A9-DC68A7128262}"/>
    <cellStyle name="Currency 3 2 3 7 4" xfId="19372" xr:uid="{3E002B54-7B39-4D9E-A050-54DA5B244BA1}"/>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A71CCE84-5D54-420E-90F7-998BA2A8DB12}"/>
    <cellStyle name="Currency 3 2 3 9 2 3" xfId="23908" xr:uid="{7B6FB481-ABD9-4633-9819-753A5B8840F0}"/>
    <cellStyle name="Currency 3 2 3 9 3" xfId="11244" xr:uid="{D4DC1DFF-6C65-4818-BAD9-C0515F868C8D}"/>
    <cellStyle name="Currency 3 2 3 9 4" xfId="19691" xr:uid="{DF785109-FD2E-48EF-9404-F15E270BA6B0}"/>
    <cellStyle name="Currency 3 2 4" xfId="184" xr:uid="{00000000-0005-0000-0000-00002C0B0000}"/>
    <cellStyle name="Currency 3 2 4 10" xfId="8863" xr:uid="{699A28B6-A66B-447E-9247-E904C4340A23}"/>
    <cellStyle name="Currency 3 2 4 11" xfId="17306" xr:uid="{8A6E8BDF-2FC8-4412-B269-D88BF8242C76}"/>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B9658683-9301-4E51-A4BD-BDF3C44CDC1B}"/>
    <cellStyle name="Currency 3 2 4 2 2 2 3" xfId="24086" xr:uid="{2454981D-ED88-41D6-8940-74097667A222}"/>
    <cellStyle name="Currency 3 2 4 2 2 3" xfId="11422" xr:uid="{6C8601D4-4C14-47E8-8010-DE6848BB85B3}"/>
    <cellStyle name="Currency 3 2 4 2 2 4" xfId="19869" xr:uid="{04D7645E-BBDA-4ECE-969E-AD446607C078}"/>
    <cellStyle name="Currency 3 2 4 2 3" xfId="5053" xr:uid="{00000000-0005-0000-0000-0000300B0000}"/>
    <cellStyle name="Currency 3 2 4 2 3 2" xfId="13495" xr:uid="{C5C3EF40-11D8-49C5-B654-A71EA0D3370A}"/>
    <cellStyle name="Currency 3 2 4 2 3 3" xfId="21941" xr:uid="{EC8B6ED6-0612-4501-8543-120CD1D5D52B}"/>
    <cellStyle name="Currency 3 2 4 2 4" xfId="9277" xr:uid="{7B8F740E-1DEA-4CC6-89A7-DE84CA421E3D}"/>
    <cellStyle name="Currency 3 2 4 2 5" xfId="17722" xr:uid="{7B77FB30-22FB-41F5-8282-D04A426D642D}"/>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5234D970-A186-4262-8F82-8B3C6AC28EED}"/>
    <cellStyle name="Currency 3 2 4 3 2 2 3" xfId="24499" xr:uid="{DFB89848-3DB9-4097-BBE4-1A17A5B2C840}"/>
    <cellStyle name="Currency 3 2 4 3 2 3" xfId="11835" xr:uid="{77252812-15CD-451E-A4A1-79AD5B694F3C}"/>
    <cellStyle name="Currency 3 2 4 3 2 4" xfId="20282" xr:uid="{1DFADE6E-8EF1-441E-BCC3-6D8447D56B90}"/>
    <cellStyle name="Currency 3 2 4 3 3" xfId="5466" xr:uid="{00000000-0005-0000-0000-0000340B0000}"/>
    <cellStyle name="Currency 3 2 4 3 3 2" xfId="13908" xr:uid="{B408348D-BC5E-4C11-B4C6-187AAD5047ED}"/>
    <cellStyle name="Currency 3 2 4 3 3 3" xfId="22354" xr:uid="{9DE184E2-2153-4262-82A3-F5D3587096C4}"/>
    <cellStyle name="Currency 3 2 4 3 4" xfId="9690" xr:uid="{E0624C97-83E9-4833-96CA-FE68E249C453}"/>
    <cellStyle name="Currency 3 2 4 3 5" xfId="18135" xr:uid="{90E70B87-2896-47AB-A5E0-4D1A130B6CEE}"/>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5B21C3A7-B87F-4B87-AAA5-8212F491D58A}"/>
    <cellStyle name="Currency 3 2 4 4 2 2 3" xfId="24912" xr:uid="{37321359-C99A-42CA-8996-58A239A5C1BA}"/>
    <cellStyle name="Currency 3 2 4 4 2 3" xfId="12248" xr:uid="{7DD315CF-8AE1-4F09-B606-921CF5A594F5}"/>
    <cellStyle name="Currency 3 2 4 4 2 4" xfId="20695" xr:uid="{06ECCD1B-203D-497C-8CBB-422C3154DB19}"/>
    <cellStyle name="Currency 3 2 4 4 3" xfId="5879" xr:uid="{00000000-0005-0000-0000-0000380B0000}"/>
    <cellStyle name="Currency 3 2 4 4 3 2" xfId="14321" xr:uid="{62850023-B397-4D6F-950E-66A5E399843C}"/>
    <cellStyle name="Currency 3 2 4 4 3 3" xfId="22767" xr:uid="{D19259FA-8869-44FB-AA8A-2675E55E44F6}"/>
    <cellStyle name="Currency 3 2 4 4 4" xfId="10103" xr:uid="{A7BADEBD-2C14-4B25-85DA-BF2997DFE6F2}"/>
    <cellStyle name="Currency 3 2 4 4 5" xfId="18548" xr:uid="{EB5AB5E9-B9BD-448A-93AB-22681C0967EE}"/>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D9EB2FDF-FA08-41D5-BF53-1831ABE99F62}"/>
    <cellStyle name="Currency 3 2 4 5 2 2 3" xfId="25325" xr:uid="{4A287FBE-88E3-4520-A0E6-B2A97D0AE51C}"/>
    <cellStyle name="Currency 3 2 4 5 2 3" xfId="12661" xr:uid="{4D322144-9B7F-4A1A-AD30-F75F8E6FD206}"/>
    <cellStyle name="Currency 3 2 4 5 2 4" xfId="21108" xr:uid="{A4D5513D-40D6-4F64-8EA8-32294848AC67}"/>
    <cellStyle name="Currency 3 2 4 5 3" xfId="6292" xr:uid="{00000000-0005-0000-0000-00003C0B0000}"/>
    <cellStyle name="Currency 3 2 4 5 3 2" xfId="14734" xr:uid="{15DCD55D-1E48-41DE-B5EB-1D5891A98917}"/>
    <cellStyle name="Currency 3 2 4 5 3 3" xfId="23180" xr:uid="{8DD38566-F8F4-40B5-B973-5F7C559AB19E}"/>
    <cellStyle name="Currency 3 2 4 5 4" xfId="10516" xr:uid="{5DD044C0-C88D-4031-B912-56EFBC950BDD}"/>
    <cellStyle name="Currency 3 2 4 5 5" xfId="18961" xr:uid="{3877850D-BEDE-450F-9285-DDC730C4A63B}"/>
    <cellStyle name="Currency 3 2 4 6" xfId="2420" xr:uid="{00000000-0005-0000-0000-00003D0B0000}"/>
    <cellStyle name="Currency 3 2 4 6 2" xfId="6705" xr:uid="{00000000-0005-0000-0000-00003E0B0000}"/>
    <cellStyle name="Currency 3 2 4 6 2 2" xfId="15147" xr:uid="{D8AACA74-B43A-4038-9C9D-B96F37DA9D2F}"/>
    <cellStyle name="Currency 3 2 4 6 2 3" xfId="23593" xr:uid="{12E3A64D-5579-4D93-8196-62875723B559}"/>
    <cellStyle name="Currency 3 2 4 6 3" xfId="10929" xr:uid="{E36CAB4F-1036-44E1-AED7-3A46607C5B29}"/>
    <cellStyle name="Currency 3 2 4 6 4" xfId="19374" xr:uid="{B886870E-77AA-4EB1-AB24-25EC2C0A57F7}"/>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07CA683C-1AA1-43A4-8826-C9AB02435435}"/>
    <cellStyle name="Currency 3 2 4 8 2 3" xfId="23910" xr:uid="{0D324D5B-8676-40B5-B792-659714244E90}"/>
    <cellStyle name="Currency 3 2 4 8 3" xfId="11246" xr:uid="{5319390A-A198-4015-B44B-2CBBA4EC6EF9}"/>
    <cellStyle name="Currency 3 2 4 8 4" xfId="19693" xr:uid="{4A9C6AA7-7A34-4E0D-8A18-90E713B970BC}"/>
    <cellStyle name="Currency 3 2 4 9" xfId="4639" xr:uid="{00000000-0005-0000-0000-0000420B0000}"/>
    <cellStyle name="Currency 3 2 4 9 2" xfId="13081" xr:uid="{726B6389-B94E-4633-A0E2-B4C579DDBCB6}"/>
    <cellStyle name="Currency 3 2 4 9 3" xfId="21527" xr:uid="{3336CE75-86A7-4E1F-9A1B-974F526DD3DE}"/>
    <cellStyle name="Currency 3 2 5" xfId="185" xr:uid="{00000000-0005-0000-0000-0000430B0000}"/>
    <cellStyle name="Currency 3 2 5 10" xfId="8864" xr:uid="{497F936B-8A5B-43EF-9628-D5E5597C4140}"/>
    <cellStyle name="Currency 3 2 5 11" xfId="17307" xr:uid="{D28ECD9E-776C-4222-A544-E759F286E796}"/>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C1932073-C905-4F2F-A629-9C3D640FC53F}"/>
    <cellStyle name="Currency 3 2 5 2 2 2 3" xfId="24087" xr:uid="{BE776B8A-0CE3-421D-9737-496DE5AA22C9}"/>
    <cellStyle name="Currency 3 2 5 2 2 3" xfId="11423" xr:uid="{331F81AF-A3F2-40D2-B21F-7AB31DF984EE}"/>
    <cellStyle name="Currency 3 2 5 2 2 4" xfId="19870" xr:uid="{2DBA42BB-FAA0-47E9-8B79-90EACE044A7B}"/>
    <cellStyle name="Currency 3 2 5 2 3" xfId="5054" xr:uid="{00000000-0005-0000-0000-0000470B0000}"/>
    <cellStyle name="Currency 3 2 5 2 3 2" xfId="13496" xr:uid="{65D1FEB6-13C5-433A-BFA6-0FC21D1EF3BA}"/>
    <cellStyle name="Currency 3 2 5 2 3 3" xfId="21942" xr:uid="{CBD41A39-777D-426F-9DD0-059F59FAC013}"/>
    <cellStyle name="Currency 3 2 5 2 4" xfId="9278" xr:uid="{5164F1E5-39BD-4013-8B45-4B8447A33DFE}"/>
    <cellStyle name="Currency 3 2 5 2 5" xfId="17723" xr:uid="{8F236338-5A09-499C-8A5E-E78F1B76BCAC}"/>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FFF870A5-96AC-4F17-A133-A4BE1F9F1865}"/>
    <cellStyle name="Currency 3 2 5 3 2 2 3" xfId="24500" xr:uid="{11571F77-6576-4FB8-A14D-E87D44E73A3F}"/>
    <cellStyle name="Currency 3 2 5 3 2 3" xfId="11836" xr:uid="{74D1FDF2-193B-48F8-95B5-247D7C5D991D}"/>
    <cellStyle name="Currency 3 2 5 3 2 4" xfId="20283" xr:uid="{6D02A2E7-6D74-453C-8783-340F4AC6F0CB}"/>
    <cellStyle name="Currency 3 2 5 3 3" xfId="5467" xr:uid="{00000000-0005-0000-0000-00004B0B0000}"/>
    <cellStyle name="Currency 3 2 5 3 3 2" xfId="13909" xr:uid="{0BDE2B07-39A5-42B1-8946-85C656D8492B}"/>
    <cellStyle name="Currency 3 2 5 3 3 3" xfId="22355" xr:uid="{59E1C39E-4602-46AF-9730-0B9EBA5B61A1}"/>
    <cellStyle name="Currency 3 2 5 3 4" xfId="9691" xr:uid="{FDB0B6AE-63F5-4149-8F55-9F92C271C334}"/>
    <cellStyle name="Currency 3 2 5 3 5" xfId="18136" xr:uid="{5BF1E11C-AB52-45D0-A345-3428CDD25171}"/>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57167B08-1872-46A1-9521-0A03FE00AEBE}"/>
    <cellStyle name="Currency 3 2 5 4 2 2 3" xfId="24913" xr:uid="{BC80DE80-928F-4628-8D76-FAF5DCDBFAD7}"/>
    <cellStyle name="Currency 3 2 5 4 2 3" xfId="12249" xr:uid="{F85CFA3D-CF03-44F3-84A9-28FC571F1973}"/>
    <cellStyle name="Currency 3 2 5 4 2 4" xfId="20696" xr:uid="{B07A4BB3-3E51-4550-9F09-61571FE47091}"/>
    <cellStyle name="Currency 3 2 5 4 3" xfId="5880" xr:uid="{00000000-0005-0000-0000-00004F0B0000}"/>
    <cellStyle name="Currency 3 2 5 4 3 2" xfId="14322" xr:uid="{D9AFD439-E26F-43B8-BA01-2B5416333E38}"/>
    <cellStyle name="Currency 3 2 5 4 3 3" xfId="22768" xr:uid="{3A84BD75-F228-44BF-BC22-4C32908A9FAD}"/>
    <cellStyle name="Currency 3 2 5 4 4" xfId="10104" xr:uid="{61C07F71-080A-4396-BFB0-43A81B1A1072}"/>
    <cellStyle name="Currency 3 2 5 4 5" xfId="18549" xr:uid="{F88591EA-7DC0-48FF-8E42-D85CF2A46149}"/>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A2FD1130-434C-424C-ADB7-437958BBC36C}"/>
    <cellStyle name="Currency 3 2 5 5 2 2 3" xfId="25326" xr:uid="{77A6E4F4-7F6F-4263-AAE7-AA3D0037540A}"/>
    <cellStyle name="Currency 3 2 5 5 2 3" xfId="12662" xr:uid="{DFBA90B3-8A8F-42EC-BB79-62A1167BD627}"/>
    <cellStyle name="Currency 3 2 5 5 2 4" xfId="21109" xr:uid="{F496D97D-44A7-4C76-B744-8ECFA7887A8E}"/>
    <cellStyle name="Currency 3 2 5 5 3" xfId="6293" xr:uid="{00000000-0005-0000-0000-0000530B0000}"/>
    <cellStyle name="Currency 3 2 5 5 3 2" xfId="14735" xr:uid="{892BC894-6D1C-4438-89A6-3ED7995EACD6}"/>
    <cellStyle name="Currency 3 2 5 5 3 3" xfId="23181" xr:uid="{4838C800-EB75-4FBD-9FF0-7C8C6239A337}"/>
    <cellStyle name="Currency 3 2 5 5 4" xfId="10517" xr:uid="{BEC116A6-3C3B-4C50-9C9E-FBF67738F3BD}"/>
    <cellStyle name="Currency 3 2 5 5 5" xfId="18962" xr:uid="{BC07AFBE-17EE-4830-895F-328C35E66547}"/>
    <cellStyle name="Currency 3 2 5 6" xfId="2421" xr:uid="{00000000-0005-0000-0000-0000540B0000}"/>
    <cellStyle name="Currency 3 2 5 6 2" xfId="6706" xr:uid="{00000000-0005-0000-0000-0000550B0000}"/>
    <cellStyle name="Currency 3 2 5 6 2 2" xfId="15148" xr:uid="{51109B00-C7C5-4382-B065-A997B4286B62}"/>
    <cellStyle name="Currency 3 2 5 6 2 3" xfId="23594" xr:uid="{3403D061-4348-476C-8498-1814804A5FE2}"/>
    <cellStyle name="Currency 3 2 5 6 3" xfId="10930" xr:uid="{D2948F1E-A228-49A8-9053-90E21A8201D6}"/>
    <cellStyle name="Currency 3 2 5 6 4" xfId="19375" xr:uid="{1073C480-A59F-438A-A843-1733AC41B122}"/>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9A6C811E-5414-4F56-A337-3CEB06F6A311}"/>
    <cellStyle name="Currency 3 2 5 8 2 3" xfId="23911" xr:uid="{FFCD9398-511F-4DAA-952B-F06F47B2E8A9}"/>
    <cellStyle name="Currency 3 2 5 8 3" xfId="11247" xr:uid="{36A20F2B-244C-4ED5-A8B7-13D5056F2E4B}"/>
    <cellStyle name="Currency 3 2 5 8 4" xfId="19694" xr:uid="{5FA1D9B0-3928-40DB-B6E4-948816348505}"/>
    <cellStyle name="Currency 3 2 5 9" xfId="4640" xr:uid="{00000000-0005-0000-0000-0000590B0000}"/>
    <cellStyle name="Currency 3 2 5 9 2" xfId="13082" xr:uid="{3577B643-4FA6-4F47-928B-6AF45EE5AD21}"/>
    <cellStyle name="Currency 3 2 5 9 3" xfId="21528" xr:uid="{71D863BA-B4F8-4246-BC33-3B719436B7D7}"/>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D113E1E2-15D8-4370-AB87-E34224ADC6AC}"/>
    <cellStyle name="Currency 5 2 2 2 10 2 3" xfId="23912" xr:uid="{0116290D-0169-4F35-A2BA-0BAF989F9DF6}"/>
    <cellStyle name="Currency 5 2 2 2 10 3" xfId="11248" xr:uid="{57A474CF-CC1E-4FAF-9E80-CF793C2C1D2D}"/>
    <cellStyle name="Currency 5 2 2 2 10 4" xfId="19695" xr:uid="{A61CC0A2-6C22-4730-B778-6D0BF623E5A8}"/>
    <cellStyle name="Currency 5 2 2 2 11" xfId="4641" xr:uid="{00000000-0005-0000-0000-00006C0B0000}"/>
    <cellStyle name="Currency 5 2 2 2 11 2" xfId="13083" xr:uid="{3A5BE547-A5D7-4940-A7FE-7684B72476E7}"/>
    <cellStyle name="Currency 5 2 2 2 11 3" xfId="21529" xr:uid="{2AAE23D0-45F0-4754-B205-53FEC5A81050}"/>
    <cellStyle name="Currency 5 2 2 2 12" xfId="8865" xr:uid="{32B248EE-F9F8-4DE3-9B29-EB6E2117C809}"/>
    <cellStyle name="Currency 5 2 2 2 13" xfId="17308" xr:uid="{97D9B1C2-3834-4219-AC32-67CB4F2BE409}"/>
    <cellStyle name="Currency 5 2 2 2 2" xfId="197" xr:uid="{00000000-0005-0000-0000-00006D0B0000}"/>
    <cellStyle name="Currency 5 2 2 2 2 10" xfId="4642" xr:uid="{00000000-0005-0000-0000-00006E0B0000}"/>
    <cellStyle name="Currency 5 2 2 2 2 10 2" xfId="13084" xr:uid="{51097D46-9A79-4657-9349-19C90E4B3403}"/>
    <cellStyle name="Currency 5 2 2 2 2 10 3" xfId="21530" xr:uid="{5FEF09B5-DDB5-410E-B14A-4581E2AB8B65}"/>
    <cellStyle name="Currency 5 2 2 2 2 11" xfId="8866" xr:uid="{1F1C5856-473C-4FB0-B747-C80CECF2FB12}"/>
    <cellStyle name="Currency 5 2 2 2 2 12" xfId="17309" xr:uid="{77A322BB-D57D-45A5-A373-ABFDA2D4702C}"/>
    <cellStyle name="Currency 5 2 2 2 2 2" xfId="198" xr:uid="{00000000-0005-0000-0000-00006F0B0000}"/>
    <cellStyle name="Currency 5 2 2 2 2 2 10" xfId="8867" xr:uid="{A9E01EA5-C437-4497-B2CD-7736C09A2191}"/>
    <cellStyle name="Currency 5 2 2 2 2 2 11" xfId="17310" xr:uid="{85B81098-E602-4210-B2C6-C999806B3F8F}"/>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FFEA2CFE-107F-4C21-803F-97C27776B070}"/>
    <cellStyle name="Currency 5 2 2 2 2 2 2 2 2 3" xfId="24090" xr:uid="{F8D50BBF-A622-448A-BF19-FB9063EC35C1}"/>
    <cellStyle name="Currency 5 2 2 2 2 2 2 2 3" xfId="11426" xr:uid="{4CCB5A63-ABAC-471D-884C-6943AB930F73}"/>
    <cellStyle name="Currency 5 2 2 2 2 2 2 2 4" xfId="19873" xr:uid="{6E33182B-B7AE-442E-A29D-21577CE77B7F}"/>
    <cellStyle name="Currency 5 2 2 2 2 2 2 3" xfId="5057" xr:uid="{00000000-0005-0000-0000-0000730B0000}"/>
    <cellStyle name="Currency 5 2 2 2 2 2 2 3 2" xfId="13499" xr:uid="{92D10BA9-C316-40BA-8750-F230FD5CF2D9}"/>
    <cellStyle name="Currency 5 2 2 2 2 2 2 3 3" xfId="21945" xr:uid="{C0E37E37-5138-4E74-AC47-9FAD6E1973DE}"/>
    <cellStyle name="Currency 5 2 2 2 2 2 2 4" xfId="9281" xr:uid="{84E690D3-53E1-460E-A364-9651C35933BE}"/>
    <cellStyle name="Currency 5 2 2 2 2 2 2 5" xfId="17726" xr:uid="{AB28B87B-CCBC-419C-B0E5-1750A1ED6D0B}"/>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F2F8508C-99DC-4BE0-B005-FF23F983B9E1}"/>
    <cellStyle name="Currency 5 2 2 2 2 2 3 2 2 3" xfId="24503" xr:uid="{6AB0918C-2E56-438D-90B9-075A2C6910F5}"/>
    <cellStyle name="Currency 5 2 2 2 2 2 3 2 3" xfId="11839" xr:uid="{AC890187-88E7-4165-A9C5-CB23E0617E08}"/>
    <cellStyle name="Currency 5 2 2 2 2 2 3 2 4" xfId="20286" xr:uid="{EBB24580-A723-4B04-861B-C73AC05F6963}"/>
    <cellStyle name="Currency 5 2 2 2 2 2 3 3" xfId="5470" xr:uid="{00000000-0005-0000-0000-0000770B0000}"/>
    <cellStyle name="Currency 5 2 2 2 2 2 3 3 2" xfId="13912" xr:uid="{953C9FFD-8FD2-40FF-B273-A478426ACA29}"/>
    <cellStyle name="Currency 5 2 2 2 2 2 3 3 3" xfId="22358" xr:uid="{D11C392E-6A70-47C2-8A6C-3EDE80282119}"/>
    <cellStyle name="Currency 5 2 2 2 2 2 3 4" xfId="9694" xr:uid="{BD0A6A1B-89E3-4A28-80D8-DE425717F534}"/>
    <cellStyle name="Currency 5 2 2 2 2 2 3 5" xfId="18139" xr:uid="{64420CC2-51D4-4B4B-8C41-704CCB47CD6A}"/>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EC8B0CD8-E284-475D-9E39-7E595A766792}"/>
    <cellStyle name="Currency 5 2 2 2 2 2 4 2 2 3" xfId="24916" xr:uid="{BD602B92-5CF2-4FDA-95A2-4E8F9EFBF9D2}"/>
    <cellStyle name="Currency 5 2 2 2 2 2 4 2 3" xfId="12252" xr:uid="{405D6833-8885-4A33-9DB8-FA51338F2827}"/>
    <cellStyle name="Currency 5 2 2 2 2 2 4 2 4" xfId="20699" xr:uid="{F6F5825D-9D7A-48AA-839D-D87AC1760053}"/>
    <cellStyle name="Currency 5 2 2 2 2 2 4 3" xfId="5883" xr:uid="{00000000-0005-0000-0000-00007B0B0000}"/>
    <cellStyle name="Currency 5 2 2 2 2 2 4 3 2" xfId="14325" xr:uid="{D7F1F20B-2A55-4A4B-A838-344811047765}"/>
    <cellStyle name="Currency 5 2 2 2 2 2 4 3 3" xfId="22771" xr:uid="{C3B03CA5-87D3-46F8-8A26-15180466838F}"/>
    <cellStyle name="Currency 5 2 2 2 2 2 4 4" xfId="10107" xr:uid="{C6C0855F-B847-45ED-B88E-2BD812325534}"/>
    <cellStyle name="Currency 5 2 2 2 2 2 4 5" xfId="18552" xr:uid="{FD682C1E-7BCA-4D6B-B477-F145B2B40ABA}"/>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AE0C87AC-7A6C-40BA-87F5-F7D6B2EF72AA}"/>
    <cellStyle name="Currency 5 2 2 2 2 2 5 2 2 3" xfId="25329" xr:uid="{8F0582AE-B595-4B78-95A2-F4F8259A8118}"/>
    <cellStyle name="Currency 5 2 2 2 2 2 5 2 3" xfId="12665" xr:uid="{234DFBA5-C36B-4299-883F-D4C13ED91149}"/>
    <cellStyle name="Currency 5 2 2 2 2 2 5 2 4" xfId="21112" xr:uid="{681825CF-5B19-4B7B-8221-59103EDD5202}"/>
    <cellStyle name="Currency 5 2 2 2 2 2 5 3" xfId="6296" xr:uid="{00000000-0005-0000-0000-00007F0B0000}"/>
    <cellStyle name="Currency 5 2 2 2 2 2 5 3 2" xfId="14738" xr:uid="{BA989893-A3BC-4236-8CA7-C9E0827C22E8}"/>
    <cellStyle name="Currency 5 2 2 2 2 2 5 3 3" xfId="23184" xr:uid="{5CA376DE-ACB1-4EBB-89B0-6E7803EF7A43}"/>
    <cellStyle name="Currency 5 2 2 2 2 2 5 4" xfId="10520" xr:uid="{D0963B69-A25F-4D38-A764-DB1F4A9E7B54}"/>
    <cellStyle name="Currency 5 2 2 2 2 2 5 5" xfId="18965" xr:uid="{12FA184F-4656-416C-8967-8804D705C1CC}"/>
    <cellStyle name="Currency 5 2 2 2 2 2 6" xfId="2424" xr:uid="{00000000-0005-0000-0000-0000800B0000}"/>
    <cellStyle name="Currency 5 2 2 2 2 2 6 2" xfId="6709" xr:uid="{00000000-0005-0000-0000-0000810B0000}"/>
    <cellStyle name="Currency 5 2 2 2 2 2 6 2 2" xfId="15151" xr:uid="{6EC15104-C708-44AD-8D96-2A04602906EC}"/>
    <cellStyle name="Currency 5 2 2 2 2 2 6 2 3" xfId="23597" xr:uid="{C3EACDD4-1BA0-4ACE-8892-8026158FC08E}"/>
    <cellStyle name="Currency 5 2 2 2 2 2 6 3" xfId="10933" xr:uid="{D6DE7259-09B7-4A9A-A466-3CB900AE7043}"/>
    <cellStyle name="Currency 5 2 2 2 2 2 6 4" xfId="19378" xr:uid="{380C3159-2565-41F7-8691-88763C635B86}"/>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FA3B1105-8E65-45A2-8B3B-842A2A51F8E5}"/>
    <cellStyle name="Currency 5 2 2 2 2 2 8 2 3" xfId="23914" xr:uid="{C440773A-2DA5-4DD4-9028-977E8C50A2FB}"/>
    <cellStyle name="Currency 5 2 2 2 2 2 8 3" xfId="11250" xr:uid="{744F0943-9406-4B6E-B53F-CE3C11A17917}"/>
    <cellStyle name="Currency 5 2 2 2 2 2 8 4" xfId="19697" xr:uid="{CD87BF07-1F8D-44D7-AC0A-B8F744AE5F68}"/>
    <cellStyle name="Currency 5 2 2 2 2 2 9" xfId="4643" xr:uid="{00000000-0005-0000-0000-0000850B0000}"/>
    <cellStyle name="Currency 5 2 2 2 2 2 9 2" xfId="13085" xr:uid="{2EFB0A11-2696-4E20-A14A-B4C7B86622EB}"/>
    <cellStyle name="Currency 5 2 2 2 2 2 9 3" xfId="21531" xr:uid="{470B5780-D431-4276-AA0F-F3CD9D2CE325}"/>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32A47EB2-D611-4DFB-8E4B-C4F5C5631EF9}"/>
    <cellStyle name="Currency 5 2 2 2 2 3 2 2 3" xfId="24089" xr:uid="{1EE62BEB-ECFF-40FB-AD87-488A8A01AA48}"/>
    <cellStyle name="Currency 5 2 2 2 2 3 2 3" xfId="11425" xr:uid="{8618FE97-7F8B-4AB4-8262-A16179FEAF48}"/>
    <cellStyle name="Currency 5 2 2 2 2 3 2 4" xfId="19872" xr:uid="{B7839A4B-8031-4978-A993-EDB8017EB2C3}"/>
    <cellStyle name="Currency 5 2 2 2 2 3 3" xfId="5056" xr:uid="{00000000-0005-0000-0000-0000890B0000}"/>
    <cellStyle name="Currency 5 2 2 2 2 3 3 2" xfId="13498" xr:uid="{D8C7490C-F563-4506-B33D-9840525831C9}"/>
    <cellStyle name="Currency 5 2 2 2 2 3 3 3" xfId="21944" xr:uid="{A2FFAA6A-0CA8-4461-BA24-521AE93C0380}"/>
    <cellStyle name="Currency 5 2 2 2 2 3 4" xfId="9280" xr:uid="{9F88AC57-B0CA-4DB7-95CC-902255B778A4}"/>
    <cellStyle name="Currency 5 2 2 2 2 3 5" xfId="17725" xr:uid="{FC24E692-79B6-416B-B141-88126C262ADF}"/>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9C744F97-F23E-4999-906E-269206F5C931}"/>
    <cellStyle name="Currency 5 2 2 2 2 4 2 2 3" xfId="24502" xr:uid="{EE297A54-7E65-499A-918D-6BD6E49E7EC5}"/>
    <cellStyle name="Currency 5 2 2 2 2 4 2 3" xfId="11838" xr:uid="{89FA9ACF-56C9-4D6D-8216-ADA6E04AEFCA}"/>
    <cellStyle name="Currency 5 2 2 2 2 4 2 4" xfId="20285" xr:uid="{84914019-BB18-403D-8ACC-DEEE30AE21B0}"/>
    <cellStyle name="Currency 5 2 2 2 2 4 3" xfId="5469" xr:uid="{00000000-0005-0000-0000-00008D0B0000}"/>
    <cellStyle name="Currency 5 2 2 2 2 4 3 2" xfId="13911" xr:uid="{2215A452-D442-4E9C-933B-BD26E6EE61EC}"/>
    <cellStyle name="Currency 5 2 2 2 2 4 3 3" xfId="22357" xr:uid="{C939A40E-4C87-4DE0-8D92-D425B105B2F8}"/>
    <cellStyle name="Currency 5 2 2 2 2 4 4" xfId="9693" xr:uid="{B390E838-E12B-48E7-9269-0F212099A161}"/>
    <cellStyle name="Currency 5 2 2 2 2 4 5" xfId="18138" xr:uid="{D165187E-341A-4386-927C-09AC6AA659F7}"/>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435C6D24-A729-4B58-98F7-7B0109061C4B}"/>
    <cellStyle name="Currency 5 2 2 2 2 5 2 2 3" xfId="24915" xr:uid="{4C0E6F17-C716-4C9D-8177-3EE2E7B95F07}"/>
    <cellStyle name="Currency 5 2 2 2 2 5 2 3" xfId="12251" xr:uid="{40D5FF03-BF5E-4ADC-96C2-AD3AF7ECDFF2}"/>
    <cellStyle name="Currency 5 2 2 2 2 5 2 4" xfId="20698" xr:uid="{D0C0B36F-9372-41E5-9D9B-41CB0098F1CA}"/>
    <cellStyle name="Currency 5 2 2 2 2 5 3" xfId="5882" xr:uid="{00000000-0005-0000-0000-0000910B0000}"/>
    <cellStyle name="Currency 5 2 2 2 2 5 3 2" xfId="14324" xr:uid="{AC18E6EA-EAEA-48F9-ADAF-BA457E6292EE}"/>
    <cellStyle name="Currency 5 2 2 2 2 5 3 3" xfId="22770" xr:uid="{7ED09F3A-988C-40C5-9424-7DE2A6E8A583}"/>
    <cellStyle name="Currency 5 2 2 2 2 5 4" xfId="10106" xr:uid="{30FDCAFA-9432-4A4F-B4CB-C75DA66E58CD}"/>
    <cellStyle name="Currency 5 2 2 2 2 5 5" xfId="18551" xr:uid="{0BF3755F-1CA6-477E-9396-F38795D849F1}"/>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4534B8B3-67AE-491D-AB72-71FB320A6DAF}"/>
    <cellStyle name="Currency 5 2 2 2 2 6 2 2 3" xfId="25328" xr:uid="{D93561DB-67D6-4335-B3A4-F23975B34AF0}"/>
    <cellStyle name="Currency 5 2 2 2 2 6 2 3" xfId="12664" xr:uid="{496317FE-0A1D-4590-AFE0-058F6B507761}"/>
    <cellStyle name="Currency 5 2 2 2 2 6 2 4" xfId="21111" xr:uid="{D086F44B-3D31-4CAB-B769-3EC25040E413}"/>
    <cellStyle name="Currency 5 2 2 2 2 6 3" xfId="6295" xr:uid="{00000000-0005-0000-0000-0000950B0000}"/>
    <cellStyle name="Currency 5 2 2 2 2 6 3 2" xfId="14737" xr:uid="{DA2CF4C7-DB79-4FC0-A499-3F73DC789964}"/>
    <cellStyle name="Currency 5 2 2 2 2 6 3 3" xfId="23183" xr:uid="{714A999C-BBA9-40D3-8E5F-8110D38B0658}"/>
    <cellStyle name="Currency 5 2 2 2 2 6 4" xfId="10519" xr:uid="{79FADF12-6E0F-45E0-99EF-9EC42C83700B}"/>
    <cellStyle name="Currency 5 2 2 2 2 6 5" xfId="18964" xr:uid="{873A9E18-4F06-4AB0-A066-D45B3851A4BB}"/>
    <cellStyle name="Currency 5 2 2 2 2 7" xfId="2423" xr:uid="{00000000-0005-0000-0000-0000960B0000}"/>
    <cellStyle name="Currency 5 2 2 2 2 7 2" xfId="6708" xr:uid="{00000000-0005-0000-0000-0000970B0000}"/>
    <cellStyle name="Currency 5 2 2 2 2 7 2 2" xfId="15150" xr:uid="{B7C7BB4E-B37F-4A23-BDA5-91D1A4F2BF97}"/>
    <cellStyle name="Currency 5 2 2 2 2 7 2 3" xfId="23596" xr:uid="{7B8061A1-1FB0-4A51-8FE3-159EBF05D7E3}"/>
    <cellStyle name="Currency 5 2 2 2 2 7 3" xfId="10932" xr:uid="{BFE1FF6A-8D8F-4E2E-8989-2481A05DE8E2}"/>
    <cellStyle name="Currency 5 2 2 2 2 7 4" xfId="19377" xr:uid="{3ED0624F-63DD-464C-8C99-43A76F6A7FFB}"/>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4853F702-6D2E-401A-9B7E-78AE4F5AF975}"/>
    <cellStyle name="Currency 5 2 2 2 2 9 2 3" xfId="23913" xr:uid="{42000D8F-8679-48A8-8201-072211417CEA}"/>
    <cellStyle name="Currency 5 2 2 2 2 9 3" xfId="11249" xr:uid="{7A3BEC4A-4A87-45F7-BEF6-C729F9BB6492}"/>
    <cellStyle name="Currency 5 2 2 2 2 9 4" xfId="19696" xr:uid="{A14FAF76-6FC7-47FB-879A-EDADD1C1CFD2}"/>
    <cellStyle name="Currency 5 2 2 2 3" xfId="199" xr:uid="{00000000-0005-0000-0000-00009B0B0000}"/>
    <cellStyle name="Currency 5 2 2 2 3 10" xfId="8868" xr:uid="{9132D4D2-B0EA-49EE-99DE-E6FBAEDA0FA2}"/>
    <cellStyle name="Currency 5 2 2 2 3 11" xfId="17311" xr:uid="{C7E66F44-CB8F-4C5B-987A-499373F1C00B}"/>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E263791D-2825-4838-B614-559D35DF83E5}"/>
    <cellStyle name="Currency 5 2 2 2 3 2 2 2 3" xfId="24091" xr:uid="{7A256923-BBE4-4909-9D4E-BAFDA7B75173}"/>
    <cellStyle name="Currency 5 2 2 2 3 2 2 3" xfId="11427" xr:uid="{19B406AD-528B-4B71-B011-88D4E49D3CBC}"/>
    <cellStyle name="Currency 5 2 2 2 3 2 2 4" xfId="19874" xr:uid="{4C9F07F6-A2E7-470B-B50C-EBE4718A7767}"/>
    <cellStyle name="Currency 5 2 2 2 3 2 3" xfId="5058" xr:uid="{00000000-0005-0000-0000-00009F0B0000}"/>
    <cellStyle name="Currency 5 2 2 2 3 2 3 2" xfId="13500" xr:uid="{BD9995D4-DB51-4DF9-BDF5-5F49984C1E70}"/>
    <cellStyle name="Currency 5 2 2 2 3 2 3 3" xfId="21946" xr:uid="{04C3AD8C-6DE3-4C1D-B294-A12AF41AFD9B}"/>
    <cellStyle name="Currency 5 2 2 2 3 2 4" xfId="9282" xr:uid="{E7AA3862-D7D8-4A93-89F0-957E6BA1F60E}"/>
    <cellStyle name="Currency 5 2 2 2 3 2 5" xfId="17727" xr:uid="{72A5A277-2C2B-4EE6-B0D3-D579C5F46C0F}"/>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B948C14A-B43C-40F1-9344-B8FA460185FA}"/>
    <cellStyle name="Currency 5 2 2 2 3 3 2 2 3" xfId="24504" xr:uid="{F18775C7-B009-400D-8507-66199CDA9126}"/>
    <cellStyle name="Currency 5 2 2 2 3 3 2 3" xfId="11840" xr:uid="{F56B6B05-4C09-4CAD-8239-81AACC35B120}"/>
    <cellStyle name="Currency 5 2 2 2 3 3 2 4" xfId="20287" xr:uid="{53D1ADF1-1648-4A3A-A5E8-1E2F1CAF9EC5}"/>
    <cellStyle name="Currency 5 2 2 2 3 3 3" xfId="5471" xr:uid="{00000000-0005-0000-0000-0000A30B0000}"/>
    <cellStyle name="Currency 5 2 2 2 3 3 3 2" xfId="13913" xr:uid="{8A6F7F6F-D841-4839-BC19-5E92B913C3FF}"/>
    <cellStyle name="Currency 5 2 2 2 3 3 3 3" xfId="22359" xr:uid="{980D2073-FFEE-469D-942E-2D97C7FEC8AF}"/>
    <cellStyle name="Currency 5 2 2 2 3 3 4" xfId="9695" xr:uid="{051A0FA9-9431-4816-8078-7CF92FE48319}"/>
    <cellStyle name="Currency 5 2 2 2 3 3 5" xfId="18140" xr:uid="{DC185D71-A090-43E2-83DA-946EC7165289}"/>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B57BE7CF-26F5-429C-B41E-CBF90F3ED65C}"/>
    <cellStyle name="Currency 5 2 2 2 3 4 2 2 3" xfId="24917" xr:uid="{CEC23A56-49CD-4B01-BCB2-D47E5F67F6D2}"/>
    <cellStyle name="Currency 5 2 2 2 3 4 2 3" xfId="12253" xr:uid="{C2F8DFA6-1D6E-4226-894D-FC5E74FE7D7F}"/>
    <cellStyle name="Currency 5 2 2 2 3 4 2 4" xfId="20700" xr:uid="{E32BE07F-ECC5-49FC-BF4C-BA56FD0C097F}"/>
    <cellStyle name="Currency 5 2 2 2 3 4 3" xfId="5884" xr:uid="{00000000-0005-0000-0000-0000A70B0000}"/>
    <cellStyle name="Currency 5 2 2 2 3 4 3 2" xfId="14326" xr:uid="{6EA017E5-2C98-4DA6-BFAF-90BE49F27B2C}"/>
    <cellStyle name="Currency 5 2 2 2 3 4 3 3" xfId="22772" xr:uid="{B3B2BBC5-6135-4488-AFBB-B6C2855680E3}"/>
    <cellStyle name="Currency 5 2 2 2 3 4 4" xfId="10108" xr:uid="{7681F5D7-04CD-4A65-9045-6432E70BBA57}"/>
    <cellStyle name="Currency 5 2 2 2 3 4 5" xfId="18553" xr:uid="{FF39C5D2-A3B6-46C3-86EE-D01E8201B34B}"/>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B0BD9847-C73F-4B11-8F45-256F450E8744}"/>
    <cellStyle name="Currency 5 2 2 2 3 5 2 2 3" xfId="25330" xr:uid="{B15C2ECE-072F-499A-8EB2-C4E8631B8652}"/>
    <cellStyle name="Currency 5 2 2 2 3 5 2 3" xfId="12666" xr:uid="{A49DE67B-DA96-470A-BEDB-7B8F4296F8D0}"/>
    <cellStyle name="Currency 5 2 2 2 3 5 2 4" xfId="21113" xr:uid="{7036C0D2-90FD-4C43-8D78-22D71B7B9F57}"/>
    <cellStyle name="Currency 5 2 2 2 3 5 3" xfId="6297" xr:uid="{00000000-0005-0000-0000-0000AB0B0000}"/>
    <cellStyle name="Currency 5 2 2 2 3 5 3 2" xfId="14739" xr:uid="{56A0FDE2-5088-4E6D-AE5E-AACAE869D1BF}"/>
    <cellStyle name="Currency 5 2 2 2 3 5 3 3" xfId="23185" xr:uid="{733C1306-F052-4EEF-9EE0-3DC967656BAC}"/>
    <cellStyle name="Currency 5 2 2 2 3 5 4" xfId="10521" xr:uid="{DF1CF67D-791D-4E72-B600-89F405A48187}"/>
    <cellStyle name="Currency 5 2 2 2 3 5 5" xfId="18966" xr:uid="{7475BC58-DC87-4042-8FD8-EBB018F12CBD}"/>
    <cellStyle name="Currency 5 2 2 2 3 6" xfId="2425" xr:uid="{00000000-0005-0000-0000-0000AC0B0000}"/>
    <cellStyle name="Currency 5 2 2 2 3 6 2" xfId="6710" xr:uid="{00000000-0005-0000-0000-0000AD0B0000}"/>
    <cellStyle name="Currency 5 2 2 2 3 6 2 2" xfId="15152" xr:uid="{859D43EE-BD0E-4D1E-A746-E8657CAAA63B}"/>
    <cellStyle name="Currency 5 2 2 2 3 6 2 3" xfId="23598" xr:uid="{D458E318-744C-4818-A6CE-97C076AD6030}"/>
    <cellStyle name="Currency 5 2 2 2 3 6 3" xfId="10934" xr:uid="{B7841821-AAC2-4A4C-B8FB-8104FBDF4D97}"/>
    <cellStyle name="Currency 5 2 2 2 3 6 4" xfId="19379" xr:uid="{F3AD48F1-0264-4A2B-898C-6C703A9A38B7}"/>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CBF4BF12-CF46-4841-9F2A-17F024837F1C}"/>
    <cellStyle name="Currency 5 2 2 2 3 8 2 3" xfId="23915" xr:uid="{A3B1DFD5-182E-4522-B613-F3BC61A06195}"/>
    <cellStyle name="Currency 5 2 2 2 3 8 3" xfId="11251" xr:uid="{45FC7DF9-205E-4C27-B6BA-747AE66D977C}"/>
    <cellStyle name="Currency 5 2 2 2 3 8 4" xfId="19698" xr:uid="{747BB619-4350-416A-8B15-9F4099D65F81}"/>
    <cellStyle name="Currency 5 2 2 2 3 9" xfId="4644" xr:uid="{00000000-0005-0000-0000-0000B10B0000}"/>
    <cellStyle name="Currency 5 2 2 2 3 9 2" xfId="13086" xr:uid="{8F8A8C0C-0FD8-40DF-BD15-F9125F3EC588}"/>
    <cellStyle name="Currency 5 2 2 2 3 9 3" xfId="21532" xr:uid="{0A64843B-97C3-4C73-9206-F20DB3D51106}"/>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C42C829D-D7B7-4772-8A56-46D2221CBF99}"/>
    <cellStyle name="Currency 5 2 2 2 4 2 2 3" xfId="24088" xr:uid="{24DAFCF4-3481-40F8-AFDA-2A009E239563}"/>
    <cellStyle name="Currency 5 2 2 2 4 2 3" xfId="11424" xr:uid="{108D3930-6187-4B5C-B36C-4D4282C89ED0}"/>
    <cellStyle name="Currency 5 2 2 2 4 2 4" xfId="19871" xr:uid="{7A366E98-F98A-4F25-B9EC-9C3E9F57BBDD}"/>
    <cellStyle name="Currency 5 2 2 2 4 3" xfId="5055" xr:uid="{00000000-0005-0000-0000-0000B50B0000}"/>
    <cellStyle name="Currency 5 2 2 2 4 3 2" xfId="13497" xr:uid="{F0073530-423D-46FE-99F1-2F7CA20E18CF}"/>
    <cellStyle name="Currency 5 2 2 2 4 3 3" xfId="21943" xr:uid="{7DC94285-521C-4135-925C-3530AF8402FD}"/>
    <cellStyle name="Currency 5 2 2 2 4 4" xfId="9279" xr:uid="{7715315D-5137-4691-B2EA-45DDF0784486}"/>
    <cellStyle name="Currency 5 2 2 2 4 5" xfId="17724" xr:uid="{4E7F927B-40EC-42FE-B205-AF0DBBD6CA5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E5F9069A-C806-4183-B0B4-A57739F00AB9}"/>
    <cellStyle name="Currency 5 2 2 2 5 2 2 3" xfId="24501" xr:uid="{6AE57F10-14A8-48ED-91E9-AE5AE0233CB1}"/>
    <cellStyle name="Currency 5 2 2 2 5 2 3" xfId="11837" xr:uid="{BBF8DF57-5DE8-4C33-88FA-EA7CC0CDC494}"/>
    <cellStyle name="Currency 5 2 2 2 5 2 4" xfId="20284" xr:uid="{ED7761DB-F14B-415C-8216-9565B8DFA60F}"/>
    <cellStyle name="Currency 5 2 2 2 5 3" xfId="5468" xr:uid="{00000000-0005-0000-0000-0000B90B0000}"/>
    <cellStyle name="Currency 5 2 2 2 5 3 2" xfId="13910" xr:uid="{7517F461-478E-460B-BB8B-D6AA8F1CE441}"/>
    <cellStyle name="Currency 5 2 2 2 5 3 3" xfId="22356" xr:uid="{C3DF97D5-3C8A-4834-8F98-F416BEE2D24B}"/>
    <cellStyle name="Currency 5 2 2 2 5 4" xfId="9692" xr:uid="{3EDD48B7-BDEF-4267-86B4-FF71F2C50ED0}"/>
    <cellStyle name="Currency 5 2 2 2 5 5" xfId="18137" xr:uid="{9DF15997-5036-4D8A-8454-38F498693393}"/>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07BDB1D8-4C9E-4E3C-B466-D0F7BA45E56D}"/>
    <cellStyle name="Currency 5 2 2 2 6 2 2 3" xfId="24914" xr:uid="{7E3F0176-8582-41A2-B415-15BF9348FDE3}"/>
    <cellStyle name="Currency 5 2 2 2 6 2 3" xfId="12250" xr:uid="{4290C6DF-521D-44CF-9D4F-983F742D4558}"/>
    <cellStyle name="Currency 5 2 2 2 6 2 4" xfId="20697" xr:uid="{D5A25502-DAC0-4486-AF96-5455CA557032}"/>
    <cellStyle name="Currency 5 2 2 2 6 3" xfId="5881" xr:uid="{00000000-0005-0000-0000-0000BD0B0000}"/>
    <cellStyle name="Currency 5 2 2 2 6 3 2" xfId="14323" xr:uid="{FD2D82D7-C2A9-4699-9B5E-DEC7F3D8552F}"/>
    <cellStyle name="Currency 5 2 2 2 6 3 3" xfId="22769" xr:uid="{62272CD4-6E0D-4F39-9536-B2C944FC7A3C}"/>
    <cellStyle name="Currency 5 2 2 2 6 4" xfId="10105" xr:uid="{6BC182DA-BF34-43C9-B7DA-4D26B88B47BA}"/>
    <cellStyle name="Currency 5 2 2 2 6 5" xfId="18550" xr:uid="{302A6E7C-B56C-4650-9A79-C78C23915DB4}"/>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E3E890B9-E38B-43E0-B0EC-CE00FA895723}"/>
    <cellStyle name="Currency 5 2 2 2 7 2 2 3" xfId="25327" xr:uid="{A0E623DD-A66B-4C1D-9F17-E6B622856A3D}"/>
    <cellStyle name="Currency 5 2 2 2 7 2 3" xfId="12663" xr:uid="{0D51A650-9C5A-47D0-8828-2F31682EDC29}"/>
    <cellStyle name="Currency 5 2 2 2 7 2 4" xfId="21110" xr:uid="{A3484D19-82E8-460E-99F0-20B5A32C9EBB}"/>
    <cellStyle name="Currency 5 2 2 2 7 3" xfId="6294" xr:uid="{00000000-0005-0000-0000-0000C10B0000}"/>
    <cellStyle name="Currency 5 2 2 2 7 3 2" xfId="14736" xr:uid="{A8286E54-83A0-48BA-9E99-8A46F8A54A84}"/>
    <cellStyle name="Currency 5 2 2 2 7 3 3" xfId="23182" xr:uid="{5B5C5AF3-52BE-42CC-8174-4CF775FA9C6A}"/>
    <cellStyle name="Currency 5 2 2 2 7 4" xfId="10518" xr:uid="{E3139F4C-470B-4FFF-9E15-15104B283BC3}"/>
    <cellStyle name="Currency 5 2 2 2 7 5" xfId="18963" xr:uid="{205F1E14-812D-48F0-8958-6F8177180C07}"/>
    <cellStyle name="Currency 5 2 2 2 8" xfId="2422" xr:uid="{00000000-0005-0000-0000-0000C20B0000}"/>
    <cellStyle name="Currency 5 2 2 2 8 2" xfId="6707" xr:uid="{00000000-0005-0000-0000-0000C30B0000}"/>
    <cellStyle name="Currency 5 2 2 2 8 2 2" xfId="15149" xr:uid="{F591FA60-BEAB-4EFE-9AD4-5DFF4FCD2CC4}"/>
    <cellStyle name="Currency 5 2 2 2 8 2 3" xfId="23595" xr:uid="{B5FF35FB-9F66-4253-BE60-FA0712D02BC6}"/>
    <cellStyle name="Currency 5 2 2 2 8 3" xfId="10931" xr:uid="{DAF839CE-60B3-46A8-95CE-D583C0C9335C}"/>
    <cellStyle name="Currency 5 2 2 2 8 4" xfId="19376" xr:uid="{88014CC0-3216-45FA-8766-4C6512E74EDA}"/>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D0B03404-F765-4174-8606-8AE96D8F4564}"/>
    <cellStyle name="Currency 5 2 2 3 10 3" xfId="21533" xr:uid="{D3E995F2-B915-41CC-93F5-AEBB4EA1B50D}"/>
    <cellStyle name="Currency 5 2 2 3 11" xfId="8869" xr:uid="{BC6E318E-936B-42B3-B493-299C9622E7D5}"/>
    <cellStyle name="Currency 5 2 2 3 12" xfId="17312" xr:uid="{81FE05B4-88EB-4932-8916-E16F5E90E42A}"/>
    <cellStyle name="Currency 5 2 2 3 2" xfId="201" xr:uid="{00000000-0005-0000-0000-0000C70B0000}"/>
    <cellStyle name="Currency 5 2 2 3 2 10" xfId="8870" xr:uid="{66FFB800-72EA-4A79-B117-F1F8D03FA754}"/>
    <cellStyle name="Currency 5 2 2 3 2 11" xfId="17313" xr:uid="{4A59F69E-F18E-44CD-9B02-3220AAF29E3E}"/>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594A1573-65D8-4927-AE5A-256A2FC66336}"/>
    <cellStyle name="Currency 5 2 2 3 2 2 2 2 3" xfId="24093" xr:uid="{E0377F58-DBCE-4F11-9335-4206EE6DFD08}"/>
    <cellStyle name="Currency 5 2 2 3 2 2 2 3" xfId="11429" xr:uid="{4C0FCDF7-E3CB-4706-B71F-171CFC997808}"/>
    <cellStyle name="Currency 5 2 2 3 2 2 2 4" xfId="19876" xr:uid="{F6439515-97B5-44C8-A64D-22DDF4433F24}"/>
    <cellStyle name="Currency 5 2 2 3 2 2 3" xfId="5060" xr:uid="{00000000-0005-0000-0000-0000CB0B0000}"/>
    <cellStyle name="Currency 5 2 2 3 2 2 3 2" xfId="13502" xr:uid="{8674F409-A389-4F28-A9BD-151E35DA0AF0}"/>
    <cellStyle name="Currency 5 2 2 3 2 2 3 3" xfId="21948" xr:uid="{600BD909-3F1E-4E0B-B936-21A9EC8C9B00}"/>
    <cellStyle name="Currency 5 2 2 3 2 2 4" xfId="9284" xr:uid="{EA18FD33-D890-407F-A413-6B562E3ADB09}"/>
    <cellStyle name="Currency 5 2 2 3 2 2 5" xfId="17729" xr:uid="{C4764A8C-6052-45D7-AD6E-FF52E52D7811}"/>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99EA31CD-EC26-452F-B13F-8B197995C62B}"/>
    <cellStyle name="Currency 5 2 2 3 2 3 2 2 3" xfId="24506" xr:uid="{3FF355A4-5824-4A78-89CF-6EAC65BF8D3F}"/>
    <cellStyle name="Currency 5 2 2 3 2 3 2 3" xfId="11842" xr:uid="{9F54AE0B-202C-4819-91F8-B83A9E9D9A20}"/>
    <cellStyle name="Currency 5 2 2 3 2 3 2 4" xfId="20289" xr:uid="{4D8F6249-6FB2-4B8D-9805-B2B7BC48C957}"/>
    <cellStyle name="Currency 5 2 2 3 2 3 3" xfId="5473" xr:uid="{00000000-0005-0000-0000-0000CF0B0000}"/>
    <cellStyle name="Currency 5 2 2 3 2 3 3 2" xfId="13915" xr:uid="{E0943542-59D4-45B6-A056-F3C8D6300373}"/>
    <cellStyle name="Currency 5 2 2 3 2 3 3 3" xfId="22361" xr:uid="{3E71263A-3454-42B8-A1D5-24FBF63662E5}"/>
    <cellStyle name="Currency 5 2 2 3 2 3 4" xfId="9697" xr:uid="{F2343DFA-E644-434A-8DD3-E63F663AA38E}"/>
    <cellStyle name="Currency 5 2 2 3 2 3 5" xfId="18142" xr:uid="{F689AF6A-20C0-4EA8-8CEF-0E6C791EA557}"/>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3E56996F-9AC9-47CF-9CA5-86E20AAAF777}"/>
    <cellStyle name="Currency 5 2 2 3 2 4 2 2 3" xfId="24919" xr:uid="{17BA2B08-C6A2-46BD-8794-765825228B76}"/>
    <cellStyle name="Currency 5 2 2 3 2 4 2 3" xfId="12255" xr:uid="{7ED8A6C8-D9DF-4814-9F80-7524CBE23BB3}"/>
    <cellStyle name="Currency 5 2 2 3 2 4 2 4" xfId="20702" xr:uid="{30D487C6-2E26-4E3B-AB43-87BEECB0EFDD}"/>
    <cellStyle name="Currency 5 2 2 3 2 4 3" xfId="5886" xr:uid="{00000000-0005-0000-0000-0000D30B0000}"/>
    <cellStyle name="Currency 5 2 2 3 2 4 3 2" xfId="14328" xr:uid="{92615C78-6867-438B-9627-B0BA760A8A85}"/>
    <cellStyle name="Currency 5 2 2 3 2 4 3 3" xfId="22774" xr:uid="{38CFD479-774A-46BC-85A9-73AEC693FA39}"/>
    <cellStyle name="Currency 5 2 2 3 2 4 4" xfId="10110" xr:uid="{ADA6EA65-8B58-4BDA-8A90-849B6229DB08}"/>
    <cellStyle name="Currency 5 2 2 3 2 4 5" xfId="18555" xr:uid="{E8A3DBBB-4BD1-47B9-9032-8AE2024C753A}"/>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D0AB01C2-AD2B-4AF3-B714-77329A054447}"/>
    <cellStyle name="Currency 5 2 2 3 2 5 2 2 3" xfId="25332" xr:uid="{A8A57B3F-CB70-4080-87BF-851E407AF2B8}"/>
    <cellStyle name="Currency 5 2 2 3 2 5 2 3" xfId="12668" xr:uid="{7CB687C6-961A-409E-89F2-A3F092F157C3}"/>
    <cellStyle name="Currency 5 2 2 3 2 5 2 4" xfId="21115" xr:uid="{8CD940B9-F3B2-45F9-BED1-925A959352D6}"/>
    <cellStyle name="Currency 5 2 2 3 2 5 3" xfId="6299" xr:uid="{00000000-0005-0000-0000-0000D70B0000}"/>
    <cellStyle name="Currency 5 2 2 3 2 5 3 2" xfId="14741" xr:uid="{3486074A-8D7C-40C1-B21C-6878120EF12B}"/>
    <cellStyle name="Currency 5 2 2 3 2 5 3 3" xfId="23187" xr:uid="{19D9CB85-A1EA-4265-B3F8-A9C311096C93}"/>
    <cellStyle name="Currency 5 2 2 3 2 5 4" xfId="10523" xr:uid="{A2D85384-26B9-4B7B-9AD8-3A7D0850F2EF}"/>
    <cellStyle name="Currency 5 2 2 3 2 5 5" xfId="18968" xr:uid="{0AF0D106-ED46-4684-A2A5-37F4E2089842}"/>
    <cellStyle name="Currency 5 2 2 3 2 6" xfId="2427" xr:uid="{00000000-0005-0000-0000-0000D80B0000}"/>
    <cellStyle name="Currency 5 2 2 3 2 6 2" xfId="6712" xr:uid="{00000000-0005-0000-0000-0000D90B0000}"/>
    <cellStyle name="Currency 5 2 2 3 2 6 2 2" xfId="15154" xr:uid="{A200BB8E-0931-48CE-903E-A19B5E548AB3}"/>
    <cellStyle name="Currency 5 2 2 3 2 6 2 3" xfId="23600" xr:uid="{C66A4046-F989-45B4-909E-04D1FFB8A759}"/>
    <cellStyle name="Currency 5 2 2 3 2 6 3" xfId="10936" xr:uid="{36F72439-448B-47A9-9F86-748019966684}"/>
    <cellStyle name="Currency 5 2 2 3 2 6 4" xfId="19381" xr:uid="{9C139CE6-FA95-4C5F-9EB4-7A01ADEA515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BECA0227-0864-486C-9781-1515A8B45D31}"/>
    <cellStyle name="Currency 5 2 2 3 2 8 2 3" xfId="23917" xr:uid="{382C0ECA-CEF5-431B-8232-1F7933F70ED1}"/>
    <cellStyle name="Currency 5 2 2 3 2 8 3" xfId="11253" xr:uid="{E0BF3711-BBD1-4F74-AFCA-FED70DD2D307}"/>
    <cellStyle name="Currency 5 2 2 3 2 8 4" xfId="19700" xr:uid="{62620F13-9BB0-4B79-94BB-DA21312E9958}"/>
    <cellStyle name="Currency 5 2 2 3 2 9" xfId="4646" xr:uid="{00000000-0005-0000-0000-0000DD0B0000}"/>
    <cellStyle name="Currency 5 2 2 3 2 9 2" xfId="13088" xr:uid="{9B782B1A-0FF4-4EBB-ABCD-C9F3EA7E2F22}"/>
    <cellStyle name="Currency 5 2 2 3 2 9 3" xfId="21534" xr:uid="{945581CA-3788-4923-B1DF-3510F0EDC957}"/>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642D2886-5E91-4229-B071-C2AC1F5D939D}"/>
    <cellStyle name="Currency 5 2 2 3 3 2 2 3" xfId="24092" xr:uid="{65DA9B87-1294-41E6-9DB7-F626893C6249}"/>
    <cellStyle name="Currency 5 2 2 3 3 2 3" xfId="11428" xr:uid="{85CDA41A-9BF3-4969-B2AD-962021B78386}"/>
    <cellStyle name="Currency 5 2 2 3 3 2 4" xfId="19875" xr:uid="{DA75191F-1DB1-4B84-8777-A8BF47FF8FE7}"/>
    <cellStyle name="Currency 5 2 2 3 3 3" xfId="5059" xr:uid="{00000000-0005-0000-0000-0000E10B0000}"/>
    <cellStyle name="Currency 5 2 2 3 3 3 2" xfId="13501" xr:uid="{C22EEE26-F672-4ED4-815B-1469E5968038}"/>
    <cellStyle name="Currency 5 2 2 3 3 3 3" xfId="21947" xr:uid="{52C4C750-4CFA-4848-AAE6-33CFFBE358EB}"/>
    <cellStyle name="Currency 5 2 2 3 3 4" xfId="9283" xr:uid="{B08659E8-B433-4976-AD1B-37D142B0DD99}"/>
    <cellStyle name="Currency 5 2 2 3 3 5" xfId="17728" xr:uid="{6C6306DD-12C8-44E9-A9B3-9436A87D7ADC}"/>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11C77237-E219-43AF-9AE8-2F07970461AB}"/>
    <cellStyle name="Currency 5 2 2 3 4 2 2 3" xfId="24505" xr:uid="{C89D1445-B866-494E-851C-6B7C763DB147}"/>
    <cellStyle name="Currency 5 2 2 3 4 2 3" xfId="11841" xr:uid="{44B4D70A-4209-4A3B-AB5C-2A4E66940183}"/>
    <cellStyle name="Currency 5 2 2 3 4 2 4" xfId="20288" xr:uid="{FC218DF3-6A5C-4995-B317-643388765CD2}"/>
    <cellStyle name="Currency 5 2 2 3 4 3" xfId="5472" xr:uid="{00000000-0005-0000-0000-0000E50B0000}"/>
    <cellStyle name="Currency 5 2 2 3 4 3 2" xfId="13914" xr:uid="{C76AA5F2-0E27-478C-BEC8-37AAE0705FF7}"/>
    <cellStyle name="Currency 5 2 2 3 4 3 3" xfId="22360" xr:uid="{0B208B1C-BFC8-4EE2-9BD3-A223FCDC915D}"/>
    <cellStyle name="Currency 5 2 2 3 4 4" xfId="9696" xr:uid="{B1148394-7B42-4DC5-88DE-8C7DA2F513CE}"/>
    <cellStyle name="Currency 5 2 2 3 4 5" xfId="18141" xr:uid="{3689E2C2-1974-4783-A1CD-C30467B310ED}"/>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33B27D24-15BF-4AA4-87E3-67CCB3873AC9}"/>
    <cellStyle name="Currency 5 2 2 3 5 2 2 3" xfId="24918" xr:uid="{670AA2D1-826B-4679-9D68-65D9070A7CF5}"/>
    <cellStyle name="Currency 5 2 2 3 5 2 3" xfId="12254" xr:uid="{1CD9CF05-D5A7-46BE-959D-0E32CC29E6BF}"/>
    <cellStyle name="Currency 5 2 2 3 5 2 4" xfId="20701" xr:uid="{DC689A19-8FEA-43EA-9BEC-74E7F581D8C3}"/>
    <cellStyle name="Currency 5 2 2 3 5 3" xfId="5885" xr:uid="{00000000-0005-0000-0000-0000E90B0000}"/>
    <cellStyle name="Currency 5 2 2 3 5 3 2" xfId="14327" xr:uid="{82166739-E124-459B-A83E-C54E21323206}"/>
    <cellStyle name="Currency 5 2 2 3 5 3 3" xfId="22773" xr:uid="{3EBD8690-CA50-44CE-ADA4-5FDAB9253CA5}"/>
    <cellStyle name="Currency 5 2 2 3 5 4" xfId="10109" xr:uid="{EF028318-13FE-43CF-A254-90900793081B}"/>
    <cellStyle name="Currency 5 2 2 3 5 5" xfId="18554" xr:uid="{D26C39D1-F7AA-4922-87F2-C0D77E4FC11F}"/>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DD5A4DBE-C672-4872-BEF4-11AB632C95F8}"/>
    <cellStyle name="Currency 5 2 2 3 6 2 2 3" xfId="25331" xr:uid="{9A952E59-7284-4088-A940-4D29D85D6A72}"/>
    <cellStyle name="Currency 5 2 2 3 6 2 3" xfId="12667" xr:uid="{6928BCD6-8B0B-4724-86C0-B4342680555F}"/>
    <cellStyle name="Currency 5 2 2 3 6 2 4" xfId="21114" xr:uid="{D5DD8145-9523-4561-8682-569E1C9CB150}"/>
    <cellStyle name="Currency 5 2 2 3 6 3" xfId="6298" xr:uid="{00000000-0005-0000-0000-0000ED0B0000}"/>
    <cellStyle name="Currency 5 2 2 3 6 3 2" xfId="14740" xr:uid="{9D6D94E6-AB6A-40D9-AB10-07FE67C8C3C7}"/>
    <cellStyle name="Currency 5 2 2 3 6 3 3" xfId="23186" xr:uid="{2BE13589-76A8-4167-AF1F-A3B5E1AC6240}"/>
    <cellStyle name="Currency 5 2 2 3 6 4" xfId="10522" xr:uid="{24274FE0-677E-48A8-9053-6FA2900E6572}"/>
    <cellStyle name="Currency 5 2 2 3 6 5" xfId="18967" xr:uid="{9117DE2A-8192-48A0-B41D-5C5AD02FFA84}"/>
    <cellStyle name="Currency 5 2 2 3 7" xfId="2426" xr:uid="{00000000-0005-0000-0000-0000EE0B0000}"/>
    <cellStyle name="Currency 5 2 2 3 7 2" xfId="6711" xr:uid="{00000000-0005-0000-0000-0000EF0B0000}"/>
    <cellStyle name="Currency 5 2 2 3 7 2 2" xfId="15153" xr:uid="{50F0613E-1030-4B8A-B130-C8002E4B7316}"/>
    <cellStyle name="Currency 5 2 2 3 7 2 3" xfId="23599" xr:uid="{7493A194-4AA3-4646-8147-42C1F507E846}"/>
    <cellStyle name="Currency 5 2 2 3 7 3" xfId="10935" xr:uid="{0FE988B3-5547-4CF2-ACBC-210717A5237B}"/>
    <cellStyle name="Currency 5 2 2 3 7 4" xfId="19380" xr:uid="{9E0B3FA9-8B46-4005-886C-2DB9A9B90899}"/>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FEE9F059-3B63-4A56-85E8-8BB817DD670C}"/>
    <cellStyle name="Currency 5 2 2 3 9 2 3" xfId="23916" xr:uid="{43F39F0E-BE5D-4334-B839-24248FFF6751}"/>
    <cellStyle name="Currency 5 2 2 3 9 3" xfId="11252" xr:uid="{D98E229F-F6BF-4761-A47F-CA216A92B0C9}"/>
    <cellStyle name="Currency 5 2 2 3 9 4" xfId="19699" xr:uid="{B3C75026-4191-400C-A79E-50B5CA387755}"/>
    <cellStyle name="Currency 5 2 2 4" xfId="202" xr:uid="{00000000-0005-0000-0000-0000F30B0000}"/>
    <cellStyle name="Currency 5 2 2 4 10" xfId="8871" xr:uid="{9D235DDA-837A-4956-839D-4F335D1A3F6C}"/>
    <cellStyle name="Currency 5 2 2 4 11" xfId="17314" xr:uid="{E7BD2072-A9A1-4735-9409-47C557C11147}"/>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3170E2EB-B9AC-4FED-9F57-C1705902ED84}"/>
    <cellStyle name="Currency 5 2 2 4 2 2 2 3" xfId="24094" xr:uid="{08B4B6BF-5812-498D-AEC7-36C9601911A4}"/>
    <cellStyle name="Currency 5 2 2 4 2 2 3" xfId="11430" xr:uid="{EE4B7821-2FD5-40B0-BC31-50BB62E5023E}"/>
    <cellStyle name="Currency 5 2 2 4 2 2 4" xfId="19877" xr:uid="{01DA61A3-6C87-41A5-9A55-BB1260B3148B}"/>
    <cellStyle name="Currency 5 2 2 4 2 3" xfId="5061" xr:uid="{00000000-0005-0000-0000-0000F70B0000}"/>
    <cellStyle name="Currency 5 2 2 4 2 3 2" xfId="13503" xr:uid="{DCF3B6E8-56DA-4A2F-8C75-4076F329A35A}"/>
    <cellStyle name="Currency 5 2 2 4 2 3 3" xfId="21949" xr:uid="{EC17BB43-F065-4D21-8BB6-DBC5E0AB4B6B}"/>
    <cellStyle name="Currency 5 2 2 4 2 4" xfId="9285" xr:uid="{048FC502-5948-4E07-90DC-0DE00231A0F0}"/>
    <cellStyle name="Currency 5 2 2 4 2 5" xfId="17730" xr:uid="{C09015D5-0D5B-4E06-BE14-0CE711199F9A}"/>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9B724210-DF15-4730-87DF-957D62115870}"/>
    <cellStyle name="Currency 5 2 2 4 3 2 2 3" xfId="24507" xr:uid="{A4945E33-86E3-43C2-BDC1-B838155386F9}"/>
    <cellStyle name="Currency 5 2 2 4 3 2 3" xfId="11843" xr:uid="{5B0BFF96-1D83-4B17-A95D-56A7C6D70878}"/>
    <cellStyle name="Currency 5 2 2 4 3 2 4" xfId="20290" xr:uid="{C7A38F4C-5B1E-4E3E-BA9A-943EC416B6E3}"/>
    <cellStyle name="Currency 5 2 2 4 3 3" xfId="5474" xr:uid="{00000000-0005-0000-0000-0000FB0B0000}"/>
    <cellStyle name="Currency 5 2 2 4 3 3 2" xfId="13916" xr:uid="{D6FEF363-EB57-49D9-B724-ECDB298EBF9D}"/>
    <cellStyle name="Currency 5 2 2 4 3 3 3" xfId="22362" xr:uid="{76625132-F157-48E5-851F-C66BA1950902}"/>
    <cellStyle name="Currency 5 2 2 4 3 4" xfId="9698" xr:uid="{5B593C0B-6CC4-42F5-B98E-5A6EFEA7B149}"/>
    <cellStyle name="Currency 5 2 2 4 3 5" xfId="18143" xr:uid="{A2F5BBC2-D660-4271-A285-4BACEAEC18B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1E034737-411E-4D8A-A943-62E3DFE816B0}"/>
    <cellStyle name="Currency 5 2 2 4 4 2 2 3" xfId="24920" xr:uid="{ED7E908F-50FE-45E8-B8D3-ECC7D31D4BAB}"/>
    <cellStyle name="Currency 5 2 2 4 4 2 3" xfId="12256" xr:uid="{2CC8DB14-68E9-4486-8AB7-EE43A9473168}"/>
    <cellStyle name="Currency 5 2 2 4 4 2 4" xfId="20703" xr:uid="{D02A7A67-2BA3-4C67-87B8-7BDBDAEC11C4}"/>
    <cellStyle name="Currency 5 2 2 4 4 3" xfId="5887" xr:uid="{00000000-0005-0000-0000-0000FF0B0000}"/>
    <cellStyle name="Currency 5 2 2 4 4 3 2" xfId="14329" xr:uid="{248FC84B-6AD2-4506-BD1D-56BD20B28BE7}"/>
    <cellStyle name="Currency 5 2 2 4 4 3 3" xfId="22775" xr:uid="{AA2C69F7-98B7-4265-BCBE-77F95A5241AB}"/>
    <cellStyle name="Currency 5 2 2 4 4 4" xfId="10111" xr:uid="{5805DFA8-03B9-4CB2-8C82-D920F0A98A74}"/>
    <cellStyle name="Currency 5 2 2 4 4 5" xfId="18556" xr:uid="{91D53FAF-C68A-43BC-9EAB-1A7CCF5E1609}"/>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8969E3C6-6E1A-480C-837A-46F32DB7A682}"/>
    <cellStyle name="Currency 5 2 2 4 5 2 2 3" xfId="25333" xr:uid="{0CE6C42B-6AD0-425A-83FA-3FBA3BC20D29}"/>
    <cellStyle name="Currency 5 2 2 4 5 2 3" xfId="12669" xr:uid="{2389FD09-0A62-4032-A5E1-470DCA96FA0A}"/>
    <cellStyle name="Currency 5 2 2 4 5 2 4" xfId="21116" xr:uid="{3E176657-7173-42BA-BBF8-AB4C7A474DBA}"/>
    <cellStyle name="Currency 5 2 2 4 5 3" xfId="6300" xr:uid="{00000000-0005-0000-0000-0000030C0000}"/>
    <cellStyle name="Currency 5 2 2 4 5 3 2" xfId="14742" xr:uid="{30A777F5-75E6-479B-9EEB-96B85B8FADA6}"/>
    <cellStyle name="Currency 5 2 2 4 5 3 3" xfId="23188" xr:uid="{18EC838A-583E-489D-ADCF-7072ED992062}"/>
    <cellStyle name="Currency 5 2 2 4 5 4" xfId="10524" xr:uid="{0E94C710-2A48-45A2-93AB-C0FF6043DC2B}"/>
    <cellStyle name="Currency 5 2 2 4 5 5" xfId="18969" xr:uid="{A14ADC1E-FB5F-4070-B8F5-648B25D2EDD5}"/>
    <cellStyle name="Currency 5 2 2 4 6" xfId="2428" xr:uid="{00000000-0005-0000-0000-0000040C0000}"/>
    <cellStyle name="Currency 5 2 2 4 6 2" xfId="6713" xr:uid="{00000000-0005-0000-0000-0000050C0000}"/>
    <cellStyle name="Currency 5 2 2 4 6 2 2" xfId="15155" xr:uid="{7836927B-B3E4-4539-9CBB-73D044A6A538}"/>
    <cellStyle name="Currency 5 2 2 4 6 2 3" xfId="23601" xr:uid="{8231FFA4-99CF-40C0-BEEA-6DB215E3EF05}"/>
    <cellStyle name="Currency 5 2 2 4 6 3" xfId="10937" xr:uid="{CDC9702C-BFF1-4D6A-97F0-D25A2EB5609B}"/>
    <cellStyle name="Currency 5 2 2 4 6 4" xfId="19382" xr:uid="{ECB3A893-1238-4ABB-B3A3-5F6BC150CC07}"/>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6516B411-5E71-4500-B857-CE1946C9F9A6}"/>
    <cellStyle name="Currency 5 2 2 4 8 2 3" xfId="23918" xr:uid="{EF7797F7-5410-4991-8B3D-0253934D4F7E}"/>
    <cellStyle name="Currency 5 2 2 4 8 3" xfId="11254" xr:uid="{00DB4982-5A2F-407C-822C-75839B6D3505}"/>
    <cellStyle name="Currency 5 2 2 4 8 4" xfId="19701" xr:uid="{70F569CD-0CA6-4DFE-BDF7-29567E1136F1}"/>
    <cellStyle name="Currency 5 2 2 4 9" xfId="4647" xr:uid="{00000000-0005-0000-0000-0000090C0000}"/>
    <cellStyle name="Currency 5 2 2 4 9 2" xfId="13089" xr:uid="{74846E4F-D70C-4448-B1C6-9FC3FDE8C3D4}"/>
    <cellStyle name="Currency 5 2 2 4 9 3" xfId="21535" xr:uid="{4F83D89F-8C3A-4AAA-A66F-01C362E36FD4}"/>
    <cellStyle name="Currency 5 2 2 5" xfId="203" xr:uid="{00000000-0005-0000-0000-00000A0C0000}"/>
    <cellStyle name="Currency 5 2 2 5 10" xfId="8872" xr:uid="{44AE6794-848C-46FC-A963-7C3124983A53}"/>
    <cellStyle name="Currency 5 2 2 5 11" xfId="17315" xr:uid="{D41FB27E-1845-47CF-ACB2-F4475F5B2297}"/>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62401636-4E94-4619-8B69-A9A168B7940A}"/>
    <cellStyle name="Currency 5 2 2 5 2 2 2 3" xfId="24095" xr:uid="{76D1D796-F8C9-4A78-988A-69623D368E2E}"/>
    <cellStyle name="Currency 5 2 2 5 2 2 3" xfId="11431" xr:uid="{1EC38042-2F92-49FF-9571-1C9E3E3D1757}"/>
    <cellStyle name="Currency 5 2 2 5 2 2 4" xfId="19878" xr:uid="{C0E82025-FCF6-4BC6-BA8B-27AE797596D5}"/>
    <cellStyle name="Currency 5 2 2 5 2 3" xfId="5062" xr:uid="{00000000-0005-0000-0000-00000E0C0000}"/>
    <cellStyle name="Currency 5 2 2 5 2 3 2" xfId="13504" xr:uid="{5CEB2C4D-43DE-4D7C-876E-3F682A260223}"/>
    <cellStyle name="Currency 5 2 2 5 2 3 3" xfId="21950" xr:uid="{281897D8-4BD5-4539-84D5-5A1DE23CD6F3}"/>
    <cellStyle name="Currency 5 2 2 5 2 4" xfId="9286" xr:uid="{EAE8C0F8-E7D7-4330-9D41-E3F59ED477EA}"/>
    <cellStyle name="Currency 5 2 2 5 2 5" xfId="17731" xr:uid="{8ADAAC12-4F31-485C-8B98-CAE14A2CBAE6}"/>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C70A5F96-58D0-41F2-B1B7-B0D6E519F366}"/>
    <cellStyle name="Currency 5 2 2 5 3 2 2 3" xfId="24508" xr:uid="{183B1BF9-7BDC-4B19-A8CF-F4501B6D1462}"/>
    <cellStyle name="Currency 5 2 2 5 3 2 3" xfId="11844" xr:uid="{1F6F36E7-99A1-4A93-80D0-72C9C564AE19}"/>
    <cellStyle name="Currency 5 2 2 5 3 2 4" xfId="20291" xr:uid="{8A44D720-0B0F-4D1A-A078-6FD895FBDBD2}"/>
    <cellStyle name="Currency 5 2 2 5 3 3" xfId="5475" xr:uid="{00000000-0005-0000-0000-0000120C0000}"/>
    <cellStyle name="Currency 5 2 2 5 3 3 2" xfId="13917" xr:uid="{68AEAB34-F840-4714-B49B-E686CCD4D3C1}"/>
    <cellStyle name="Currency 5 2 2 5 3 3 3" xfId="22363" xr:uid="{5E830055-1A0E-4CB3-B2D1-76F1EB7BE9A8}"/>
    <cellStyle name="Currency 5 2 2 5 3 4" xfId="9699" xr:uid="{75EF02D5-82EF-4E25-9288-E3EF8FBBD897}"/>
    <cellStyle name="Currency 5 2 2 5 3 5" xfId="18144" xr:uid="{8BF4343B-F7B4-48C7-A5E1-BEF1F6C675CF}"/>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1FF08D3F-DFBF-4DC5-8160-758571D814E5}"/>
    <cellStyle name="Currency 5 2 2 5 4 2 2 3" xfId="24921" xr:uid="{B831C3A2-4991-4D33-985F-63CCBA57B3DF}"/>
    <cellStyle name="Currency 5 2 2 5 4 2 3" xfId="12257" xr:uid="{03869A29-EEB7-49F8-8730-05E1F753C5F7}"/>
    <cellStyle name="Currency 5 2 2 5 4 2 4" xfId="20704" xr:uid="{FF36B5A7-397B-40A4-A95B-AF66511B9DF9}"/>
    <cellStyle name="Currency 5 2 2 5 4 3" xfId="5888" xr:uid="{00000000-0005-0000-0000-0000160C0000}"/>
    <cellStyle name="Currency 5 2 2 5 4 3 2" xfId="14330" xr:uid="{FA0EED1F-15F2-485B-BD51-CEB0F57983E3}"/>
    <cellStyle name="Currency 5 2 2 5 4 3 3" xfId="22776" xr:uid="{F2709645-6FF5-4A15-9E16-CBB79D19ECE2}"/>
    <cellStyle name="Currency 5 2 2 5 4 4" xfId="10112" xr:uid="{44F08002-EFB1-493A-8F71-A2BAAA1DB374}"/>
    <cellStyle name="Currency 5 2 2 5 4 5" xfId="18557" xr:uid="{1947D290-0F4D-43FA-AE12-0A60BC426787}"/>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FB7E329C-7B10-42A6-B667-AEBE8EFE9E85}"/>
    <cellStyle name="Currency 5 2 2 5 5 2 2 3" xfId="25334" xr:uid="{0C01BF3C-01D4-462F-9A10-EEB325A099B2}"/>
    <cellStyle name="Currency 5 2 2 5 5 2 3" xfId="12670" xr:uid="{3E516771-DF4B-4767-A0D9-E2F98BA89D71}"/>
    <cellStyle name="Currency 5 2 2 5 5 2 4" xfId="21117" xr:uid="{73CCB4FA-7A8C-4795-9604-50C8E49986D7}"/>
    <cellStyle name="Currency 5 2 2 5 5 3" xfId="6301" xr:uid="{00000000-0005-0000-0000-00001A0C0000}"/>
    <cellStyle name="Currency 5 2 2 5 5 3 2" xfId="14743" xr:uid="{FB3F038F-F508-4DB0-9DB7-02404D74BB6D}"/>
    <cellStyle name="Currency 5 2 2 5 5 3 3" xfId="23189" xr:uid="{16587BAE-502B-4497-9119-2CD9645B8766}"/>
    <cellStyle name="Currency 5 2 2 5 5 4" xfId="10525" xr:uid="{E4276F34-EAE2-4420-B973-5AE90542F2A1}"/>
    <cellStyle name="Currency 5 2 2 5 5 5" xfId="18970" xr:uid="{D0DF4E38-D812-44F2-A3A9-3F60446D57DF}"/>
    <cellStyle name="Currency 5 2 2 5 6" xfId="2429" xr:uid="{00000000-0005-0000-0000-00001B0C0000}"/>
    <cellStyle name="Currency 5 2 2 5 6 2" xfId="6714" xr:uid="{00000000-0005-0000-0000-00001C0C0000}"/>
    <cellStyle name="Currency 5 2 2 5 6 2 2" xfId="15156" xr:uid="{917665C9-C345-41BD-A9CF-32FB9BEB8258}"/>
    <cellStyle name="Currency 5 2 2 5 6 2 3" xfId="23602" xr:uid="{F84BB069-1727-4F0B-8177-F314B50A2F9A}"/>
    <cellStyle name="Currency 5 2 2 5 6 3" xfId="10938" xr:uid="{20F8E0BC-7280-486F-BCAA-9E0B4A1C12AE}"/>
    <cellStyle name="Currency 5 2 2 5 6 4" xfId="19383" xr:uid="{E5A21631-001C-4868-A5C1-049F9346BFF8}"/>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DD88D441-AFE7-452A-9415-F3B0C19F1ECD}"/>
    <cellStyle name="Currency 5 2 2 5 8 2 3" xfId="23919" xr:uid="{A801607C-E53F-4917-A1AE-0AC84F27B3CB}"/>
    <cellStyle name="Currency 5 2 2 5 8 3" xfId="11255" xr:uid="{E6FAF9D7-5B34-4E9D-B086-98C5D6E1C384}"/>
    <cellStyle name="Currency 5 2 2 5 8 4" xfId="19702" xr:uid="{94E7DB3F-C6D8-4710-86F2-29E447B46A24}"/>
    <cellStyle name="Currency 5 2 2 5 9" xfId="4648" xr:uid="{00000000-0005-0000-0000-0000200C0000}"/>
    <cellStyle name="Currency 5 2 2 5 9 2" xfId="13090" xr:uid="{65C22A7A-28B0-44CB-BEC7-309F42FB6165}"/>
    <cellStyle name="Currency 5 2 2 5 9 3" xfId="21536" xr:uid="{BF6C1240-DE2A-4826-86AD-442D28FD2CBF}"/>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5C043D26-B9C1-434D-93DF-62A367B4DB54}"/>
    <cellStyle name="Currency 5 2 4 10 3" xfId="21537" xr:uid="{DDC104E0-7B72-47FC-8240-942882515ECE}"/>
    <cellStyle name="Currency 5 2 4 11" xfId="8873" xr:uid="{84D18387-FF4D-478C-9850-A67FA6F7CA95}"/>
    <cellStyle name="Currency 5 2 4 12" xfId="17316" xr:uid="{C2A88F6E-B6C4-42C9-8933-3CD3F09CD1C0}"/>
    <cellStyle name="Currency 5 2 4 2" xfId="206" xr:uid="{00000000-0005-0000-0000-0000250C0000}"/>
    <cellStyle name="Currency 5 2 4 2 10" xfId="8874" xr:uid="{15A9ACEE-A230-4820-BC50-109359C78298}"/>
    <cellStyle name="Currency 5 2 4 2 11" xfId="17317" xr:uid="{79B34092-C45F-470B-A17B-1024C7EDE99F}"/>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C324BF95-F5F7-46E2-9A86-52602FCB5037}"/>
    <cellStyle name="Currency 5 2 4 2 2 2 2 3" xfId="24097" xr:uid="{907F7B20-83E8-4BC9-ADE3-8EB9D2287C9D}"/>
    <cellStyle name="Currency 5 2 4 2 2 2 3" xfId="11433" xr:uid="{B1D91E42-CF2B-46C9-8A61-2C3CDF962DA5}"/>
    <cellStyle name="Currency 5 2 4 2 2 2 4" xfId="19880" xr:uid="{206F93B7-284F-47FF-8CE5-4DE672A26F5B}"/>
    <cellStyle name="Currency 5 2 4 2 2 3" xfId="5064" xr:uid="{00000000-0005-0000-0000-0000290C0000}"/>
    <cellStyle name="Currency 5 2 4 2 2 3 2" xfId="13506" xr:uid="{9C04AA67-7469-4EDF-9D1E-7A92BE55BCEA}"/>
    <cellStyle name="Currency 5 2 4 2 2 3 3" xfId="21952" xr:uid="{0EFBBA71-63F8-41B6-999C-4F52CE5409F0}"/>
    <cellStyle name="Currency 5 2 4 2 2 4" xfId="9288" xr:uid="{46AE1D0F-26A5-48C4-85F2-19207F50F611}"/>
    <cellStyle name="Currency 5 2 4 2 2 5" xfId="17733" xr:uid="{BA8B37B7-5668-406B-B797-1458B2684034}"/>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7F5ABCFE-B62C-4F2B-A1BD-F4BD9362E8B1}"/>
    <cellStyle name="Currency 5 2 4 2 3 2 2 3" xfId="24510" xr:uid="{E4A754ED-3B54-4E0C-B96D-E7192236B9C6}"/>
    <cellStyle name="Currency 5 2 4 2 3 2 3" xfId="11846" xr:uid="{7E82E05C-C77C-423B-A908-0EC972016A59}"/>
    <cellStyle name="Currency 5 2 4 2 3 2 4" xfId="20293" xr:uid="{1E5AF7C0-25A0-4745-B0B2-DCAC9FD8054B}"/>
    <cellStyle name="Currency 5 2 4 2 3 3" xfId="5477" xr:uid="{00000000-0005-0000-0000-00002D0C0000}"/>
    <cellStyle name="Currency 5 2 4 2 3 3 2" xfId="13919" xr:uid="{5E30AC16-A97B-4581-8C67-C4E2A08D9676}"/>
    <cellStyle name="Currency 5 2 4 2 3 3 3" xfId="22365" xr:uid="{DA079358-2489-45F6-8086-90712959D9A5}"/>
    <cellStyle name="Currency 5 2 4 2 3 4" xfId="9701" xr:uid="{E8A2F9BA-6BB0-4CBE-9277-19488BD875DB}"/>
    <cellStyle name="Currency 5 2 4 2 3 5" xfId="18146" xr:uid="{7541AB49-EB8B-480A-B410-1E3FC27AD63F}"/>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2AC7666E-B0CD-4A01-9936-31C09322AEBD}"/>
    <cellStyle name="Currency 5 2 4 2 4 2 2 3" xfId="24923" xr:uid="{27FB788F-51AF-40DF-9D40-1933321BB1F6}"/>
    <cellStyle name="Currency 5 2 4 2 4 2 3" xfId="12259" xr:uid="{7376FD47-1C20-4752-B469-90E1DE46560D}"/>
    <cellStyle name="Currency 5 2 4 2 4 2 4" xfId="20706" xr:uid="{58FF57F9-9D4F-402B-A353-30662D41BDA1}"/>
    <cellStyle name="Currency 5 2 4 2 4 3" xfId="5890" xr:uid="{00000000-0005-0000-0000-0000310C0000}"/>
    <cellStyle name="Currency 5 2 4 2 4 3 2" xfId="14332" xr:uid="{D907C96B-D21C-427D-BFDB-90A3C5A2DF86}"/>
    <cellStyle name="Currency 5 2 4 2 4 3 3" xfId="22778" xr:uid="{D1B2CF78-D158-4D28-958B-16337434608D}"/>
    <cellStyle name="Currency 5 2 4 2 4 4" xfId="10114" xr:uid="{ED2CA4D2-94E5-474B-954D-4E7755A35252}"/>
    <cellStyle name="Currency 5 2 4 2 4 5" xfId="18559" xr:uid="{2C31E730-25B0-47BE-809E-E642769939B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D0927385-5675-4810-82C7-FD0AC605F759}"/>
    <cellStyle name="Currency 5 2 4 2 5 2 2 3" xfId="25336" xr:uid="{DDCC651E-D6CE-4D89-B33C-08A5A411DD79}"/>
    <cellStyle name="Currency 5 2 4 2 5 2 3" xfId="12672" xr:uid="{51C1A013-C37D-4B42-9386-EF340E163F5A}"/>
    <cellStyle name="Currency 5 2 4 2 5 2 4" xfId="21119" xr:uid="{DD56030D-0333-41FD-A83F-0F4DA64D2C0A}"/>
    <cellStyle name="Currency 5 2 4 2 5 3" xfId="6303" xr:uid="{00000000-0005-0000-0000-0000350C0000}"/>
    <cellStyle name="Currency 5 2 4 2 5 3 2" xfId="14745" xr:uid="{7E1981CC-B5B6-4BE0-9F1A-BF3D0A47ECB0}"/>
    <cellStyle name="Currency 5 2 4 2 5 3 3" xfId="23191" xr:uid="{24A4850E-2112-46BF-9CDC-200F88BF8370}"/>
    <cellStyle name="Currency 5 2 4 2 5 4" xfId="10527" xr:uid="{5964C0DA-F4D7-4A86-A33E-F2C4BB359620}"/>
    <cellStyle name="Currency 5 2 4 2 5 5" xfId="18972" xr:uid="{3EFB8625-661A-4833-924D-D92BA8586CF4}"/>
    <cellStyle name="Currency 5 2 4 2 6" xfId="2431" xr:uid="{00000000-0005-0000-0000-0000360C0000}"/>
    <cellStyle name="Currency 5 2 4 2 6 2" xfId="6716" xr:uid="{00000000-0005-0000-0000-0000370C0000}"/>
    <cellStyle name="Currency 5 2 4 2 6 2 2" xfId="15158" xr:uid="{72E91C89-FF92-49E6-B18E-EB1DC0B6C0A6}"/>
    <cellStyle name="Currency 5 2 4 2 6 2 3" xfId="23604" xr:uid="{C3805BE2-3EB5-488B-831E-8BF942CC7B71}"/>
    <cellStyle name="Currency 5 2 4 2 6 3" xfId="10940" xr:uid="{39707E6D-EE94-469C-ABED-AE00BD021538}"/>
    <cellStyle name="Currency 5 2 4 2 6 4" xfId="19385" xr:uid="{1707C716-28A7-4066-A178-480E309C0EBC}"/>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6AC11F1B-34F5-4709-9F46-4617CA6F658F}"/>
    <cellStyle name="Currency 5 2 4 2 8 2 3" xfId="23921" xr:uid="{D2C2B485-1A11-4461-B7BE-B59F68AB64E1}"/>
    <cellStyle name="Currency 5 2 4 2 8 3" xfId="11257" xr:uid="{DA45F3EA-178B-4A62-BECF-AE2941F5FAE9}"/>
    <cellStyle name="Currency 5 2 4 2 8 4" xfId="19704" xr:uid="{11D4FD35-C6A0-410E-B761-BF09E34AB492}"/>
    <cellStyle name="Currency 5 2 4 2 9" xfId="4650" xr:uid="{00000000-0005-0000-0000-00003B0C0000}"/>
    <cellStyle name="Currency 5 2 4 2 9 2" xfId="13092" xr:uid="{49B34175-9CE3-4CC6-9E5E-8D92ED3184B1}"/>
    <cellStyle name="Currency 5 2 4 2 9 3" xfId="21538" xr:uid="{A5B95BAD-0F00-466E-8830-12D032DD7520}"/>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0406040A-5842-4CEA-9F56-429D73EAF2B9}"/>
    <cellStyle name="Currency 5 2 4 3 2 2 3" xfId="24096" xr:uid="{FB1652AC-F96B-4E94-85E2-727F333DBEFD}"/>
    <cellStyle name="Currency 5 2 4 3 2 3" xfId="11432" xr:uid="{920A9D18-10FE-4577-B6E1-368095AEE473}"/>
    <cellStyle name="Currency 5 2 4 3 2 4" xfId="19879" xr:uid="{446C8070-64F8-459A-B477-398444276553}"/>
    <cellStyle name="Currency 5 2 4 3 3" xfId="5063" xr:uid="{00000000-0005-0000-0000-00003F0C0000}"/>
    <cellStyle name="Currency 5 2 4 3 3 2" xfId="13505" xr:uid="{7AFA0517-FB4B-419D-8B4E-F3DAA0995D5C}"/>
    <cellStyle name="Currency 5 2 4 3 3 3" xfId="21951" xr:uid="{542692D0-B4C3-40EA-BFBE-A8CE59B290D7}"/>
    <cellStyle name="Currency 5 2 4 3 4" xfId="9287" xr:uid="{1D8FE910-8092-44C6-B327-0F815802F497}"/>
    <cellStyle name="Currency 5 2 4 3 5" xfId="17732" xr:uid="{D754F96E-AD3A-41AD-9EB6-1EB0CA9D939E}"/>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80C313EA-F49E-41FE-BBB9-35411651AB0B}"/>
    <cellStyle name="Currency 5 2 4 4 2 2 3" xfId="24509" xr:uid="{17DB4D42-6A0F-45FA-A533-E02215C8135E}"/>
    <cellStyle name="Currency 5 2 4 4 2 3" xfId="11845" xr:uid="{B863D4F1-21FF-4516-ABE4-59B7F6AAF92B}"/>
    <cellStyle name="Currency 5 2 4 4 2 4" xfId="20292" xr:uid="{626EFBB6-04D8-4BB0-B490-651DB8B03EFB}"/>
    <cellStyle name="Currency 5 2 4 4 3" xfId="5476" xr:uid="{00000000-0005-0000-0000-0000430C0000}"/>
    <cellStyle name="Currency 5 2 4 4 3 2" xfId="13918" xr:uid="{16B8003A-1B7E-47AF-B0E0-A7C1F25788DA}"/>
    <cellStyle name="Currency 5 2 4 4 3 3" xfId="22364" xr:uid="{4E0B691B-CF81-45BB-B669-B905ECD9D279}"/>
    <cellStyle name="Currency 5 2 4 4 4" xfId="9700" xr:uid="{AD826157-CC0E-4DB2-B459-B80A2D76E106}"/>
    <cellStyle name="Currency 5 2 4 4 5" xfId="18145" xr:uid="{A88932EC-3288-4D47-9548-70F88E22C970}"/>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FD1E5D8B-142A-4BB6-9071-F020DC870EBE}"/>
    <cellStyle name="Currency 5 2 4 5 2 2 3" xfId="24922" xr:uid="{BA967E97-B604-417C-9DC7-394E6CAABFED}"/>
    <cellStyle name="Currency 5 2 4 5 2 3" xfId="12258" xr:uid="{2449C9C5-2DFD-4872-BFC0-6D452F52C63E}"/>
    <cellStyle name="Currency 5 2 4 5 2 4" xfId="20705" xr:uid="{D49AB2C9-271F-4968-B6B6-2F1D0486840F}"/>
    <cellStyle name="Currency 5 2 4 5 3" xfId="5889" xr:uid="{00000000-0005-0000-0000-0000470C0000}"/>
    <cellStyle name="Currency 5 2 4 5 3 2" xfId="14331" xr:uid="{BDA3AD89-C86B-4C11-AD6E-E928620306D4}"/>
    <cellStyle name="Currency 5 2 4 5 3 3" xfId="22777" xr:uid="{07B310A1-1BDB-4FD7-A3B2-5650CE899794}"/>
    <cellStyle name="Currency 5 2 4 5 4" xfId="10113" xr:uid="{D9486B2D-3FF9-4C2C-B36E-0BCC5EC366DD}"/>
    <cellStyle name="Currency 5 2 4 5 5" xfId="18558" xr:uid="{5754B5E0-46EB-444B-89E4-B81F91A6401A}"/>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AFF76611-BF22-437A-9452-117A26316B45}"/>
    <cellStyle name="Currency 5 2 4 6 2 2 3" xfId="25335" xr:uid="{7B00AB45-307D-4FEC-A3D4-FDE7599947CF}"/>
    <cellStyle name="Currency 5 2 4 6 2 3" xfId="12671" xr:uid="{D7C0E5DB-851F-498D-9905-A687E40C2716}"/>
    <cellStyle name="Currency 5 2 4 6 2 4" xfId="21118" xr:uid="{EF74025B-96BC-4FCD-9534-B56439FEF4BB}"/>
    <cellStyle name="Currency 5 2 4 6 3" xfId="6302" xr:uid="{00000000-0005-0000-0000-00004B0C0000}"/>
    <cellStyle name="Currency 5 2 4 6 3 2" xfId="14744" xr:uid="{200C8D47-958A-4272-98CB-423535B58F70}"/>
    <cellStyle name="Currency 5 2 4 6 3 3" xfId="23190" xr:uid="{A622D4BB-9475-45F7-85C3-CA008BD08E1D}"/>
    <cellStyle name="Currency 5 2 4 6 4" xfId="10526" xr:uid="{ADDB8F14-82A7-4336-BD9C-C7A82B4D34DC}"/>
    <cellStyle name="Currency 5 2 4 6 5" xfId="18971" xr:uid="{A658B2B5-5CCA-4113-99F2-DA185AB44600}"/>
    <cellStyle name="Currency 5 2 4 7" xfId="2430" xr:uid="{00000000-0005-0000-0000-00004C0C0000}"/>
    <cellStyle name="Currency 5 2 4 7 2" xfId="6715" xr:uid="{00000000-0005-0000-0000-00004D0C0000}"/>
    <cellStyle name="Currency 5 2 4 7 2 2" xfId="15157" xr:uid="{433213DC-885F-40A7-B634-C5D5D3F10CD2}"/>
    <cellStyle name="Currency 5 2 4 7 2 3" xfId="23603" xr:uid="{BAA7A0E3-F74A-4DDC-B1A2-41D36B4A8479}"/>
    <cellStyle name="Currency 5 2 4 7 3" xfId="10939" xr:uid="{3D58C5B1-D1CB-4A8B-857C-A787CF292FF3}"/>
    <cellStyle name="Currency 5 2 4 7 4" xfId="19384" xr:uid="{FA36B84B-C9D6-4343-B6CE-29E1EAF9529E}"/>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BB02E64B-8293-4BC8-A450-422F1799A8B6}"/>
    <cellStyle name="Currency 5 2 4 9 2 3" xfId="23920" xr:uid="{97AEB38E-407C-4244-A78C-2047C53BB9CE}"/>
    <cellStyle name="Currency 5 2 4 9 3" xfId="11256" xr:uid="{F52B3817-ECBB-4492-B818-FCD007D714C2}"/>
    <cellStyle name="Currency 5 2 4 9 4" xfId="19703" xr:uid="{69E1DB0C-B775-473C-9B6B-05ECAFE3912B}"/>
    <cellStyle name="Currency 5 2 5" xfId="207" xr:uid="{00000000-0005-0000-0000-0000510C0000}"/>
    <cellStyle name="Currency 5 2 5 10" xfId="8875" xr:uid="{0C8DA673-A1B1-401E-8CEF-A29D2EFE4034}"/>
    <cellStyle name="Currency 5 2 5 11" xfId="17318" xr:uid="{9C2100E5-E307-4B02-A959-16B8190D7746}"/>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5850475D-4F82-4A50-B5AD-69D065B95E29}"/>
    <cellStyle name="Currency 5 2 5 2 2 2 3" xfId="24098" xr:uid="{35D0FA27-B497-4BB7-8996-60681363277F}"/>
    <cellStyle name="Currency 5 2 5 2 2 3" xfId="11434" xr:uid="{21966B89-D140-44F9-9382-B9F54875AE66}"/>
    <cellStyle name="Currency 5 2 5 2 2 4" xfId="19881" xr:uid="{3A2C8FED-BCD3-4561-8C11-57F186562E3E}"/>
    <cellStyle name="Currency 5 2 5 2 3" xfId="5065" xr:uid="{00000000-0005-0000-0000-0000550C0000}"/>
    <cellStyle name="Currency 5 2 5 2 3 2" xfId="13507" xr:uid="{F58E08A7-AFF3-4AE6-81A1-FDAD3BC433BE}"/>
    <cellStyle name="Currency 5 2 5 2 3 3" xfId="21953" xr:uid="{8E3ABC7E-1F62-44F8-9D87-8CB92C48D247}"/>
    <cellStyle name="Currency 5 2 5 2 4" xfId="9289" xr:uid="{B5372AC2-54B0-4FA1-B4CE-1E810AB328B4}"/>
    <cellStyle name="Currency 5 2 5 2 5" xfId="17734" xr:uid="{2491C861-C041-43DE-B070-A642DBE56F3F}"/>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2AE05E07-0E01-4C75-B592-6AC9DA3D22D9}"/>
    <cellStyle name="Currency 5 2 5 3 2 2 3" xfId="24511" xr:uid="{BF6D3FBB-7C27-48DA-B85F-79A1FC42CF8D}"/>
    <cellStyle name="Currency 5 2 5 3 2 3" xfId="11847" xr:uid="{1777FF97-B994-4837-923C-74DE3975408E}"/>
    <cellStyle name="Currency 5 2 5 3 2 4" xfId="20294" xr:uid="{83E9B0CE-3C3C-4882-B015-49E39518E57C}"/>
    <cellStyle name="Currency 5 2 5 3 3" xfId="5478" xr:uid="{00000000-0005-0000-0000-0000590C0000}"/>
    <cellStyle name="Currency 5 2 5 3 3 2" xfId="13920" xr:uid="{3050BD43-3381-4B41-85EA-62FFF788BA1B}"/>
    <cellStyle name="Currency 5 2 5 3 3 3" xfId="22366" xr:uid="{EF7A2E02-15DE-4D8B-B375-E61A6B78D2D9}"/>
    <cellStyle name="Currency 5 2 5 3 4" xfId="9702" xr:uid="{5536E4C3-84E0-4070-BB17-011C09B5FFB5}"/>
    <cellStyle name="Currency 5 2 5 3 5" xfId="18147" xr:uid="{808AFB36-6260-44AA-9F11-8347E1EC5342}"/>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E90A9686-CCC7-4E50-9694-4E4C7CDD161F}"/>
    <cellStyle name="Currency 5 2 5 4 2 2 3" xfId="24924" xr:uid="{E9C3DB7A-92EF-4C39-B400-3AA88FB7373A}"/>
    <cellStyle name="Currency 5 2 5 4 2 3" xfId="12260" xr:uid="{AD90F571-672C-4D92-9F76-1E1D84218E8C}"/>
    <cellStyle name="Currency 5 2 5 4 2 4" xfId="20707" xr:uid="{FD5285D2-149B-4743-83E1-6CCA668D6676}"/>
    <cellStyle name="Currency 5 2 5 4 3" xfId="5891" xr:uid="{00000000-0005-0000-0000-00005D0C0000}"/>
    <cellStyle name="Currency 5 2 5 4 3 2" xfId="14333" xr:uid="{49D8DE34-850F-409E-A552-CEA73CB4F4AB}"/>
    <cellStyle name="Currency 5 2 5 4 3 3" xfId="22779" xr:uid="{3E4A58BB-36AE-4B2B-8126-A4814626251E}"/>
    <cellStyle name="Currency 5 2 5 4 4" xfId="10115" xr:uid="{A2054F3E-29BE-4066-A0FF-5D6370715F6B}"/>
    <cellStyle name="Currency 5 2 5 4 5" xfId="18560" xr:uid="{2A3F469A-737D-47D1-83AB-50E4083A1F41}"/>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7F5EEC10-A862-48D6-83C2-F823FEA74231}"/>
    <cellStyle name="Currency 5 2 5 5 2 2 3" xfId="25337" xr:uid="{F8165668-AA8D-4EE4-99EE-10EB6ABBE657}"/>
    <cellStyle name="Currency 5 2 5 5 2 3" xfId="12673" xr:uid="{BA5EDA54-E338-4A8A-BB32-091C49959634}"/>
    <cellStyle name="Currency 5 2 5 5 2 4" xfId="21120" xr:uid="{E0E5662F-6F8A-417F-9EA0-9031CFA7CE84}"/>
    <cellStyle name="Currency 5 2 5 5 3" xfId="6304" xr:uid="{00000000-0005-0000-0000-0000610C0000}"/>
    <cellStyle name="Currency 5 2 5 5 3 2" xfId="14746" xr:uid="{6C25D17E-9F9F-49E3-9D0D-311DC20FDD30}"/>
    <cellStyle name="Currency 5 2 5 5 3 3" xfId="23192" xr:uid="{F3C9992E-6D9D-42D5-A40B-339D864F1DC8}"/>
    <cellStyle name="Currency 5 2 5 5 4" xfId="10528" xr:uid="{02A233F2-2ADE-4038-9EF8-6D345D2891A5}"/>
    <cellStyle name="Currency 5 2 5 5 5" xfId="18973" xr:uid="{77912504-8ADC-43ED-95E8-7E690F4F022C}"/>
    <cellStyle name="Currency 5 2 5 6" xfId="2432" xr:uid="{00000000-0005-0000-0000-0000620C0000}"/>
    <cellStyle name="Currency 5 2 5 6 2" xfId="6717" xr:uid="{00000000-0005-0000-0000-0000630C0000}"/>
    <cellStyle name="Currency 5 2 5 6 2 2" xfId="15159" xr:uid="{CF0FBE6E-BD57-4D4A-9DCF-0875025BD6B0}"/>
    <cellStyle name="Currency 5 2 5 6 2 3" xfId="23605" xr:uid="{F978E6BD-202C-45BD-858E-9E72DACA8898}"/>
    <cellStyle name="Currency 5 2 5 6 3" xfId="10941" xr:uid="{50B65CA1-AA3B-4321-A6EB-4DAA8DD22DD1}"/>
    <cellStyle name="Currency 5 2 5 6 4" xfId="19386" xr:uid="{35DC6BDE-73DE-44A0-8BD7-1211ED479FF2}"/>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19B1C17F-39E1-4871-82FF-73FA0A098F8D}"/>
    <cellStyle name="Currency 5 2 5 8 2 3" xfId="23922" xr:uid="{8353FBA8-6FAB-43D8-B0B1-5E746B1079F2}"/>
    <cellStyle name="Currency 5 2 5 8 3" xfId="11258" xr:uid="{90A64037-C9D8-40B7-BDA1-809CE9DE57DC}"/>
    <cellStyle name="Currency 5 2 5 8 4" xfId="19705" xr:uid="{AB502FE9-D35F-4C18-889E-DD0E11848894}"/>
    <cellStyle name="Currency 5 2 5 9" xfId="4651" xr:uid="{00000000-0005-0000-0000-0000670C0000}"/>
    <cellStyle name="Currency 5 2 5 9 2" xfId="13093" xr:uid="{3BEBEE95-4B05-4532-B529-1C064FB54B61}"/>
    <cellStyle name="Currency 5 2 5 9 3" xfId="21539" xr:uid="{5FEBE2C0-6F9F-4E76-9A37-344AAC13312B}"/>
    <cellStyle name="Currency 5 2 6" xfId="208" xr:uid="{00000000-0005-0000-0000-0000680C0000}"/>
    <cellStyle name="Currency 5 2 6 10" xfId="8876" xr:uid="{893C35E0-E98F-4322-8796-09DE9BBD2094}"/>
    <cellStyle name="Currency 5 2 6 11" xfId="17319" xr:uid="{E219981E-9BD3-40BC-A187-F30607C328A2}"/>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678FCAA6-66B8-4EFE-AF84-0524A446C0F9}"/>
    <cellStyle name="Currency 5 2 6 2 2 2 3" xfId="24099" xr:uid="{97D30BAE-94DB-4E43-BEC5-15D44E2BC166}"/>
    <cellStyle name="Currency 5 2 6 2 2 3" xfId="11435" xr:uid="{82CA184B-F215-4A05-B839-E860DDAE8BD2}"/>
    <cellStyle name="Currency 5 2 6 2 2 4" xfId="19882" xr:uid="{C13FCD27-51FA-4AA5-89F1-2587CE9448AC}"/>
    <cellStyle name="Currency 5 2 6 2 3" xfId="5066" xr:uid="{00000000-0005-0000-0000-00006C0C0000}"/>
    <cellStyle name="Currency 5 2 6 2 3 2" xfId="13508" xr:uid="{6945262F-A329-4E99-B1BD-5E350A6DF01C}"/>
    <cellStyle name="Currency 5 2 6 2 3 3" xfId="21954" xr:uid="{1E488ECE-272D-4316-9471-857D9B8D4C05}"/>
    <cellStyle name="Currency 5 2 6 2 4" xfId="9290" xr:uid="{24EFA5FE-B4CF-4BD5-8E00-1A9F4ED244C7}"/>
    <cellStyle name="Currency 5 2 6 2 5" xfId="17735" xr:uid="{8772A5F0-D4A9-45BE-AE87-F2D94381227E}"/>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0940E794-34F9-486C-9092-A70627A38586}"/>
    <cellStyle name="Currency 5 2 6 3 2 2 3" xfId="24512" xr:uid="{FD79DFF5-6708-4765-8F5F-3E2EB1921747}"/>
    <cellStyle name="Currency 5 2 6 3 2 3" xfId="11848" xr:uid="{528E1BD4-7871-4138-8440-D276A597193D}"/>
    <cellStyle name="Currency 5 2 6 3 2 4" xfId="20295" xr:uid="{3BE37C07-E374-4F33-A654-B6C304102F86}"/>
    <cellStyle name="Currency 5 2 6 3 3" xfId="5479" xr:uid="{00000000-0005-0000-0000-0000700C0000}"/>
    <cellStyle name="Currency 5 2 6 3 3 2" xfId="13921" xr:uid="{B21E91C4-6C91-478A-BCF9-A1DF3B1E2117}"/>
    <cellStyle name="Currency 5 2 6 3 3 3" xfId="22367" xr:uid="{7E2D07A5-DEAD-40A8-82CE-5A09C05EDCDC}"/>
    <cellStyle name="Currency 5 2 6 3 4" xfId="9703" xr:uid="{370A566E-49A3-4C53-B0DC-C2FD90529896}"/>
    <cellStyle name="Currency 5 2 6 3 5" xfId="18148" xr:uid="{F6078F54-A816-4376-B987-E4B5E1A71231}"/>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28943C09-F09B-4FC6-88D2-F7DC26F5C2F2}"/>
    <cellStyle name="Currency 5 2 6 4 2 2 3" xfId="24925" xr:uid="{7542B2E8-DB47-433D-8701-8F7F70812027}"/>
    <cellStyle name="Currency 5 2 6 4 2 3" xfId="12261" xr:uid="{D2A511C0-D06D-4AE7-B1ED-C109B9889F3F}"/>
    <cellStyle name="Currency 5 2 6 4 2 4" xfId="20708" xr:uid="{CC91C7BA-3817-4CF0-9ADC-01898EE53B13}"/>
    <cellStyle name="Currency 5 2 6 4 3" xfId="5892" xr:uid="{00000000-0005-0000-0000-0000740C0000}"/>
    <cellStyle name="Currency 5 2 6 4 3 2" xfId="14334" xr:uid="{3A38DB7D-2E80-45D8-B8E8-83915D2277C2}"/>
    <cellStyle name="Currency 5 2 6 4 3 3" xfId="22780" xr:uid="{B10E7A93-8FDC-433D-B0FD-4A4AA85EFE96}"/>
    <cellStyle name="Currency 5 2 6 4 4" xfId="10116" xr:uid="{A53A6897-7524-48DB-AA4E-23BC9FFC7A6F}"/>
    <cellStyle name="Currency 5 2 6 4 5" xfId="18561" xr:uid="{0E9A76DB-34F7-479C-9574-698FBE048A2A}"/>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6367782E-D20C-4B3D-8DA2-BE87BC83E0A7}"/>
    <cellStyle name="Currency 5 2 6 5 2 2 3" xfId="25338" xr:uid="{3A01A208-3DA4-4D63-A37D-F802CE12E259}"/>
    <cellStyle name="Currency 5 2 6 5 2 3" xfId="12674" xr:uid="{363CAA28-226E-4DCD-BEFB-6787C645A717}"/>
    <cellStyle name="Currency 5 2 6 5 2 4" xfId="21121" xr:uid="{2CC4015B-EE09-4386-AF01-0C2FB347F6A7}"/>
    <cellStyle name="Currency 5 2 6 5 3" xfId="6305" xr:uid="{00000000-0005-0000-0000-0000780C0000}"/>
    <cellStyle name="Currency 5 2 6 5 3 2" xfId="14747" xr:uid="{0989A2B6-AA8A-4380-8F57-A67FD228349A}"/>
    <cellStyle name="Currency 5 2 6 5 3 3" xfId="23193" xr:uid="{FC1F050B-BD9D-45C4-BB7A-A09555F30421}"/>
    <cellStyle name="Currency 5 2 6 5 4" xfId="10529" xr:uid="{93CC868F-7848-4E88-8484-22C8A5F0357A}"/>
    <cellStyle name="Currency 5 2 6 5 5" xfId="18974" xr:uid="{E464B3B7-F32E-4936-BC9F-F66D8836279C}"/>
    <cellStyle name="Currency 5 2 6 6" xfId="2433" xr:uid="{00000000-0005-0000-0000-0000790C0000}"/>
    <cellStyle name="Currency 5 2 6 6 2" xfId="6718" xr:uid="{00000000-0005-0000-0000-00007A0C0000}"/>
    <cellStyle name="Currency 5 2 6 6 2 2" xfId="15160" xr:uid="{F52932E4-2C27-4C5B-8928-C65DB3A04E55}"/>
    <cellStyle name="Currency 5 2 6 6 2 3" xfId="23606" xr:uid="{57C41757-3FDB-4C4F-A412-8DE013C6AB97}"/>
    <cellStyle name="Currency 5 2 6 6 3" xfId="10942" xr:uid="{5FE8332C-DBC5-49EC-9C86-24A98973C22B}"/>
    <cellStyle name="Currency 5 2 6 6 4" xfId="19387" xr:uid="{FE8AB1B3-55CF-4465-A807-1019B00B13C6}"/>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51B3DFE8-F817-4607-BD82-BCE324604B26}"/>
    <cellStyle name="Currency 5 2 6 8 2 3" xfId="23923" xr:uid="{CAF486A3-3F6B-41A3-A845-452BDED66653}"/>
    <cellStyle name="Currency 5 2 6 8 3" xfId="11259" xr:uid="{EFA4D6F0-538F-409B-8B81-3C377870BF93}"/>
    <cellStyle name="Currency 5 2 6 8 4" xfId="19706" xr:uid="{2815E6A7-CE0E-4EC2-B5D3-6C8E5D7763D5}"/>
    <cellStyle name="Currency 5 2 6 9" xfId="4652" xr:uid="{00000000-0005-0000-0000-00007E0C0000}"/>
    <cellStyle name="Currency 5 2 6 9 2" xfId="13094" xr:uid="{FA10E1AA-C684-4A1C-916D-35C70E745384}"/>
    <cellStyle name="Currency 5 2 6 9 3" xfId="21540" xr:uid="{E6F700ED-470B-4032-A929-FCC184809A39}"/>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EDBE4307-72AA-4A92-B331-EE44DEE1DEC3}"/>
    <cellStyle name="Currency 5 3 2 10 2 3" xfId="23924" xr:uid="{78BCCAF0-A651-4E5F-BDE8-11B66A5B6101}"/>
    <cellStyle name="Currency 5 3 2 10 3" xfId="11260" xr:uid="{EFE8318A-9D54-486A-BF2B-8F1F4BACD7FD}"/>
    <cellStyle name="Currency 5 3 2 10 4" xfId="19707" xr:uid="{0DC09C49-70D8-4648-B3C2-0118F2EB07B2}"/>
    <cellStyle name="Currency 5 3 2 11" xfId="4653" xr:uid="{00000000-0005-0000-0000-0000840C0000}"/>
    <cellStyle name="Currency 5 3 2 11 2" xfId="13095" xr:uid="{05408F9D-54BA-4C2A-A6CD-2148B6DF765C}"/>
    <cellStyle name="Currency 5 3 2 11 3" xfId="21541" xr:uid="{97EA0D43-8B17-4608-9F31-06BCD929755B}"/>
    <cellStyle name="Currency 5 3 2 12" xfId="8877" xr:uid="{76614236-FF02-411E-9A28-1A8AC0CAD521}"/>
    <cellStyle name="Currency 5 3 2 13" xfId="17320" xr:uid="{6282E14F-7CF2-4098-AE14-B60BE7A8EACA}"/>
    <cellStyle name="Currency 5 3 2 2" xfId="211" xr:uid="{00000000-0005-0000-0000-0000850C0000}"/>
    <cellStyle name="Currency 5 3 2 2 10" xfId="4654" xr:uid="{00000000-0005-0000-0000-0000860C0000}"/>
    <cellStyle name="Currency 5 3 2 2 10 2" xfId="13096" xr:uid="{6D9CEC13-116C-4284-8BC4-7039004E8E11}"/>
    <cellStyle name="Currency 5 3 2 2 10 3" xfId="21542" xr:uid="{EAD04106-9FE7-4718-886B-1C75FB373C6A}"/>
    <cellStyle name="Currency 5 3 2 2 11" xfId="8878" xr:uid="{936D00E5-6359-4AF3-A0E9-614F10833E51}"/>
    <cellStyle name="Currency 5 3 2 2 12" xfId="17321" xr:uid="{406DDA03-B5FB-4E61-988E-77BE2AA001F3}"/>
    <cellStyle name="Currency 5 3 2 2 2" xfId="212" xr:uid="{00000000-0005-0000-0000-0000870C0000}"/>
    <cellStyle name="Currency 5 3 2 2 2 10" xfId="8879" xr:uid="{287F408C-A456-4AE8-891B-30715B3D9644}"/>
    <cellStyle name="Currency 5 3 2 2 2 11" xfId="17322" xr:uid="{437093CA-6013-409E-BDFB-DE95178204D6}"/>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2483EE9C-2341-4091-81D4-C6ABE3054297}"/>
    <cellStyle name="Currency 5 3 2 2 2 2 2 2 3" xfId="24102" xr:uid="{7A85DD16-20F2-4D70-B3F6-F59FE426946E}"/>
    <cellStyle name="Currency 5 3 2 2 2 2 2 3" xfId="11438" xr:uid="{1ACC9928-395C-4061-BC5F-5DEF6AC06BE8}"/>
    <cellStyle name="Currency 5 3 2 2 2 2 2 4" xfId="19885" xr:uid="{7570ECA8-F201-432C-B8FF-6C7955801CBA}"/>
    <cellStyle name="Currency 5 3 2 2 2 2 3" xfId="5069" xr:uid="{00000000-0005-0000-0000-00008B0C0000}"/>
    <cellStyle name="Currency 5 3 2 2 2 2 3 2" xfId="13511" xr:uid="{03CEBF79-676D-4AAD-84A3-DEC3C7ADF6A6}"/>
    <cellStyle name="Currency 5 3 2 2 2 2 3 3" xfId="21957" xr:uid="{848BCF0A-5C79-4D84-B5B8-F8E264B7EB0E}"/>
    <cellStyle name="Currency 5 3 2 2 2 2 4" xfId="9293" xr:uid="{D7B5090B-9A45-472B-BF8D-FC1F71A6F2FC}"/>
    <cellStyle name="Currency 5 3 2 2 2 2 5" xfId="17738" xr:uid="{85B03285-3F1F-4DE3-8B78-4FB9F70DD3E9}"/>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3317AF64-4D4E-49D9-90F0-EA9E998DFA4F}"/>
    <cellStyle name="Currency 5 3 2 2 2 3 2 2 3" xfId="24515" xr:uid="{E6118161-44B2-482C-A479-52549CF8A1AD}"/>
    <cellStyle name="Currency 5 3 2 2 2 3 2 3" xfId="11851" xr:uid="{77F758FB-E8EA-4BBD-A712-736AF160F5F6}"/>
    <cellStyle name="Currency 5 3 2 2 2 3 2 4" xfId="20298" xr:uid="{9DEA5147-6524-4CA1-80F7-0403B53CF644}"/>
    <cellStyle name="Currency 5 3 2 2 2 3 3" xfId="5482" xr:uid="{00000000-0005-0000-0000-00008F0C0000}"/>
    <cellStyle name="Currency 5 3 2 2 2 3 3 2" xfId="13924" xr:uid="{741D86C1-D8F5-4DA4-AF07-1E0E07FEE84E}"/>
    <cellStyle name="Currency 5 3 2 2 2 3 3 3" xfId="22370" xr:uid="{FC36F26B-8DAB-4E85-9E74-423BEE78B47C}"/>
    <cellStyle name="Currency 5 3 2 2 2 3 4" xfId="9706" xr:uid="{A0AD37DB-5656-42B8-AEE0-2AA4496FE49B}"/>
    <cellStyle name="Currency 5 3 2 2 2 3 5" xfId="18151" xr:uid="{C124D114-0E62-4B1D-863B-2E4C6012A591}"/>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B76817CD-A394-43DE-B7EB-B5422B9D14FF}"/>
    <cellStyle name="Currency 5 3 2 2 2 4 2 2 3" xfId="24928" xr:uid="{B15B86FC-6B72-4A90-9EC1-15B3B09494A2}"/>
    <cellStyle name="Currency 5 3 2 2 2 4 2 3" xfId="12264" xr:uid="{6BEAFDFC-FCBF-440A-9134-3729C1FE9953}"/>
    <cellStyle name="Currency 5 3 2 2 2 4 2 4" xfId="20711" xr:uid="{87174CCB-15C4-4ADB-97A3-3D777B685341}"/>
    <cellStyle name="Currency 5 3 2 2 2 4 3" xfId="5895" xr:uid="{00000000-0005-0000-0000-0000930C0000}"/>
    <cellStyle name="Currency 5 3 2 2 2 4 3 2" xfId="14337" xr:uid="{E3018B29-022E-4B88-8242-B2D3AA0497AF}"/>
    <cellStyle name="Currency 5 3 2 2 2 4 3 3" xfId="22783" xr:uid="{D6C1C7BA-F111-4205-85F8-EA926D0C5C1F}"/>
    <cellStyle name="Currency 5 3 2 2 2 4 4" xfId="10119" xr:uid="{E3AC4E5A-0664-4F2A-BC1A-6EB359EDD932}"/>
    <cellStyle name="Currency 5 3 2 2 2 4 5" xfId="18564" xr:uid="{9E4CE9EE-58F7-4830-80BA-315FE31CE4EF}"/>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2628F33C-7CB8-437E-BAD9-112C6BA07658}"/>
    <cellStyle name="Currency 5 3 2 2 2 5 2 2 3" xfId="25341" xr:uid="{C80FA3D7-29FB-4247-9335-1AF538CFB4A0}"/>
    <cellStyle name="Currency 5 3 2 2 2 5 2 3" xfId="12677" xr:uid="{1D635857-99A2-4C0C-A6FD-4AC09A531D26}"/>
    <cellStyle name="Currency 5 3 2 2 2 5 2 4" xfId="21124" xr:uid="{7868BA57-22AF-4271-9FF0-38D5B7B20230}"/>
    <cellStyle name="Currency 5 3 2 2 2 5 3" xfId="6308" xr:uid="{00000000-0005-0000-0000-0000970C0000}"/>
    <cellStyle name="Currency 5 3 2 2 2 5 3 2" xfId="14750" xr:uid="{52E5BF93-0393-4766-A078-5BE94C3E0323}"/>
    <cellStyle name="Currency 5 3 2 2 2 5 3 3" xfId="23196" xr:uid="{AE75005B-AE9A-4BA6-B555-26051894C65E}"/>
    <cellStyle name="Currency 5 3 2 2 2 5 4" xfId="10532" xr:uid="{E143C6CE-FA0A-449B-AD6F-EC60C998E5E2}"/>
    <cellStyle name="Currency 5 3 2 2 2 5 5" xfId="18977" xr:uid="{DF528257-3A4C-464C-8D81-37D5BB4A6D8A}"/>
    <cellStyle name="Currency 5 3 2 2 2 6" xfId="2436" xr:uid="{00000000-0005-0000-0000-0000980C0000}"/>
    <cellStyle name="Currency 5 3 2 2 2 6 2" xfId="6721" xr:uid="{00000000-0005-0000-0000-0000990C0000}"/>
    <cellStyle name="Currency 5 3 2 2 2 6 2 2" xfId="15163" xr:uid="{4129329D-2AC3-4DEE-BC90-FEEE86763CB6}"/>
    <cellStyle name="Currency 5 3 2 2 2 6 2 3" xfId="23609" xr:uid="{E029B7B3-2DBC-49B3-9ED9-F42E219AD973}"/>
    <cellStyle name="Currency 5 3 2 2 2 6 3" xfId="10945" xr:uid="{C9FA9C2B-E690-45B4-9877-399F6F745758}"/>
    <cellStyle name="Currency 5 3 2 2 2 6 4" xfId="19390" xr:uid="{923EB7FC-9E37-44A4-AA9C-DF29271BE29A}"/>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31D0E701-2414-41CA-B24A-FEF733392DAB}"/>
    <cellStyle name="Currency 5 3 2 2 2 8 2 3" xfId="23926" xr:uid="{3D5B5174-FED3-49B2-95D6-005E85E655F5}"/>
    <cellStyle name="Currency 5 3 2 2 2 8 3" xfId="11262" xr:uid="{3D458B79-7453-456F-B90C-A76BFDD15DF0}"/>
    <cellStyle name="Currency 5 3 2 2 2 8 4" xfId="19709" xr:uid="{7AF1197E-D6B9-4536-B708-4112B993C3F8}"/>
    <cellStyle name="Currency 5 3 2 2 2 9" xfId="4655" xr:uid="{00000000-0005-0000-0000-00009D0C0000}"/>
    <cellStyle name="Currency 5 3 2 2 2 9 2" xfId="13097" xr:uid="{CAE81C58-4C76-48CA-9BBA-741890B1AD3A}"/>
    <cellStyle name="Currency 5 3 2 2 2 9 3" xfId="21543" xr:uid="{C6FA5AD5-5D40-4DB5-8E1A-09B86CADDBD6}"/>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386CA2F8-655A-4FC4-8254-84209B3FD184}"/>
    <cellStyle name="Currency 5 3 2 2 3 2 2 3" xfId="24101" xr:uid="{7C7B6087-2E2C-4F4C-B462-30BE3D7329CE}"/>
    <cellStyle name="Currency 5 3 2 2 3 2 3" xfId="11437" xr:uid="{8BD3655A-5446-4DB5-BD21-7F7AC4ECFEA0}"/>
    <cellStyle name="Currency 5 3 2 2 3 2 4" xfId="19884" xr:uid="{60C6F22A-D4A9-460C-ABB5-1F6511347A82}"/>
    <cellStyle name="Currency 5 3 2 2 3 3" xfId="5068" xr:uid="{00000000-0005-0000-0000-0000A10C0000}"/>
    <cellStyle name="Currency 5 3 2 2 3 3 2" xfId="13510" xr:uid="{FB70F42A-7D06-4E08-B97C-570CB72C94B4}"/>
    <cellStyle name="Currency 5 3 2 2 3 3 3" xfId="21956" xr:uid="{357C03F8-FBC0-480F-A3BF-CF913793479C}"/>
    <cellStyle name="Currency 5 3 2 2 3 4" xfId="9292" xr:uid="{D45FDA57-DA49-44BB-B4E7-6E8AB2E5B20C}"/>
    <cellStyle name="Currency 5 3 2 2 3 5" xfId="17737" xr:uid="{152429CC-FA4D-499D-B5E0-7FF9A973DA1B}"/>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E3FDFE16-1133-47CE-9868-669AF4B1EEBF}"/>
    <cellStyle name="Currency 5 3 2 2 4 2 2 3" xfId="24514" xr:uid="{C7598A68-24E1-44C5-A844-514FFC8C5A84}"/>
    <cellStyle name="Currency 5 3 2 2 4 2 3" xfId="11850" xr:uid="{B1383DC8-8936-4B62-9D0C-65EB83E666BE}"/>
    <cellStyle name="Currency 5 3 2 2 4 2 4" xfId="20297" xr:uid="{203C7D3F-CFE2-44FB-8A4D-53D2CC9B1529}"/>
    <cellStyle name="Currency 5 3 2 2 4 3" xfId="5481" xr:uid="{00000000-0005-0000-0000-0000A50C0000}"/>
    <cellStyle name="Currency 5 3 2 2 4 3 2" xfId="13923" xr:uid="{9A3A89A6-0879-4DF7-AB01-67D1EEF92D69}"/>
    <cellStyle name="Currency 5 3 2 2 4 3 3" xfId="22369" xr:uid="{72E54883-1715-490D-9DD5-206D69453D42}"/>
    <cellStyle name="Currency 5 3 2 2 4 4" xfId="9705" xr:uid="{39D4AF04-3DE9-4CAC-86A2-C240BC1497DE}"/>
    <cellStyle name="Currency 5 3 2 2 4 5" xfId="18150" xr:uid="{AEDAC8A3-BA0E-4FB2-BFE8-50C74B4A83C3}"/>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2DC79CAD-B6A0-4770-BBBB-09EAD7F07A56}"/>
    <cellStyle name="Currency 5 3 2 2 5 2 2 3" xfId="24927" xr:uid="{61AE3E1A-443C-4A0F-B35B-536AC44AB344}"/>
    <cellStyle name="Currency 5 3 2 2 5 2 3" xfId="12263" xr:uid="{6394CFD7-8E81-4865-A9BB-3A1345D5DD16}"/>
    <cellStyle name="Currency 5 3 2 2 5 2 4" xfId="20710" xr:uid="{6CC7643B-8F30-48B0-B4D4-A24EFD32DA7D}"/>
    <cellStyle name="Currency 5 3 2 2 5 3" xfId="5894" xr:uid="{00000000-0005-0000-0000-0000A90C0000}"/>
    <cellStyle name="Currency 5 3 2 2 5 3 2" xfId="14336" xr:uid="{C61DD32A-63A8-4FDA-9062-2B6A0F36F2AF}"/>
    <cellStyle name="Currency 5 3 2 2 5 3 3" xfId="22782" xr:uid="{61AE0561-DE8C-4B2C-ABB7-C6B64C337785}"/>
    <cellStyle name="Currency 5 3 2 2 5 4" xfId="10118" xr:uid="{D0805A1B-E919-48B7-A28E-C31CAB0FE181}"/>
    <cellStyle name="Currency 5 3 2 2 5 5" xfId="18563" xr:uid="{694E5E97-9346-4917-AFC1-CC517D15F97D}"/>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0E2E73FD-A0C0-49C0-B2AE-3B062D236F0E}"/>
    <cellStyle name="Currency 5 3 2 2 6 2 2 3" xfId="25340" xr:uid="{2F39E78A-E2C6-4548-A58A-7F7AD866A3D3}"/>
    <cellStyle name="Currency 5 3 2 2 6 2 3" xfId="12676" xr:uid="{0C4C4E49-955D-4B1F-9D93-5584EE901F6F}"/>
    <cellStyle name="Currency 5 3 2 2 6 2 4" xfId="21123" xr:uid="{4055A406-B568-4A6C-9D9E-E666EA6E5531}"/>
    <cellStyle name="Currency 5 3 2 2 6 3" xfId="6307" xr:uid="{00000000-0005-0000-0000-0000AD0C0000}"/>
    <cellStyle name="Currency 5 3 2 2 6 3 2" xfId="14749" xr:uid="{7EEEBA53-4CA3-4047-BB7D-0FD7BE38AF5E}"/>
    <cellStyle name="Currency 5 3 2 2 6 3 3" xfId="23195" xr:uid="{BB22CF24-7A1D-4B75-88BC-2C9B6C6697E6}"/>
    <cellStyle name="Currency 5 3 2 2 6 4" xfId="10531" xr:uid="{65F37EBE-566C-4A77-A4C9-CA021F02CD2D}"/>
    <cellStyle name="Currency 5 3 2 2 6 5" xfId="18976" xr:uid="{6C55B57F-D540-4517-B61C-65F97464BF4B}"/>
    <cellStyle name="Currency 5 3 2 2 7" xfId="2435" xr:uid="{00000000-0005-0000-0000-0000AE0C0000}"/>
    <cellStyle name="Currency 5 3 2 2 7 2" xfId="6720" xr:uid="{00000000-0005-0000-0000-0000AF0C0000}"/>
    <cellStyle name="Currency 5 3 2 2 7 2 2" xfId="15162" xr:uid="{9B9D8674-4CDE-45CC-8C40-34BCFA0A4C45}"/>
    <cellStyle name="Currency 5 3 2 2 7 2 3" xfId="23608" xr:uid="{8419AD4E-6938-46E4-9DBF-3C83F860E5A0}"/>
    <cellStyle name="Currency 5 3 2 2 7 3" xfId="10944" xr:uid="{0216BAC2-892F-454F-8B13-26657582501D}"/>
    <cellStyle name="Currency 5 3 2 2 7 4" xfId="19389" xr:uid="{4E6DF17C-E7AC-430F-833D-A14BB51C0D40}"/>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BC833CEF-AA52-4810-BD71-BDD46F214D48}"/>
    <cellStyle name="Currency 5 3 2 2 9 2 3" xfId="23925" xr:uid="{E7D78706-B165-4416-A6E4-AF50EE9B0A9C}"/>
    <cellStyle name="Currency 5 3 2 2 9 3" xfId="11261" xr:uid="{38A7C3D1-15C0-4890-9839-F2C50A56AC99}"/>
    <cellStyle name="Currency 5 3 2 2 9 4" xfId="19708" xr:uid="{75E85362-28F9-44C2-A340-7990534C149E}"/>
    <cellStyle name="Currency 5 3 2 3" xfId="213" xr:uid="{00000000-0005-0000-0000-0000B30C0000}"/>
    <cellStyle name="Currency 5 3 2 3 10" xfId="8880" xr:uid="{1426C1F3-1B89-4621-BD5A-5005511FA067}"/>
    <cellStyle name="Currency 5 3 2 3 11" xfId="17323" xr:uid="{923CCC6D-5FA3-4C13-9C1D-DEEC096977D1}"/>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B031D615-D9B8-41AD-95AC-55B5DF8BDC05}"/>
    <cellStyle name="Currency 5 3 2 3 2 2 2 3" xfId="24103" xr:uid="{005C7406-212A-43F9-9122-757E8CFEFE3D}"/>
    <cellStyle name="Currency 5 3 2 3 2 2 3" xfId="11439" xr:uid="{70025D2D-16B9-4926-B7BE-A2BF579DE768}"/>
    <cellStyle name="Currency 5 3 2 3 2 2 4" xfId="19886" xr:uid="{D3A57D2E-D49B-48C8-AC88-C29E39CC127B}"/>
    <cellStyle name="Currency 5 3 2 3 2 3" xfId="5070" xr:uid="{00000000-0005-0000-0000-0000B70C0000}"/>
    <cellStyle name="Currency 5 3 2 3 2 3 2" xfId="13512" xr:uid="{29983CE6-CD6B-4E19-B59F-DD71927B79DF}"/>
    <cellStyle name="Currency 5 3 2 3 2 3 3" xfId="21958" xr:uid="{BD4DC928-3A1B-468B-940F-792D26CCA565}"/>
    <cellStyle name="Currency 5 3 2 3 2 4" xfId="9294" xr:uid="{FB41BC68-D2FD-4681-A2B6-B91FDE3149F7}"/>
    <cellStyle name="Currency 5 3 2 3 2 5" xfId="17739" xr:uid="{82EFA70A-507B-4812-A337-F260749EA5C1}"/>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E0F2BFF6-CF5F-47F3-89B9-BEA1B2621C5E}"/>
    <cellStyle name="Currency 5 3 2 3 3 2 2 3" xfId="24516" xr:uid="{CFF44DE2-F591-4740-9B4B-87299DD7D495}"/>
    <cellStyle name="Currency 5 3 2 3 3 2 3" xfId="11852" xr:uid="{D4CC42CD-E620-433D-BF3B-C223FE0135B5}"/>
    <cellStyle name="Currency 5 3 2 3 3 2 4" xfId="20299" xr:uid="{BB71161D-2F52-4EC7-809F-974480CCAEA3}"/>
    <cellStyle name="Currency 5 3 2 3 3 3" xfId="5483" xr:uid="{00000000-0005-0000-0000-0000BB0C0000}"/>
    <cellStyle name="Currency 5 3 2 3 3 3 2" xfId="13925" xr:uid="{AD8F1642-5BBB-4551-B8BC-DB47F9C45299}"/>
    <cellStyle name="Currency 5 3 2 3 3 3 3" xfId="22371" xr:uid="{95C2FCC8-2307-43D8-B7DE-0CCA1B343547}"/>
    <cellStyle name="Currency 5 3 2 3 3 4" xfId="9707" xr:uid="{25BAD3B9-2CF7-440E-A2AB-DC5446CC7FC5}"/>
    <cellStyle name="Currency 5 3 2 3 3 5" xfId="18152" xr:uid="{A958D1AC-B32A-44AA-9696-D5B5DA7294F8}"/>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AB47FA41-25CE-4FD3-B51D-B4A1BB0D8A88}"/>
    <cellStyle name="Currency 5 3 2 3 4 2 2 3" xfId="24929" xr:uid="{0DFB144A-2AC5-44CD-BA6C-9D8F34D192B7}"/>
    <cellStyle name="Currency 5 3 2 3 4 2 3" xfId="12265" xr:uid="{490556C7-DF34-4E60-B6D7-B43FF3BE50A3}"/>
    <cellStyle name="Currency 5 3 2 3 4 2 4" xfId="20712" xr:uid="{5950B84D-F857-46D4-968C-B7F2C5104A1F}"/>
    <cellStyle name="Currency 5 3 2 3 4 3" xfId="5896" xr:uid="{00000000-0005-0000-0000-0000BF0C0000}"/>
    <cellStyle name="Currency 5 3 2 3 4 3 2" xfId="14338" xr:uid="{5EAEBC2B-81ED-44EE-8D53-8E744867E933}"/>
    <cellStyle name="Currency 5 3 2 3 4 3 3" xfId="22784" xr:uid="{72FD4020-FAD8-40B9-B989-7BF2FC4EB9DE}"/>
    <cellStyle name="Currency 5 3 2 3 4 4" xfId="10120" xr:uid="{255D59F9-BBE8-41F0-A9BC-D83C091AD5A3}"/>
    <cellStyle name="Currency 5 3 2 3 4 5" xfId="18565" xr:uid="{2FF34007-7CC9-4366-B7C7-FCEC01D07071}"/>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61C5500B-54BA-4FA8-B4A1-E131075F3251}"/>
    <cellStyle name="Currency 5 3 2 3 5 2 2 3" xfId="25342" xr:uid="{416A6AD9-3F5D-4C5D-9BBD-55076B9EA313}"/>
    <cellStyle name="Currency 5 3 2 3 5 2 3" xfId="12678" xr:uid="{2036495A-40C8-4CDE-A60A-6CDF26EC1325}"/>
    <cellStyle name="Currency 5 3 2 3 5 2 4" xfId="21125" xr:uid="{A8749B55-4701-4D59-B980-3C03D4B9964A}"/>
    <cellStyle name="Currency 5 3 2 3 5 3" xfId="6309" xr:uid="{00000000-0005-0000-0000-0000C30C0000}"/>
    <cellStyle name="Currency 5 3 2 3 5 3 2" xfId="14751" xr:uid="{BB126342-B2CD-4578-AD92-630B5DB15442}"/>
    <cellStyle name="Currency 5 3 2 3 5 3 3" xfId="23197" xr:uid="{F9C4B601-857F-4708-821C-7A334A1FDEF0}"/>
    <cellStyle name="Currency 5 3 2 3 5 4" xfId="10533" xr:uid="{87AF9736-F375-4EB4-BEE5-A15924940F19}"/>
    <cellStyle name="Currency 5 3 2 3 5 5" xfId="18978" xr:uid="{29DF8E2A-8CA6-4122-8A7B-055289C6CAEF}"/>
    <cellStyle name="Currency 5 3 2 3 6" xfId="2437" xr:uid="{00000000-0005-0000-0000-0000C40C0000}"/>
    <cellStyle name="Currency 5 3 2 3 6 2" xfId="6722" xr:uid="{00000000-0005-0000-0000-0000C50C0000}"/>
    <cellStyle name="Currency 5 3 2 3 6 2 2" xfId="15164" xr:uid="{8969A962-FECB-4E50-9744-2D8930387B79}"/>
    <cellStyle name="Currency 5 3 2 3 6 2 3" xfId="23610" xr:uid="{41FB5343-1D8F-45A3-97F6-9F35C5F5A9B0}"/>
    <cellStyle name="Currency 5 3 2 3 6 3" xfId="10946" xr:uid="{A31A22F5-28A8-4478-A0BE-41636D139EB6}"/>
    <cellStyle name="Currency 5 3 2 3 6 4" xfId="19391" xr:uid="{39212D1A-5D52-41C4-B4CD-A310944B8FEE}"/>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3761153D-FD93-4252-B593-6060015AB2DF}"/>
    <cellStyle name="Currency 5 3 2 3 8 2 3" xfId="23927" xr:uid="{C55CAED6-6788-45F3-B32A-FED105886FB8}"/>
    <cellStyle name="Currency 5 3 2 3 8 3" xfId="11263" xr:uid="{39901050-E632-4001-B792-8B3883A47C79}"/>
    <cellStyle name="Currency 5 3 2 3 8 4" xfId="19710" xr:uid="{8E675C93-1B14-498D-BE6F-F586F42B6361}"/>
    <cellStyle name="Currency 5 3 2 3 9" xfId="4656" xr:uid="{00000000-0005-0000-0000-0000C90C0000}"/>
    <cellStyle name="Currency 5 3 2 3 9 2" xfId="13098" xr:uid="{FA47962C-B072-4844-93E1-AC4922DA3240}"/>
    <cellStyle name="Currency 5 3 2 3 9 3" xfId="21544" xr:uid="{21DCD877-F710-43AE-B37B-5F68A087654D}"/>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27C341C4-C290-4063-91A5-0548A2236539}"/>
    <cellStyle name="Currency 5 3 2 4 2 2 3" xfId="24100" xr:uid="{D867B9E1-72B4-44F0-B768-7F341888240A}"/>
    <cellStyle name="Currency 5 3 2 4 2 3" xfId="11436" xr:uid="{AABE60B7-985C-4465-804C-14ABA700A325}"/>
    <cellStyle name="Currency 5 3 2 4 2 4" xfId="19883" xr:uid="{B91F3C60-7054-45FB-993B-91C07C4E6F37}"/>
    <cellStyle name="Currency 5 3 2 4 3" xfId="5067" xr:uid="{00000000-0005-0000-0000-0000CD0C0000}"/>
    <cellStyle name="Currency 5 3 2 4 3 2" xfId="13509" xr:uid="{21404864-598A-40DB-9295-EAD29E797D1F}"/>
    <cellStyle name="Currency 5 3 2 4 3 3" xfId="21955" xr:uid="{CAF32394-B464-4653-AB35-28D83F56DC92}"/>
    <cellStyle name="Currency 5 3 2 4 4" xfId="9291" xr:uid="{CA2C5370-BB29-4534-AB2C-0C9ADC384C3D}"/>
    <cellStyle name="Currency 5 3 2 4 5" xfId="17736" xr:uid="{C15B5273-7089-436D-B695-1E6E21ADB86E}"/>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3394D5EB-5040-4ABA-883D-D7C158602710}"/>
    <cellStyle name="Currency 5 3 2 5 2 2 3" xfId="24513" xr:uid="{F02B7E09-8018-4273-A66B-4995E7B1B0A7}"/>
    <cellStyle name="Currency 5 3 2 5 2 3" xfId="11849" xr:uid="{002F6DDE-8AAB-4B1F-8C50-28817C7A5FCD}"/>
    <cellStyle name="Currency 5 3 2 5 2 4" xfId="20296" xr:uid="{FFF313BE-0053-4604-8BD1-B871FF96484B}"/>
    <cellStyle name="Currency 5 3 2 5 3" xfId="5480" xr:uid="{00000000-0005-0000-0000-0000D10C0000}"/>
    <cellStyle name="Currency 5 3 2 5 3 2" xfId="13922" xr:uid="{35766061-D622-48D9-8FBE-4CB5BC1FE73A}"/>
    <cellStyle name="Currency 5 3 2 5 3 3" xfId="22368" xr:uid="{F8267930-68C9-4C9B-B838-AB2F7FECA7B5}"/>
    <cellStyle name="Currency 5 3 2 5 4" xfId="9704" xr:uid="{D3795E70-C145-4B44-B73A-75FA73A08920}"/>
    <cellStyle name="Currency 5 3 2 5 5" xfId="18149" xr:uid="{2B82C44D-6D2E-4BBB-B30F-19EA8CF73111}"/>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FE55451A-37E8-47F4-BA0F-CC87F0E784F0}"/>
    <cellStyle name="Currency 5 3 2 6 2 2 3" xfId="24926" xr:uid="{18DFE4A3-C747-456D-BBFE-3DC9B7AA4956}"/>
    <cellStyle name="Currency 5 3 2 6 2 3" xfId="12262" xr:uid="{0CA2367E-543D-4788-8062-3EEBFFFD340C}"/>
    <cellStyle name="Currency 5 3 2 6 2 4" xfId="20709" xr:uid="{1196CBF1-B4E2-4113-ABC9-F1537D97C19D}"/>
    <cellStyle name="Currency 5 3 2 6 3" xfId="5893" xr:uid="{00000000-0005-0000-0000-0000D50C0000}"/>
    <cellStyle name="Currency 5 3 2 6 3 2" xfId="14335" xr:uid="{7073A91C-82D2-4AB9-949D-55BDBADE56DB}"/>
    <cellStyle name="Currency 5 3 2 6 3 3" xfId="22781" xr:uid="{2547E40C-678D-4E22-A011-BC7714AC25BA}"/>
    <cellStyle name="Currency 5 3 2 6 4" xfId="10117" xr:uid="{FE00D98E-B661-434F-A09C-EE909A168217}"/>
    <cellStyle name="Currency 5 3 2 6 5" xfId="18562" xr:uid="{2ED3A250-BCD6-4F8E-938D-C87EFA2C618D}"/>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DC9C22C0-3F56-4B61-A7B9-37BF3315FD6E}"/>
    <cellStyle name="Currency 5 3 2 7 2 2 3" xfId="25339" xr:uid="{3F92E2ED-1423-40B0-9212-49EC8BC756FC}"/>
    <cellStyle name="Currency 5 3 2 7 2 3" xfId="12675" xr:uid="{2B1D90D7-574E-47A9-9B93-3888A16D5C4B}"/>
    <cellStyle name="Currency 5 3 2 7 2 4" xfId="21122" xr:uid="{B9E45789-9D61-44EA-984D-7DC244DB22A5}"/>
    <cellStyle name="Currency 5 3 2 7 3" xfId="6306" xr:uid="{00000000-0005-0000-0000-0000D90C0000}"/>
    <cellStyle name="Currency 5 3 2 7 3 2" xfId="14748" xr:uid="{1939DEC6-4403-489C-97AF-3C8886F4BA6C}"/>
    <cellStyle name="Currency 5 3 2 7 3 3" xfId="23194" xr:uid="{38461C04-C51C-4AFD-80D1-B4A1CDA8E0B5}"/>
    <cellStyle name="Currency 5 3 2 7 4" xfId="10530" xr:uid="{3306DFE1-216C-4844-AD89-0A47757D3BA1}"/>
    <cellStyle name="Currency 5 3 2 7 5" xfId="18975" xr:uid="{62FB5A6E-E010-464C-9395-471EC4F2BAAF}"/>
    <cellStyle name="Currency 5 3 2 8" xfId="2434" xr:uid="{00000000-0005-0000-0000-0000DA0C0000}"/>
    <cellStyle name="Currency 5 3 2 8 2" xfId="6719" xr:uid="{00000000-0005-0000-0000-0000DB0C0000}"/>
    <cellStyle name="Currency 5 3 2 8 2 2" xfId="15161" xr:uid="{1E215FE2-B9E7-491B-AEC1-8789B631A328}"/>
    <cellStyle name="Currency 5 3 2 8 2 3" xfId="23607" xr:uid="{CA66712E-D50A-477B-8C78-B5F75610FD93}"/>
    <cellStyle name="Currency 5 3 2 8 3" xfId="10943" xr:uid="{A9669992-D516-432F-87F1-D21AA9644CC4}"/>
    <cellStyle name="Currency 5 3 2 8 4" xfId="19388" xr:uid="{425FE255-4455-4174-AA19-C25EFBC6C575}"/>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53EA3698-1C1B-49E7-8663-E65B7E450916}"/>
    <cellStyle name="Currency 5 3 3 10 3" xfId="21545" xr:uid="{E0FD51D4-E2FA-49F2-8CBE-D92E34014485}"/>
    <cellStyle name="Currency 5 3 3 11" xfId="8881" xr:uid="{86DB5600-2B13-4B17-B6B5-57BFCBED0A38}"/>
    <cellStyle name="Currency 5 3 3 12" xfId="17324" xr:uid="{3864EEF1-7843-48B2-AF6F-48714BA0D861}"/>
    <cellStyle name="Currency 5 3 3 2" xfId="215" xr:uid="{00000000-0005-0000-0000-0000DF0C0000}"/>
    <cellStyle name="Currency 5 3 3 2 10" xfId="8882" xr:uid="{D5CF7CE9-1B73-4299-88FD-67773AF24778}"/>
    <cellStyle name="Currency 5 3 3 2 11" xfId="17325" xr:uid="{75221561-0B12-41A2-BA2A-14A0FEA886D7}"/>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0D78D689-A8BF-4C4E-BDAF-8A64DCAA53E0}"/>
    <cellStyle name="Currency 5 3 3 2 2 2 2 3" xfId="24105" xr:uid="{329624EE-0DA0-491E-8ECB-9960F0EC519F}"/>
    <cellStyle name="Currency 5 3 3 2 2 2 3" xfId="11441" xr:uid="{F5CFEF9E-5017-43C2-A561-22748413A89A}"/>
    <cellStyle name="Currency 5 3 3 2 2 2 4" xfId="19888" xr:uid="{C6973E6C-6FD5-4F52-A073-9B3CAD36F72E}"/>
    <cellStyle name="Currency 5 3 3 2 2 3" xfId="5072" xr:uid="{00000000-0005-0000-0000-0000E30C0000}"/>
    <cellStyle name="Currency 5 3 3 2 2 3 2" xfId="13514" xr:uid="{2F9EEF15-4C96-4CE9-8BFB-9933B8CDF65C}"/>
    <cellStyle name="Currency 5 3 3 2 2 3 3" xfId="21960" xr:uid="{1E2775A0-BD04-4BD1-8743-02964058947E}"/>
    <cellStyle name="Currency 5 3 3 2 2 4" xfId="9296" xr:uid="{2EBBCE89-787B-4E08-83BE-BCF0D3735952}"/>
    <cellStyle name="Currency 5 3 3 2 2 5" xfId="17741" xr:uid="{5253E66B-9066-4CCF-BA1D-551AAE0B59C8}"/>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D384A29B-50BB-42AD-A3CA-69C244C7CD52}"/>
    <cellStyle name="Currency 5 3 3 2 3 2 2 3" xfId="24518" xr:uid="{8D8E7A7F-1963-4D6B-8746-ECC57C59DDFB}"/>
    <cellStyle name="Currency 5 3 3 2 3 2 3" xfId="11854" xr:uid="{F5564C70-28D0-44BE-9A86-E93002927C79}"/>
    <cellStyle name="Currency 5 3 3 2 3 2 4" xfId="20301" xr:uid="{00BCE291-21C1-4750-9CCD-D118CF5C433E}"/>
    <cellStyle name="Currency 5 3 3 2 3 3" xfId="5485" xr:uid="{00000000-0005-0000-0000-0000E70C0000}"/>
    <cellStyle name="Currency 5 3 3 2 3 3 2" xfId="13927" xr:uid="{8303EA4B-549A-4C2E-99CE-EB61E38DADE1}"/>
    <cellStyle name="Currency 5 3 3 2 3 3 3" xfId="22373" xr:uid="{B6BC9A7E-B038-4768-9C37-F6EBBD590915}"/>
    <cellStyle name="Currency 5 3 3 2 3 4" xfId="9709" xr:uid="{78BDEDB9-F919-416F-878F-4E3790B59CC6}"/>
    <cellStyle name="Currency 5 3 3 2 3 5" xfId="18154" xr:uid="{494F4AC1-1396-4E36-AA16-CC3DC6A2B73F}"/>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E86DE567-1E65-40B9-9439-B982DBE24299}"/>
    <cellStyle name="Currency 5 3 3 2 4 2 2 3" xfId="24931" xr:uid="{7A2D4AAB-BC32-4EE7-8C8D-DA3C7B4CBD99}"/>
    <cellStyle name="Currency 5 3 3 2 4 2 3" xfId="12267" xr:uid="{5EA63823-A8A5-4E76-8BA0-48E6D7D444D5}"/>
    <cellStyle name="Currency 5 3 3 2 4 2 4" xfId="20714" xr:uid="{2BE1CF94-12EE-4DE9-804F-E600FC92FEF9}"/>
    <cellStyle name="Currency 5 3 3 2 4 3" xfId="5898" xr:uid="{00000000-0005-0000-0000-0000EB0C0000}"/>
    <cellStyle name="Currency 5 3 3 2 4 3 2" xfId="14340" xr:uid="{B860DB3B-57D3-4D0E-89EC-F45A8FC8715B}"/>
    <cellStyle name="Currency 5 3 3 2 4 3 3" xfId="22786" xr:uid="{D0186BD4-7FE6-47AF-9691-252587605FA0}"/>
    <cellStyle name="Currency 5 3 3 2 4 4" xfId="10122" xr:uid="{F309A76F-6314-4F3D-A737-8BFA477D1FCC}"/>
    <cellStyle name="Currency 5 3 3 2 4 5" xfId="18567" xr:uid="{D8D46E8E-1330-44C4-8D2C-DB9932117EDA}"/>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A20CEDF8-F532-4A38-A23F-6ADE7FE6E342}"/>
    <cellStyle name="Currency 5 3 3 2 5 2 2 3" xfId="25344" xr:uid="{2296184F-9438-4242-8050-C3E8F9BF36EA}"/>
    <cellStyle name="Currency 5 3 3 2 5 2 3" xfId="12680" xr:uid="{E55827CA-450F-48DB-B9E7-CA7F99AA5397}"/>
    <cellStyle name="Currency 5 3 3 2 5 2 4" xfId="21127" xr:uid="{5D829657-CA10-4EEF-BCFC-5A063D82E072}"/>
    <cellStyle name="Currency 5 3 3 2 5 3" xfId="6311" xr:uid="{00000000-0005-0000-0000-0000EF0C0000}"/>
    <cellStyle name="Currency 5 3 3 2 5 3 2" xfId="14753" xr:uid="{EC5D558B-8E61-46A2-80E3-B941392A9BDE}"/>
    <cellStyle name="Currency 5 3 3 2 5 3 3" xfId="23199" xr:uid="{EE2FD9ED-62BC-4A7B-8EAA-6D1EFB16585B}"/>
    <cellStyle name="Currency 5 3 3 2 5 4" xfId="10535" xr:uid="{3D9CC44B-6EA1-4C53-AAD7-47E82A1FB9A2}"/>
    <cellStyle name="Currency 5 3 3 2 5 5" xfId="18980" xr:uid="{DEC0FD70-24B5-450D-A130-232AC5414620}"/>
    <cellStyle name="Currency 5 3 3 2 6" xfId="2439" xr:uid="{00000000-0005-0000-0000-0000F00C0000}"/>
    <cellStyle name="Currency 5 3 3 2 6 2" xfId="6724" xr:uid="{00000000-0005-0000-0000-0000F10C0000}"/>
    <cellStyle name="Currency 5 3 3 2 6 2 2" xfId="15166" xr:uid="{98D2F974-7910-4B27-BCD0-87EE22E6F195}"/>
    <cellStyle name="Currency 5 3 3 2 6 2 3" xfId="23612" xr:uid="{735082BF-3E40-47FD-AB1A-E5FD332FDFE5}"/>
    <cellStyle name="Currency 5 3 3 2 6 3" xfId="10948" xr:uid="{8534CE6F-B170-4BE1-8DF0-30D0BEE382FF}"/>
    <cellStyle name="Currency 5 3 3 2 6 4" xfId="19393" xr:uid="{8173C9A0-30A1-4E5A-8839-61DD1673B4A5}"/>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9E238979-A75A-42CE-896E-C22D2645AE7F}"/>
    <cellStyle name="Currency 5 3 3 2 8 2 3" xfId="23929" xr:uid="{E183FECC-8E03-4670-BDBB-63A22B5EEB3F}"/>
    <cellStyle name="Currency 5 3 3 2 8 3" xfId="11265" xr:uid="{56C001E1-BB04-4460-BC78-D05FBB26D383}"/>
    <cellStyle name="Currency 5 3 3 2 8 4" xfId="19712" xr:uid="{D4A34815-BF70-484D-94C0-18197141E388}"/>
    <cellStyle name="Currency 5 3 3 2 9" xfId="4658" xr:uid="{00000000-0005-0000-0000-0000F50C0000}"/>
    <cellStyle name="Currency 5 3 3 2 9 2" xfId="13100" xr:uid="{E8E17F2D-CAB1-422C-879D-37D3DB91CDCD}"/>
    <cellStyle name="Currency 5 3 3 2 9 3" xfId="21546" xr:uid="{773FE179-54B5-49CA-9D48-F93F30B7687A}"/>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43FAD71E-7399-4CE7-AFCD-DA8137DCEF68}"/>
    <cellStyle name="Currency 5 3 3 3 2 2 3" xfId="24104" xr:uid="{E7577042-6930-4340-BA81-01881E2C176B}"/>
    <cellStyle name="Currency 5 3 3 3 2 3" xfId="11440" xr:uid="{C40A0999-2F33-41BA-A436-BCA47C76846B}"/>
    <cellStyle name="Currency 5 3 3 3 2 4" xfId="19887" xr:uid="{00633E03-6BFB-4655-96AE-DC89184A6645}"/>
    <cellStyle name="Currency 5 3 3 3 3" xfId="5071" xr:uid="{00000000-0005-0000-0000-0000F90C0000}"/>
    <cellStyle name="Currency 5 3 3 3 3 2" xfId="13513" xr:uid="{A7EEAE32-CD23-44FB-BB33-8A07272B443A}"/>
    <cellStyle name="Currency 5 3 3 3 3 3" xfId="21959" xr:uid="{1B999D41-C332-4DF5-9BB0-FDAD4D1ADE9E}"/>
    <cellStyle name="Currency 5 3 3 3 4" xfId="9295" xr:uid="{9EE82C5F-D31E-468B-A04F-471E88345B15}"/>
    <cellStyle name="Currency 5 3 3 3 5" xfId="17740" xr:uid="{3F32D894-7447-407F-B80E-29AF13909C4C}"/>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62D157A4-7707-49E5-8B4C-8F9401E56813}"/>
    <cellStyle name="Currency 5 3 3 4 2 2 3" xfId="24517" xr:uid="{40592780-7C6F-4194-A279-843CCD8781BF}"/>
    <cellStyle name="Currency 5 3 3 4 2 3" xfId="11853" xr:uid="{03FD1097-9A2B-4AF6-8B15-5C0474A006E1}"/>
    <cellStyle name="Currency 5 3 3 4 2 4" xfId="20300" xr:uid="{671BF536-7477-4D3B-B8BD-2ACA2D2EF7F4}"/>
    <cellStyle name="Currency 5 3 3 4 3" xfId="5484" xr:uid="{00000000-0005-0000-0000-0000FD0C0000}"/>
    <cellStyle name="Currency 5 3 3 4 3 2" xfId="13926" xr:uid="{0008BB77-4249-4CDF-9933-E8EEB7AEE9FC}"/>
    <cellStyle name="Currency 5 3 3 4 3 3" xfId="22372" xr:uid="{EF36560B-FDB1-4357-8ED8-0965C9922F96}"/>
    <cellStyle name="Currency 5 3 3 4 4" xfId="9708" xr:uid="{F674F231-FAAC-4AFE-B7E1-ADEBFBB99D1C}"/>
    <cellStyle name="Currency 5 3 3 4 5" xfId="18153" xr:uid="{3628F364-A5A1-45F0-8243-4EB12FDAD51E}"/>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A5F7063B-A7A6-4B76-84D6-E7C61F9E1E6B}"/>
    <cellStyle name="Currency 5 3 3 5 2 2 3" xfId="24930" xr:uid="{7A5B840F-A33A-4FCD-A1B2-3752E7C6BADE}"/>
    <cellStyle name="Currency 5 3 3 5 2 3" xfId="12266" xr:uid="{98A42096-933A-4BD0-8375-D3C8312FE2EB}"/>
    <cellStyle name="Currency 5 3 3 5 2 4" xfId="20713" xr:uid="{4B71ED8C-C2EC-46D1-8D47-1D2D64B9CDE0}"/>
    <cellStyle name="Currency 5 3 3 5 3" xfId="5897" xr:uid="{00000000-0005-0000-0000-0000010D0000}"/>
    <cellStyle name="Currency 5 3 3 5 3 2" xfId="14339" xr:uid="{1B3E719A-446B-4B1F-A800-3296EC562322}"/>
    <cellStyle name="Currency 5 3 3 5 3 3" xfId="22785" xr:uid="{C5FFC95C-6DC9-4C22-A874-A9371FE52ECD}"/>
    <cellStyle name="Currency 5 3 3 5 4" xfId="10121" xr:uid="{B86108E0-1A30-4976-A7FB-CFF8B89343F3}"/>
    <cellStyle name="Currency 5 3 3 5 5" xfId="18566" xr:uid="{E1F47969-AD1C-4FE6-8428-C334135F7679}"/>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6D3B051F-A5FC-4308-A7D3-90310A7EB996}"/>
    <cellStyle name="Currency 5 3 3 6 2 2 3" xfId="25343" xr:uid="{85150FA2-CA63-480F-8E84-B30DB0E72F00}"/>
    <cellStyle name="Currency 5 3 3 6 2 3" xfId="12679" xr:uid="{26BC9B36-54E7-445C-88A1-0A053ADBE2A0}"/>
    <cellStyle name="Currency 5 3 3 6 2 4" xfId="21126" xr:uid="{BBF481FD-6790-4F98-AFAF-2A311FDC3D72}"/>
    <cellStyle name="Currency 5 3 3 6 3" xfId="6310" xr:uid="{00000000-0005-0000-0000-0000050D0000}"/>
    <cellStyle name="Currency 5 3 3 6 3 2" xfId="14752" xr:uid="{248C594D-617D-4374-9AC2-08082483C130}"/>
    <cellStyle name="Currency 5 3 3 6 3 3" xfId="23198" xr:uid="{738E02E9-4468-4996-AC5A-5DE1231FE6F9}"/>
    <cellStyle name="Currency 5 3 3 6 4" xfId="10534" xr:uid="{094D13AC-E230-46FC-976B-97E989D6A380}"/>
    <cellStyle name="Currency 5 3 3 6 5" xfId="18979" xr:uid="{DC026AE1-1727-48C8-86EB-3DB911640169}"/>
    <cellStyle name="Currency 5 3 3 7" xfId="2438" xr:uid="{00000000-0005-0000-0000-0000060D0000}"/>
    <cellStyle name="Currency 5 3 3 7 2" xfId="6723" xr:uid="{00000000-0005-0000-0000-0000070D0000}"/>
    <cellStyle name="Currency 5 3 3 7 2 2" xfId="15165" xr:uid="{9CF0CDF6-C534-40EA-8BD9-1203A4073E38}"/>
    <cellStyle name="Currency 5 3 3 7 2 3" xfId="23611" xr:uid="{1A1C6FC1-5224-4549-9AFA-9C3A5769388B}"/>
    <cellStyle name="Currency 5 3 3 7 3" xfId="10947" xr:uid="{EC1B19F4-B734-4B73-8540-B5D35ED0CD88}"/>
    <cellStyle name="Currency 5 3 3 7 4" xfId="19392" xr:uid="{13B4ED86-C27B-481F-9817-4FB1DA38F133}"/>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B9536415-BCFC-4293-BA8E-C2E21C955BA2}"/>
    <cellStyle name="Currency 5 3 3 9 2 3" xfId="23928" xr:uid="{0B173EE3-9CEC-4D98-AC5E-1CA469AAE75E}"/>
    <cellStyle name="Currency 5 3 3 9 3" xfId="11264" xr:uid="{336E2780-7E1D-48AA-A7E8-A322AD860664}"/>
    <cellStyle name="Currency 5 3 3 9 4" xfId="19711" xr:uid="{5CA79443-5A33-401D-9882-2FE6C5298474}"/>
    <cellStyle name="Currency 5 3 4" xfId="216" xr:uid="{00000000-0005-0000-0000-00000B0D0000}"/>
    <cellStyle name="Currency 5 3 4 10" xfId="8883" xr:uid="{3D4B5639-E2AA-4699-89C1-1D93F2384FB0}"/>
    <cellStyle name="Currency 5 3 4 11" xfId="17326" xr:uid="{C330574E-BAC8-407B-88DD-C42340576EE2}"/>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32AB24C2-B87D-468D-A504-28D5862EBF47}"/>
    <cellStyle name="Currency 5 3 4 2 2 2 3" xfId="24106" xr:uid="{17713882-DBEE-48E9-9078-52307A3A4743}"/>
    <cellStyle name="Currency 5 3 4 2 2 3" xfId="11442" xr:uid="{D6FA325B-20D5-4B2B-98D2-5495A2D48EFD}"/>
    <cellStyle name="Currency 5 3 4 2 2 4" xfId="19889" xr:uid="{F7F2E92F-0E81-432B-BB95-847D264A98A2}"/>
    <cellStyle name="Currency 5 3 4 2 3" xfId="5073" xr:uid="{00000000-0005-0000-0000-00000F0D0000}"/>
    <cellStyle name="Currency 5 3 4 2 3 2" xfId="13515" xr:uid="{DDC37F69-F1FB-40F7-8618-AAE3420E698A}"/>
    <cellStyle name="Currency 5 3 4 2 3 3" xfId="21961" xr:uid="{8B635F61-F842-4690-9B36-A2C0D916F8D5}"/>
    <cellStyle name="Currency 5 3 4 2 4" xfId="9297" xr:uid="{AAF04602-CC4E-458C-819B-F5E09EE28773}"/>
    <cellStyle name="Currency 5 3 4 2 5" xfId="17742" xr:uid="{090F5717-55C5-4A2E-AA18-9CD38B3BE805}"/>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8CFA400E-943F-4C4E-8C1F-D51364F35A9C}"/>
    <cellStyle name="Currency 5 3 4 3 2 2 3" xfId="24519" xr:uid="{F3F7241B-A1A4-40D1-A253-16BC053A2694}"/>
    <cellStyle name="Currency 5 3 4 3 2 3" xfId="11855" xr:uid="{9DEAFE42-E9A6-403F-B174-61924956D289}"/>
    <cellStyle name="Currency 5 3 4 3 2 4" xfId="20302" xr:uid="{36C69049-D0F1-4272-92DD-A229EF702EA4}"/>
    <cellStyle name="Currency 5 3 4 3 3" xfId="5486" xr:uid="{00000000-0005-0000-0000-0000130D0000}"/>
    <cellStyle name="Currency 5 3 4 3 3 2" xfId="13928" xr:uid="{09A94FBE-F2EA-4886-9F5F-F54EE663C6F2}"/>
    <cellStyle name="Currency 5 3 4 3 3 3" xfId="22374" xr:uid="{60D8E88F-034E-4B8A-AB22-72FAE463A110}"/>
    <cellStyle name="Currency 5 3 4 3 4" xfId="9710" xr:uid="{F9D1E6F2-EC4D-4EBF-B7B6-10B8E7CC1F4F}"/>
    <cellStyle name="Currency 5 3 4 3 5" xfId="18155" xr:uid="{2E09355F-ADEF-4AA7-BF9D-C86E495BCA14}"/>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A96FF336-A39D-4340-9447-8D6414736402}"/>
    <cellStyle name="Currency 5 3 4 4 2 2 3" xfId="24932" xr:uid="{52E82706-1388-4D86-AD25-D91CA670DF70}"/>
    <cellStyle name="Currency 5 3 4 4 2 3" xfId="12268" xr:uid="{8E632CEC-CFB1-46B4-8350-5A761F17C5C5}"/>
    <cellStyle name="Currency 5 3 4 4 2 4" xfId="20715" xr:uid="{D9A05B3F-76A5-4093-AA68-88B9867A4920}"/>
    <cellStyle name="Currency 5 3 4 4 3" xfId="5899" xr:uid="{00000000-0005-0000-0000-0000170D0000}"/>
    <cellStyle name="Currency 5 3 4 4 3 2" xfId="14341" xr:uid="{6D803719-A942-4151-A4C3-16FF11AD01FC}"/>
    <cellStyle name="Currency 5 3 4 4 3 3" xfId="22787" xr:uid="{383A75B8-B258-4BDB-939D-C08AAD4F48BC}"/>
    <cellStyle name="Currency 5 3 4 4 4" xfId="10123" xr:uid="{71D442DD-806A-41F6-8FF1-658019D895B8}"/>
    <cellStyle name="Currency 5 3 4 4 5" xfId="18568" xr:uid="{B1B07C77-B35F-45CB-8B77-5824509528D4}"/>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85867714-F5CE-420F-B930-AE39DCD2AD55}"/>
    <cellStyle name="Currency 5 3 4 5 2 2 3" xfId="25345" xr:uid="{1D42F229-9B4B-4E5C-B1EA-A4B528A3A625}"/>
    <cellStyle name="Currency 5 3 4 5 2 3" xfId="12681" xr:uid="{0AD16522-F233-4C11-A9DC-4C5FF328DCE5}"/>
    <cellStyle name="Currency 5 3 4 5 2 4" xfId="21128" xr:uid="{B1ADEE17-2283-453E-8009-B0CBEAA149D6}"/>
    <cellStyle name="Currency 5 3 4 5 3" xfId="6312" xr:uid="{00000000-0005-0000-0000-00001B0D0000}"/>
    <cellStyle name="Currency 5 3 4 5 3 2" xfId="14754" xr:uid="{AB9F9AC0-1A04-44D6-95A9-838BCE37DBAD}"/>
    <cellStyle name="Currency 5 3 4 5 3 3" xfId="23200" xr:uid="{B1D94492-A4AD-4674-AD48-3ABD76DB1A54}"/>
    <cellStyle name="Currency 5 3 4 5 4" xfId="10536" xr:uid="{47DF81F2-5D2A-4AB0-85D1-282E49AA09CF}"/>
    <cellStyle name="Currency 5 3 4 5 5" xfId="18981" xr:uid="{0B7DD2D3-F3A0-48EE-8782-1D4F6BB0B7B9}"/>
    <cellStyle name="Currency 5 3 4 6" xfId="2440" xr:uid="{00000000-0005-0000-0000-00001C0D0000}"/>
    <cellStyle name="Currency 5 3 4 6 2" xfId="6725" xr:uid="{00000000-0005-0000-0000-00001D0D0000}"/>
    <cellStyle name="Currency 5 3 4 6 2 2" xfId="15167" xr:uid="{5A934C59-C5DE-49DA-9386-53FBB196FA1A}"/>
    <cellStyle name="Currency 5 3 4 6 2 3" xfId="23613" xr:uid="{C64D5861-A807-49A5-867A-87961731C93B}"/>
    <cellStyle name="Currency 5 3 4 6 3" xfId="10949" xr:uid="{69655589-EAAC-43C6-891E-9D6714EDF812}"/>
    <cellStyle name="Currency 5 3 4 6 4" xfId="19394" xr:uid="{AD33D142-E39C-447A-AE60-58E5ABF0B23E}"/>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74A78761-D4C0-4085-96DD-FAC84E576011}"/>
    <cellStyle name="Currency 5 3 4 8 2 3" xfId="23930" xr:uid="{4C0D066C-52A9-4486-AE51-C8ACAC652609}"/>
    <cellStyle name="Currency 5 3 4 8 3" xfId="11266" xr:uid="{78606ADA-543E-4BE9-9498-4E98F5A43300}"/>
    <cellStyle name="Currency 5 3 4 8 4" xfId="19713" xr:uid="{5394D902-8271-4EE8-9751-90ACB0A713B7}"/>
    <cellStyle name="Currency 5 3 4 9" xfId="4659" xr:uid="{00000000-0005-0000-0000-0000210D0000}"/>
    <cellStyle name="Currency 5 3 4 9 2" xfId="13101" xr:uid="{319A42B0-D913-4E6A-BD30-FC696F4582B6}"/>
    <cellStyle name="Currency 5 3 4 9 3" xfId="21547" xr:uid="{C8EEBE77-566C-4EAA-8229-0095885C6A08}"/>
    <cellStyle name="Currency 5 3 5" xfId="217" xr:uid="{00000000-0005-0000-0000-0000220D0000}"/>
    <cellStyle name="Currency 5 3 5 10" xfId="8884" xr:uid="{A56CAD99-7D1B-4BB7-AF8A-6D87BACED33C}"/>
    <cellStyle name="Currency 5 3 5 11" xfId="17327" xr:uid="{2489632F-B1A2-4B6B-886F-2EDA58194F13}"/>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37C95513-1D5C-41FE-B617-03B0E56E41BD}"/>
    <cellStyle name="Currency 5 3 5 2 2 2 3" xfId="24107" xr:uid="{8B6C60AD-0A0C-4DC4-AEF5-8D1F35448205}"/>
    <cellStyle name="Currency 5 3 5 2 2 3" xfId="11443" xr:uid="{9F2B062A-53AE-480D-94B5-53A74F844C26}"/>
    <cellStyle name="Currency 5 3 5 2 2 4" xfId="19890" xr:uid="{5CD641F5-9C7C-4E65-AAE3-F5F87D01C712}"/>
    <cellStyle name="Currency 5 3 5 2 3" xfId="5074" xr:uid="{00000000-0005-0000-0000-0000260D0000}"/>
    <cellStyle name="Currency 5 3 5 2 3 2" xfId="13516" xr:uid="{8E601A4E-D11C-4B2C-BBCE-D27433622486}"/>
    <cellStyle name="Currency 5 3 5 2 3 3" xfId="21962" xr:uid="{506B5C4B-5A5D-45CE-82BA-B2AF1A576CC1}"/>
    <cellStyle name="Currency 5 3 5 2 4" xfId="9298" xr:uid="{55ABC83A-9C25-422E-9148-C3AA6E30FDF1}"/>
    <cellStyle name="Currency 5 3 5 2 5" xfId="17743" xr:uid="{B78B92B8-A98B-4AAB-A2BA-8B7E6A5DF7A1}"/>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A472E665-7B75-4239-9870-607D29734D50}"/>
    <cellStyle name="Currency 5 3 5 3 2 2 3" xfId="24520" xr:uid="{1F13DC6F-7351-43EE-99A2-7CCFCD5C6216}"/>
    <cellStyle name="Currency 5 3 5 3 2 3" xfId="11856" xr:uid="{FCB56A3A-245B-4927-9E1E-C5F038101FF2}"/>
    <cellStyle name="Currency 5 3 5 3 2 4" xfId="20303" xr:uid="{42502BC1-CD84-42F4-A8A2-67864DD47A93}"/>
    <cellStyle name="Currency 5 3 5 3 3" xfId="5487" xr:uid="{00000000-0005-0000-0000-00002A0D0000}"/>
    <cellStyle name="Currency 5 3 5 3 3 2" xfId="13929" xr:uid="{8B9F619B-334E-474F-BB5B-762D9ABDEA7B}"/>
    <cellStyle name="Currency 5 3 5 3 3 3" xfId="22375" xr:uid="{5062FCAD-C8FA-46CC-AB01-BC1A84304948}"/>
    <cellStyle name="Currency 5 3 5 3 4" xfId="9711" xr:uid="{947D163D-0C20-4FE1-8DD6-ABD54F8F3287}"/>
    <cellStyle name="Currency 5 3 5 3 5" xfId="18156" xr:uid="{9B513962-D7D2-4433-B13A-9A9648419FC8}"/>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CBB1E708-D84D-4B3F-A29C-E2A3949377AE}"/>
    <cellStyle name="Currency 5 3 5 4 2 2 3" xfId="24933" xr:uid="{79D7609D-C287-4379-B7EA-C7F4BDE07C53}"/>
    <cellStyle name="Currency 5 3 5 4 2 3" xfId="12269" xr:uid="{2AD3A050-5023-4884-BEAB-4244FD70F7D9}"/>
    <cellStyle name="Currency 5 3 5 4 2 4" xfId="20716" xr:uid="{258C90CD-D211-4A91-B2AB-5A7B3131705E}"/>
    <cellStyle name="Currency 5 3 5 4 3" xfId="5900" xr:uid="{00000000-0005-0000-0000-00002E0D0000}"/>
    <cellStyle name="Currency 5 3 5 4 3 2" xfId="14342" xr:uid="{5DDAEE7A-1397-41E6-A553-F4F9FCFCCCC3}"/>
    <cellStyle name="Currency 5 3 5 4 3 3" xfId="22788" xr:uid="{666E8674-5CEE-4DCB-9131-26AB52B6E8DC}"/>
    <cellStyle name="Currency 5 3 5 4 4" xfId="10124" xr:uid="{B4A00FF4-B455-4C90-8AE9-619A79BB5694}"/>
    <cellStyle name="Currency 5 3 5 4 5" xfId="18569" xr:uid="{B494196E-1423-460E-955C-71E62994FBC9}"/>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5FAAADC8-6213-4A46-A804-E1A3069778F4}"/>
    <cellStyle name="Currency 5 3 5 5 2 2 3" xfId="25346" xr:uid="{3BC0AC10-7558-4B16-91B3-446D79A0E37E}"/>
    <cellStyle name="Currency 5 3 5 5 2 3" xfId="12682" xr:uid="{DC143A49-ECD1-425F-9F69-BEC6684C31DA}"/>
    <cellStyle name="Currency 5 3 5 5 2 4" xfId="21129" xr:uid="{190A2E79-64EF-409F-B6BE-68A091195649}"/>
    <cellStyle name="Currency 5 3 5 5 3" xfId="6313" xr:uid="{00000000-0005-0000-0000-0000320D0000}"/>
    <cellStyle name="Currency 5 3 5 5 3 2" xfId="14755" xr:uid="{0CD91074-DFF9-409A-8CDF-446E04EC85A0}"/>
    <cellStyle name="Currency 5 3 5 5 3 3" xfId="23201" xr:uid="{1B29EFF0-BFBA-4813-B811-1FC4C2179A7E}"/>
    <cellStyle name="Currency 5 3 5 5 4" xfId="10537" xr:uid="{4FFE4AAA-CA6F-4FA2-BA65-1463C1CA972C}"/>
    <cellStyle name="Currency 5 3 5 5 5" xfId="18982" xr:uid="{73C2BAE7-C4EE-49F7-8350-135D7C960C37}"/>
    <cellStyle name="Currency 5 3 5 6" xfId="2441" xr:uid="{00000000-0005-0000-0000-0000330D0000}"/>
    <cellStyle name="Currency 5 3 5 6 2" xfId="6726" xr:uid="{00000000-0005-0000-0000-0000340D0000}"/>
    <cellStyle name="Currency 5 3 5 6 2 2" xfId="15168" xr:uid="{F8964CB6-41CB-45A8-B3FF-2AE2CCFF8072}"/>
    <cellStyle name="Currency 5 3 5 6 2 3" xfId="23614" xr:uid="{6F7DE146-4661-4FBB-A0D7-78BBF24DC587}"/>
    <cellStyle name="Currency 5 3 5 6 3" xfId="10950" xr:uid="{C63041BC-5B11-4EE4-B670-4AA2AE2224D7}"/>
    <cellStyle name="Currency 5 3 5 6 4" xfId="19395" xr:uid="{FF8FDF45-7CBF-4352-B3E7-B24F67B144B3}"/>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00A6A9CC-50F4-40F7-8AEF-C85C2B8C46B4}"/>
    <cellStyle name="Currency 5 3 5 8 2 3" xfId="23931" xr:uid="{E42FD43A-33C8-4844-8021-F19A36081159}"/>
    <cellStyle name="Currency 5 3 5 8 3" xfId="11267" xr:uid="{DAE6B9A0-FCAF-4792-B6C5-51908819E34E}"/>
    <cellStyle name="Currency 5 3 5 8 4" xfId="19714" xr:uid="{0D0B1F9A-D3E7-4A2E-8F59-164900B03525}"/>
    <cellStyle name="Currency 5 3 5 9" xfId="4660" xr:uid="{00000000-0005-0000-0000-0000380D0000}"/>
    <cellStyle name="Currency 5 3 5 9 2" xfId="13102" xr:uid="{09389FBA-5713-4C9E-A5E6-FB6591817430}"/>
    <cellStyle name="Currency 5 3 5 9 3" xfId="21548" xr:uid="{B7808D22-6D07-4709-994E-23FC666AB9B7}"/>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9013E5E8-D01A-4FA5-B9EE-4F08B0703C8C}"/>
    <cellStyle name="Currency 5 5 10 3" xfId="21549" xr:uid="{753FB17F-5466-443D-9F1F-BD3A72DB9B3D}"/>
    <cellStyle name="Currency 5 5 11" xfId="8885" xr:uid="{FA11EF94-EC46-415A-96E4-00720F0E205E}"/>
    <cellStyle name="Currency 5 5 12" xfId="17328" xr:uid="{E0F7E650-BCA6-4C6C-9824-15D20B67DA09}"/>
    <cellStyle name="Currency 5 5 2" xfId="220" xr:uid="{00000000-0005-0000-0000-00003D0D0000}"/>
    <cellStyle name="Currency 5 5 2 10" xfId="8886" xr:uid="{6D222A47-0173-4BBC-9BB1-A0EE4E7E753E}"/>
    <cellStyle name="Currency 5 5 2 11" xfId="17329" xr:uid="{3CA4D46C-2D9B-44D9-9108-60A57EE0B26A}"/>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DCFFF593-4119-4159-9354-E13DA577D225}"/>
    <cellStyle name="Currency 5 5 2 2 2 2 3" xfId="24109" xr:uid="{F3D6D32D-2A16-4F58-B648-FA59DE80BBBE}"/>
    <cellStyle name="Currency 5 5 2 2 2 3" xfId="11445" xr:uid="{228235BA-3247-4045-9D6D-3ED0A52B7626}"/>
    <cellStyle name="Currency 5 5 2 2 2 4" xfId="19892" xr:uid="{9D4F7CBA-01D5-4CB4-BCD3-00B6FCD36E6A}"/>
    <cellStyle name="Currency 5 5 2 2 3" xfId="5076" xr:uid="{00000000-0005-0000-0000-0000410D0000}"/>
    <cellStyle name="Currency 5 5 2 2 3 2" xfId="13518" xr:uid="{59D0E655-3D1E-4BD7-BF11-91F1FBA3FB91}"/>
    <cellStyle name="Currency 5 5 2 2 3 3" xfId="21964" xr:uid="{B900413C-1A9A-4878-A27A-AE7ECF194F47}"/>
    <cellStyle name="Currency 5 5 2 2 4" xfId="9300" xr:uid="{297EBA26-5D70-4CB4-9D48-B730FB45FB9A}"/>
    <cellStyle name="Currency 5 5 2 2 5" xfId="17745" xr:uid="{A39367F6-91A7-4468-A1B6-7AB82681AAC3}"/>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26DCE793-EADC-45BF-9498-04C5A636353A}"/>
    <cellStyle name="Currency 5 5 2 3 2 2 3" xfId="24522" xr:uid="{0B2AFCEC-40EE-4AE7-81DE-4D8A4F9D0256}"/>
    <cellStyle name="Currency 5 5 2 3 2 3" xfId="11858" xr:uid="{2AEEF9D1-045C-429F-AEF0-749AD20A7060}"/>
    <cellStyle name="Currency 5 5 2 3 2 4" xfId="20305" xr:uid="{9F82BCD6-1AFC-482F-AC26-733EDF112ECD}"/>
    <cellStyle name="Currency 5 5 2 3 3" xfId="5489" xr:uid="{00000000-0005-0000-0000-0000450D0000}"/>
    <cellStyle name="Currency 5 5 2 3 3 2" xfId="13931" xr:uid="{A4E92F88-AD17-4974-9206-E93C5B50A42F}"/>
    <cellStyle name="Currency 5 5 2 3 3 3" xfId="22377" xr:uid="{38CEE26F-E0AB-4784-87DF-E5DFCFDB27B5}"/>
    <cellStyle name="Currency 5 5 2 3 4" xfId="9713" xr:uid="{6D9F2E52-B481-4710-8E94-3BAD3DE43A58}"/>
    <cellStyle name="Currency 5 5 2 3 5" xfId="18158" xr:uid="{C24F7F74-B760-49BF-8FCF-5B11AE157EBB}"/>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18646A02-E0CE-47E8-8B20-FE2736CC5EEB}"/>
    <cellStyle name="Currency 5 5 2 4 2 2 3" xfId="24935" xr:uid="{83DC3B9A-39B0-4590-9914-84E3C13DA061}"/>
    <cellStyle name="Currency 5 5 2 4 2 3" xfId="12271" xr:uid="{E2CC6B68-E0CC-4000-9F91-9A1C5BFED3A6}"/>
    <cellStyle name="Currency 5 5 2 4 2 4" xfId="20718" xr:uid="{5CBA3734-A7B1-4EE9-B4ED-077444B504D9}"/>
    <cellStyle name="Currency 5 5 2 4 3" xfId="5902" xr:uid="{00000000-0005-0000-0000-0000490D0000}"/>
    <cellStyle name="Currency 5 5 2 4 3 2" xfId="14344" xr:uid="{1CEBCC1C-D814-4477-B89A-5BAC592C93DD}"/>
    <cellStyle name="Currency 5 5 2 4 3 3" xfId="22790" xr:uid="{4FAAA54A-84DD-41D9-BDE9-F59B9D2F0871}"/>
    <cellStyle name="Currency 5 5 2 4 4" xfId="10126" xr:uid="{25E0CFDF-F570-47BC-8063-FBE8C98AD1B2}"/>
    <cellStyle name="Currency 5 5 2 4 5" xfId="18571" xr:uid="{9EDBE803-33E1-4798-AB7C-7B1FC6B1C73B}"/>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A324E484-7442-4AB8-98E3-216A12CADEAD}"/>
    <cellStyle name="Currency 5 5 2 5 2 2 3" xfId="25348" xr:uid="{1EBE3A28-8E59-4F22-A4DD-1CEE7B7F2B97}"/>
    <cellStyle name="Currency 5 5 2 5 2 3" xfId="12684" xr:uid="{F1E710E1-B694-4BEE-9A75-0D3F98CB1FF4}"/>
    <cellStyle name="Currency 5 5 2 5 2 4" xfId="21131" xr:uid="{80CDFBD8-0FE8-48D1-9FD8-A6956AF71124}"/>
    <cellStyle name="Currency 5 5 2 5 3" xfId="6315" xr:uid="{00000000-0005-0000-0000-00004D0D0000}"/>
    <cellStyle name="Currency 5 5 2 5 3 2" xfId="14757" xr:uid="{73061CE5-C30F-4312-B066-221B92C74F19}"/>
    <cellStyle name="Currency 5 5 2 5 3 3" xfId="23203" xr:uid="{64FD0777-F834-47D1-9D45-B91F90F33BCE}"/>
    <cellStyle name="Currency 5 5 2 5 4" xfId="10539" xr:uid="{61BE9A1E-0189-41AB-9919-377177DDB010}"/>
    <cellStyle name="Currency 5 5 2 5 5" xfId="18984" xr:uid="{630EE49B-7725-4041-85D2-0E220904B3A5}"/>
    <cellStyle name="Currency 5 5 2 6" xfId="2443" xr:uid="{00000000-0005-0000-0000-00004E0D0000}"/>
    <cellStyle name="Currency 5 5 2 6 2" xfId="6728" xr:uid="{00000000-0005-0000-0000-00004F0D0000}"/>
    <cellStyle name="Currency 5 5 2 6 2 2" xfId="15170" xr:uid="{37C1C2D9-AB5E-4AE5-A611-E195FA08793D}"/>
    <cellStyle name="Currency 5 5 2 6 2 3" xfId="23616" xr:uid="{F9208E32-15D7-444A-B5B1-72CE90E0E88A}"/>
    <cellStyle name="Currency 5 5 2 6 3" xfId="10952" xr:uid="{14DC555E-F629-4509-87D0-896CA0D985E7}"/>
    <cellStyle name="Currency 5 5 2 6 4" xfId="19397" xr:uid="{B566EE4B-8CA7-4E9A-A0D6-855E4A74CDCD}"/>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375F960D-8492-4CFF-81AB-19AC4FD42A16}"/>
    <cellStyle name="Currency 5 5 2 8 2 3" xfId="23933" xr:uid="{A85FFBA9-AD9E-458A-A7C0-9A731974FCDF}"/>
    <cellStyle name="Currency 5 5 2 8 3" xfId="11269" xr:uid="{BEED9D27-B8CB-427A-A0D1-95C3B4304E44}"/>
    <cellStyle name="Currency 5 5 2 8 4" xfId="19716" xr:uid="{8CE788EF-E27C-40BB-A9CC-2A85EB66A1FA}"/>
    <cellStyle name="Currency 5 5 2 9" xfId="4662" xr:uid="{00000000-0005-0000-0000-0000530D0000}"/>
    <cellStyle name="Currency 5 5 2 9 2" xfId="13104" xr:uid="{6C0C0D65-9DFC-4CEC-BB3A-6AF540B4DEFE}"/>
    <cellStyle name="Currency 5 5 2 9 3" xfId="21550" xr:uid="{D2F61F4F-2344-43B0-A11F-A3D8E93816E6}"/>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B4892893-101A-4E6F-B7F7-84979E1E26E3}"/>
    <cellStyle name="Currency 5 5 3 2 2 3" xfId="24108" xr:uid="{B9534FA6-A060-4331-9F7B-96D0CECCC9A1}"/>
    <cellStyle name="Currency 5 5 3 2 3" xfId="11444" xr:uid="{4D2BFD7D-FAE0-461F-A9D6-258A95967175}"/>
    <cellStyle name="Currency 5 5 3 2 4" xfId="19891" xr:uid="{FF40810C-9147-479E-882F-70278A8D3292}"/>
    <cellStyle name="Currency 5 5 3 3" xfId="5075" xr:uid="{00000000-0005-0000-0000-0000570D0000}"/>
    <cellStyle name="Currency 5 5 3 3 2" xfId="13517" xr:uid="{FC8AEF70-2763-4168-94B6-6F8B6DF17463}"/>
    <cellStyle name="Currency 5 5 3 3 3" xfId="21963" xr:uid="{E9585AC7-15C1-453B-BC93-8B145C297F4E}"/>
    <cellStyle name="Currency 5 5 3 4" xfId="9299" xr:uid="{279191D8-DCB4-4505-A67F-9ADE4B69D8A3}"/>
    <cellStyle name="Currency 5 5 3 5" xfId="17744" xr:uid="{50CC530C-7626-4599-8096-7E8E7BCDBE28}"/>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6C6B3852-AC8A-468C-BE29-17DEAEA68948}"/>
    <cellStyle name="Currency 5 5 4 2 2 3" xfId="24521" xr:uid="{EF2FD06D-CC26-4AB0-91F1-52A1E907BD9F}"/>
    <cellStyle name="Currency 5 5 4 2 3" xfId="11857" xr:uid="{3C41EE85-53E5-480B-BF8D-1458F25C7AA0}"/>
    <cellStyle name="Currency 5 5 4 2 4" xfId="20304" xr:uid="{CD8C11D4-A710-4129-B0D1-4D2C1F5BB629}"/>
    <cellStyle name="Currency 5 5 4 3" xfId="5488" xr:uid="{00000000-0005-0000-0000-00005B0D0000}"/>
    <cellStyle name="Currency 5 5 4 3 2" xfId="13930" xr:uid="{646C6627-FCBB-44CD-BCF1-CA38A297D0FC}"/>
    <cellStyle name="Currency 5 5 4 3 3" xfId="22376" xr:uid="{8F56B3AA-35CC-456B-964F-F9ABE7C64DE8}"/>
    <cellStyle name="Currency 5 5 4 4" xfId="9712" xr:uid="{3C802B1A-1907-4053-9A4D-20610BDEB86C}"/>
    <cellStyle name="Currency 5 5 4 5" xfId="18157" xr:uid="{21F2E1D4-FC49-4327-9F79-DA7AC909D62A}"/>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38DF2A33-2039-4088-ACA2-48788D8E989C}"/>
    <cellStyle name="Currency 5 5 5 2 2 3" xfId="24934" xr:uid="{D9EF4553-CF07-433E-B9FE-38C5FA1497D3}"/>
    <cellStyle name="Currency 5 5 5 2 3" xfId="12270" xr:uid="{7FB548B3-4C14-4F64-8D55-2EF3C575CC05}"/>
    <cellStyle name="Currency 5 5 5 2 4" xfId="20717" xr:uid="{BE94998D-B6C3-46B7-B7C4-9E5E243A9F81}"/>
    <cellStyle name="Currency 5 5 5 3" xfId="5901" xr:uid="{00000000-0005-0000-0000-00005F0D0000}"/>
    <cellStyle name="Currency 5 5 5 3 2" xfId="14343" xr:uid="{042E96D3-AEDA-4201-B6A4-C584980AF4E1}"/>
    <cellStyle name="Currency 5 5 5 3 3" xfId="22789" xr:uid="{1240D305-43C2-48FA-9CD7-2F1018FFDD04}"/>
    <cellStyle name="Currency 5 5 5 4" xfId="10125" xr:uid="{A8700DFB-AC7C-4669-906F-E78CC2BEE026}"/>
    <cellStyle name="Currency 5 5 5 5" xfId="18570" xr:uid="{294D385D-16A5-47E0-80F1-34D035617C86}"/>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5E61753A-618A-4FD8-80A7-CEF06CFFECC6}"/>
    <cellStyle name="Currency 5 5 6 2 2 3" xfId="25347" xr:uid="{EE91B910-4E13-446A-B868-F1A5C1875406}"/>
    <cellStyle name="Currency 5 5 6 2 3" xfId="12683" xr:uid="{88E52D33-189C-413E-ACC1-99438555A8C2}"/>
    <cellStyle name="Currency 5 5 6 2 4" xfId="21130" xr:uid="{A8FA995D-5D68-4B41-96B0-70A0753F8AD9}"/>
    <cellStyle name="Currency 5 5 6 3" xfId="6314" xr:uid="{00000000-0005-0000-0000-0000630D0000}"/>
    <cellStyle name="Currency 5 5 6 3 2" xfId="14756" xr:uid="{453E605E-8DBE-4ADA-A823-2A5A180AAF60}"/>
    <cellStyle name="Currency 5 5 6 3 3" xfId="23202" xr:uid="{A0769AC8-C5FA-49F1-BBB2-18327360B351}"/>
    <cellStyle name="Currency 5 5 6 4" xfId="10538" xr:uid="{DCA8A208-D138-448D-A660-7E2C566036A6}"/>
    <cellStyle name="Currency 5 5 6 5" xfId="18983" xr:uid="{3EE19CBF-A0D1-4265-868E-D017CF84621B}"/>
    <cellStyle name="Currency 5 5 7" xfId="2442" xr:uid="{00000000-0005-0000-0000-0000640D0000}"/>
    <cellStyle name="Currency 5 5 7 2" xfId="6727" xr:uid="{00000000-0005-0000-0000-0000650D0000}"/>
    <cellStyle name="Currency 5 5 7 2 2" xfId="15169" xr:uid="{DE15FD2B-2155-472D-8477-C2D452920F83}"/>
    <cellStyle name="Currency 5 5 7 2 3" xfId="23615" xr:uid="{E70A7AB7-AB51-4AC4-B726-837F0D5851E1}"/>
    <cellStyle name="Currency 5 5 7 3" xfId="10951" xr:uid="{B7B2F835-80D3-48D2-B877-6A7B93B2F065}"/>
    <cellStyle name="Currency 5 5 7 4" xfId="19396" xr:uid="{28120B9F-4AD5-4718-8D68-8C82FB06C6CF}"/>
    <cellStyle name="Currency 5 5 8" xfId="2739" xr:uid="{00000000-0005-0000-0000-0000660D0000}"/>
    <cellStyle name="Currency 5 5 9" xfId="2820" xr:uid="{00000000-0005-0000-0000-0000670D0000}"/>
    <cellStyle name="Currency 5 5 9 2" xfId="7044" xr:uid="{00000000-0005-0000-0000-0000680D0000}"/>
    <cellStyle name="Currency 5 5 9 2 2" xfId="15486" xr:uid="{750B3B4A-78C5-421F-B38C-F2C94351422C}"/>
    <cellStyle name="Currency 5 5 9 2 3" xfId="23932" xr:uid="{C1E2D026-BC55-4D01-9C4A-E5DD6F2B6151}"/>
    <cellStyle name="Currency 5 5 9 3" xfId="11268" xr:uid="{80C99118-73C3-4ABE-87D2-225FB92F411B}"/>
    <cellStyle name="Currency 5 5 9 4" xfId="19715" xr:uid="{39F995FB-8E04-4BEA-BBBD-3EE17B5FB58A}"/>
    <cellStyle name="Currency 5 6" xfId="221" xr:uid="{00000000-0005-0000-0000-0000690D0000}"/>
    <cellStyle name="Currency 5 6 10" xfId="8887" xr:uid="{D309E961-CDB0-4BAB-AC44-D327116071AE}"/>
    <cellStyle name="Currency 5 6 11" xfId="17330" xr:uid="{4BD7F179-EE9F-47AA-80E3-B2F86E99A56B}"/>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F14B8D93-63FF-4018-A168-9F47F82B7AEA}"/>
    <cellStyle name="Currency 5 6 2 2 2 3" xfId="24110" xr:uid="{FEA1C273-42A9-40B7-9FB3-F4E71E64EBF0}"/>
    <cellStyle name="Currency 5 6 2 2 3" xfId="11446" xr:uid="{E2E8B76C-7CC5-4245-B27E-A6F397345608}"/>
    <cellStyle name="Currency 5 6 2 2 4" xfId="19893" xr:uid="{19A656F4-EF14-4644-8F48-F23BA3F91528}"/>
    <cellStyle name="Currency 5 6 2 3" xfId="5077" xr:uid="{00000000-0005-0000-0000-00006D0D0000}"/>
    <cellStyle name="Currency 5 6 2 3 2" xfId="13519" xr:uid="{D3E2EA8D-AD11-470A-B87E-2D64198136E0}"/>
    <cellStyle name="Currency 5 6 2 3 3" xfId="21965" xr:uid="{4F679C9A-D99F-4392-A77B-768C06FE954F}"/>
    <cellStyle name="Currency 5 6 2 4" xfId="9301" xr:uid="{E700D136-7542-4230-9B2D-029AC01442C3}"/>
    <cellStyle name="Currency 5 6 2 5" xfId="17746" xr:uid="{4C25E286-5A60-43F6-AC42-2823F622E8A8}"/>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BF439823-93EF-4822-A93C-2967D33E44A1}"/>
    <cellStyle name="Currency 5 6 3 2 2 3" xfId="24523" xr:uid="{47D6F4D8-0C05-4B7E-ACE9-AA8DBFD87045}"/>
    <cellStyle name="Currency 5 6 3 2 3" xfId="11859" xr:uid="{A7D1D660-8CEB-4A63-9536-9E0C5826B303}"/>
    <cellStyle name="Currency 5 6 3 2 4" xfId="20306" xr:uid="{DF957449-C4E3-43DC-8685-422D21D8ADAB}"/>
    <cellStyle name="Currency 5 6 3 3" xfId="5490" xr:uid="{00000000-0005-0000-0000-0000710D0000}"/>
    <cellStyle name="Currency 5 6 3 3 2" xfId="13932" xr:uid="{C1CEB7AA-D91F-4FD1-AFC5-6974A5B1D698}"/>
    <cellStyle name="Currency 5 6 3 3 3" xfId="22378" xr:uid="{724910CC-253F-43B8-AFAD-45773CF821F8}"/>
    <cellStyle name="Currency 5 6 3 4" xfId="9714" xr:uid="{E94E127B-89E5-4F5D-BE63-AABA49F64C36}"/>
    <cellStyle name="Currency 5 6 3 5" xfId="18159" xr:uid="{AFBABF0B-0585-4261-9FAF-C82764CE875D}"/>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133C0803-636B-419E-B99A-B5CA4E36DA80}"/>
    <cellStyle name="Currency 5 6 4 2 2 3" xfId="24936" xr:uid="{7C2D0230-2609-4055-8324-622EDC1B0C0E}"/>
    <cellStyle name="Currency 5 6 4 2 3" xfId="12272" xr:uid="{A7758E3B-05AC-4B5B-9D99-62E406C889B2}"/>
    <cellStyle name="Currency 5 6 4 2 4" xfId="20719" xr:uid="{1B977B87-CF24-49FC-BA30-4D18083FD8F0}"/>
    <cellStyle name="Currency 5 6 4 3" xfId="5903" xr:uid="{00000000-0005-0000-0000-0000750D0000}"/>
    <cellStyle name="Currency 5 6 4 3 2" xfId="14345" xr:uid="{D299846B-CC94-43EB-811F-5FDE561BEACE}"/>
    <cellStyle name="Currency 5 6 4 3 3" xfId="22791" xr:uid="{CAE73AF2-209D-446D-AD89-DFDF8DCA2EEA}"/>
    <cellStyle name="Currency 5 6 4 4" xfId="10127" xr:uid="{7D55678C-CF5A-40D8-BDF2-2B06DE32F1A5}"/>
    <cellStyle name="Currency 5 6 4 5" xfId="18572" xr:uid="{BB4221B1-4847-45D5-9491-244BFF2FB516}"/>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5531BF12-117B-4051-88F7-A9EE408D8C30}"/>
    <cellStyle name="Currency 5 6 5 2 2 3" xfId="25349" xr:uid="{ACB1CE16-B5F3-4486-91A8-A73B99160EAE}"/>
    <cellStyle name="Currency 5 6 5 2 3" xfId="12685" xr:uid="{81403653-444C-4406-BDF2-5CB4E87C91A7}"/>
    <cellStyle name="Currency 5 6 5 2 4" xfId="21132" xr:uid="{F882AB69-0374-4D63-B9CC-537ACE82025B}"/>
    <cellStyle name="Currency 5 6 5 3" xfId="6316" xr:uid="{00000000-0005-0000-0000-0000790D0000}"/>
    <cellStyle name="Currency 5 6 5 3 2" xfId="14758" xr:uid="{932C494C-4989-4533-8D74-B975514D8103}"/>
    <cellStyle name="Currency 5 6 5 3 3" xfId="23204" xr:uid="{EDCF63F4-D1CF-480D-9FAA-6EB573D542B6}"/>
    <cellStyle name="Currency 5 6 5 4" xfId="10540" xr:uid="{7F9D204C-01EF-4CD9-9530-98C3BC155A8B}"/>
    <cellStyle name="Currency 5 6 5 5" xfId="18985" xr:uid="{811C0484-431E-4A43-A8B3-9FB129DB3B2E}"/>
    <cellStyle name="Currency 5 6 6" xfId="2444" xr:uid="{00000000-0005-0000-0000-00007A0D0000}"/>
    <cellStyle name="Currency 5 6 6 2" xfId="6729" xr:uid="{00000000-0005-0000-0000-00007B0D0000}"/>
    <cellStyle name="Currency 5 6 6 2 2" xfId="15171" xr:uid="{42460E3F-3761-44B8-9873-F8634AF1DF7D}"/>
    <cellStyle name="Currency 5 6 6 2 3" xfId="23617" xr:uid="{6287BE60-4843-4EA4-B819-F0074FC2C577}"/>
    <cellStyle name="Currency 5 6 6 3" xfId="10953" xr:uid="{3AE8C01F-4B21-49F9-A76A-7AF98CFC097E}"/>
    <cellStyle name="Currency 5 6 6 4" xfId="19398" xr:uid="{E0E9A880-99ED-4523-B8C4-F3D05F61A2C3}"/>
    <cellStyle name="Currency 5 6 7" xfId="2741" xr:uid="{00000000-0005-0000-0000-00007C0D0000}"/>
    <cellStyle name="Currency 5 6 8" xfId="2822" xr:uid="{00000000-0005-0000-0000-00007D0D0000}"/>
    <cellStyle name="Currency 5 6 8 2" xfId="7046" xr:uid="{00000000-0005-0000-0000-00007E0D0000}"/>
    <cellStyle name="Currency 5 6 8 2 2" xfId="15488" xr:uid="{093E4DBA-ED8D-45CB-87E9-2A3DE063ED67}"/>
    <cellStyle name="Currency 5 6 8 2 3" xfId="23934" xr:uid="{A5F09AFE-8BA7-434A-87BE-AF394D444DCA}"/>
    <cellStyle name="Currency 5 6 8 3" xfId="11270" xr:uid="{3150F642-5A63-466F-8538-81A4BD023678}"/>
    <cellStyle name="Currency 5 6 8 4" xfId="19717" xr:uid="{3FC3443B-40D2-47E6-8C92-373E6ADFEA8C}"/>
    <cellStyle name="Currency 5 6 9" xfId="4663" xr:uid="{00000000-0005-0000-0000-00007F0D0000}"/>
    <cellStyle name="Currency 5 6 9 2" xfId="13105" xr:uid="{CB25BDB8-8548-413B-864D-5149C5219EED}"/>
    <cellStyle name="Currency 5 6 9 3" xfId="21551" xr:uid="{5D5358EC-223B-4E7C-97A2-8EA68F5CCA09}"/>
    <cellStyle name="Currency 5 7" xfId="222" xr:uid="{00000000-0005-0000-0000-0000800D0000}"/>
    <cellStyle name="Currency 5 7 10" xfId="8888" xr:uid="{244B70C1-3532-403F-BE97-3B37D05080CA}"/>
    <cellStyle name="Currency 5 7 11" xfId="17331" xr:uid="{B3581BED-65CD-416B-AAA4-4134A63CF402}"/>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4A9FEBBE-FD6B-4F7A-A5F7-1D356A87B61F}"/>
    <cellStyle name="Currency 5 7 2 2 2 3" xfId="24111" xr:uid="{D98A47CC-3797-49F3-BD5B-568FA8DE85AA}"/>
    <cellStyle name="Currency 5 7 2 2 3" xfId="11447" xr:uid="{43B3C7C5-82F0-4FDA-BB65-C5D5DE19E318}"/>
    <cellStyle name="Currency 5 7 2 2 4" xfId="19894" xr:uid="{EE7989DB-3547-4BB0-B7AC-0158F159C38D}"/>
    <cellStyle name="Currency 5 7 2 3" xfId="5078" xr:uid="{00000000-0005-0000-0000-0000840D0000}"/>
    <cellStyle name="Currency 5 7 2 3 2" xfId="13520" xr:uid="{D0046BCE-EDBF-48EF-8352-27BA36CA3F94}"/>
    <cellStyle name="Currency 5 7 2 3 3" xfId="21966" xr:uid="{F86D8144-553E-47AB-99A0-6E94F10D2D08}"/>
    <cellStyle name="Currency 5 7 2 4" xfId="9302" xr:uid="{32D08898-E139-41E8-BED8-AC4FC9FA491F}"/>
    <cellStyle name="Currency 5 7 2 5" xfId="17747" xr:uid="{8D565892-222A-44A7-8EC4-FE2E6FF52753}"/>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8234CCFF-108A-4843-AA55-85A2B6D7ADE9}"/>
    <cellStyle name="Currency 5 7 3 2 2 3" xfId="24524" xr:uid="{4878B482-6BA4-41B2-8AB3-C1967258C33C}"/>
    <cellStyle name="Currency 5 7 3 2 3" xfId="11860" xr:uid="{738F7066-68EE-44D7-8666-856A30408571}"/>
    <cellStyle name="Currency 5 7 3 2 4" xfId="20307" xr:uid="{91A38008-D40E-4ADF-9DEF-23DCC944F35C}"/>
    <cellStyle name="Currency 5 7 3 3" xfId="5491" xr:uid="{00000000-0005-0000-0000-0000880D0000}"/>
    <cellStyle name="Currency 5 7 3 3 2" xfId="13933" xr:uid="{DB8FB126-1E30-4790-812A-19D0285198F5}"/>
    <cellStyle name="Currency 5 7 3 3 3" xfId="22379" xr:uid="{B61696F8-58A6-4306-9F73-13030EB75064}"/>
    <cellStyle name="Currency 5 7 3 4" xfId="9715" xr:uid="{BD71E264-6D0B-4D87-BFC1-91131E47463F}"/>
    <cellStyle name="Currency 5 7 3 5" xfId="18160" xr:uid="{9057BB9E-0104-4366-A6EF-BB4A1BB5AE88}"/>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FD1CB636-5D3A-448F-9C15-3EB5DA2131D3}"/>
    <cellStyle name="Currency 5 7 4 2 2 3" xfId="24937" xr:uid="{23A1A251-D869-423E-9DEA-02DB318BBBB3}"/>
    <cellStyle name="Currency 5 7 4 2 3" xfId="12273" xr:uid="{1A32F898-1AA1-4DBA-8BB7-A94308287214}"/>
    <cellStyle name="Currency 5 7 4 2 4" xfId="20720" xr:uid="{58419C19-70F3-4105-BA18-BC2FBE0B86F2}"/>
    <cellStyle name="Currency 5 7 4 3" xfId="5904" xr:uid="{00000000-0005-0000-0000-00008C0D0000}"/>
    <cellStyle name="Currency 5 7 4 3 2" xfId="14346" xr:uid="{BF2BD9A4-BD56-4A6B-BDCD-00C38731275F}"/>
    <cellStyle name="Currency 5 7 4 3 3" xfId="22792" xr:uid="{AD6F8A06-87E4-4430-BD72-A1B7DCF4C21A}"/>
    <cellStyle name="Currency 5 7 4 4" xfId="10128" xr:uid="{20783EC1-1147-4488-B473-A3CF6A383E61}"/>
    <cellStyle name="Currency 5 7 4 5" xfId="18573" xr:uid="{4B4B2200-5DC2-443F-A291-987FECC2C6C4}"/>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8A95D55F-C8FB-4B37-9F63-0DDED9326F9B}"/>
    <cellStyle name="Currency 5 7 5 2 2 3" xfId="25350" xr:uid="{30F5C1DA-92C9-4045-A9B9-D7689901E4A4}"/>
    <cellStyle name="Currency 5 7 5 2 3" xfId="12686" xr:uid="{65CD1C46-C4B3-4662-A5BF-3E2147894703}"/>
    <cellStyle name="Currency 5 7 5 2 4" xfId="21133" xr:uid="{AFF7A6CF-1E1B-4D27-9ADA-6EDA557B6159}"/>
    <cellStyle name="Currency 5 7 5 3" xfId="6317" xr:uid="{00000000-0005-0000-0000-0000900D0000}"/>
    <cellStyle name="Currency 5 7 5 3 2" xfId="14759" xr:uid="{EB42A099-FE3D-4D4D-B7C0-41EE3A06C15C}"/>
    <cellStyle name="Currency 5 7 5 3 3" xfId="23205" xr:uid="{7DA4ADF0-07FB-4E4B-ACCC-3D9A7DB0C489}"/>
    <cellStyle name="Currency 5 7 5 4" xfId="10541" xr:uid="{BF057E3E-6541-4695-B1D1-9FFE18B66A22}"/>
    <cellStyle name="Currency 5 7 5 5" xfId="18986" xr:uid="{16A1C21C-E5BA-4E8A-95C5-3912C0D59E62}"/>
    <cellStyle name="Currency 5 7 6" xfId="2445" xr:uid="{00000000-0005-0000-0000-0000910D0000}"/>
    <cellStyle name="Currency 5 7 6 2" xfId="6730" xr:uid="{00000000-0005-0000-0000-0000920D0000}"/>
    <cellStyle name="Currency 5 7 6 2 2" xfId="15172" xr:uid="{51AD43CA-D941-49DF-8B99-12006A21E0CA}"/>
    <cellStyle name="Currency 5 7 6 2 3" xfId="23618" xr:uid="{2C5181DE-788A-430D-8828-85C005301CDF}"/>
    <cellStyle name="Currency 5 7 6 3" xfId="10954" xr:uid="{9245ACB3-6A5D-4D03-88B0-064B014D19B1}"/>
    <cellStyle name="Currency 5 7 6 4" xfId="19399" xr:uid="{663A781C-3E26-4CF8-B729-73ACF1880E1B}"/>
    <cellStyle name="Currency 5 7 7" xfId="2742" xr:uid="{00000000-0005-0000-0000-0000930D0000}"/>
    <cellStyle name="Currency 5 7 8" xfId="2823" xr:uid="{00000000-0005-0000-0000-0000940D0000}"/>
    <cellStyle name="Currency 5 7 8 2" xfId="7047" xr:uid="{00000000-0005-0000-0000-0000950D0000}"/>
    <cellStyle name="Currency 5 7 8 2 2" xfId="15489" xr:uid="{158AB64D-BBF6-4586-8D91-4C833FFC9890}"/>
    <cellStyle name="Currency 5 7 8 2 3" xfId="23935" xr:uid="{F097B3D1-7DE0-4087-85BD-6E0A0B4908E5}"/>
    <cellStyle name="Currency 5 7 8 3" xfId="11271" xr:uid="{9E30A90E-B8E2-4A77-9A82-8BF720675E43}"/>
    <cellStyle name="Currency 5 7 8 4" xfId="19718" xr:uid="{D569D1B7-562B-4E21-9D75-DC4C7AB14211}"/>
    <cellStyle name="Currency 5 7 9" xfId="4664" xr:uid="{00000000-0005-0000-0000-0000960D0000}"/>
    <cellStyle name="Currency 5 7 9 2" xfId="13106" xr:uid="{9E9F3037-612F-416A-B3CB-2D43CEB70A19}"/>
    <cellStyle name="Currency 5 7 9 3" xfId="21552" xr:uid="{C3EC02E0-EE5D-4CA9-BDFB-3318D69C8A2A}"/>
    <cellStyle name="Currency 5 8" xfId="721" xr:uid="{00000000-0005-0000-0000-0000970D0000}"/>
    <cellStyle name="Currency 5 9" xfId="25711" xr:uid="{81EB824A-AC08-43C3-AC4B-7FB041DAB15B}"/>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8 4" xfId="25779" xr:uid="{2E44B515-0A8A-4B5E-B327-38083CD123C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nd of Section" xfId="25698" xr:uid="{ECB0B42E-0ACC-4B02-84E2-92FB694CA87E}"/>
    <cellStyle name="Explanatory Text" xfId="234" builtinId="53" customBuiltin="1"/>
    <cellStyle name="FAAST Uploads header" xfId="25648" xr:uid="{0BD859D5-D6CB-4D2A-88A5-A0CF49F8178C}"/>
    <cellStyle name="FAAST Uploads header 2" xfId="25738" xr:uid="{C1E9E57A-33BF-4FE9-83B8-8B6F4A42B307}"/>
    <cellStyle name="Good" xfId="235" builtinId="26" customBuiltin="1"/>
    <cellStyle name="Good 2" xfId="25675" xr:uid="{78DC0BE9-6DC7-410E-972E-D7466C54CFC4}"/>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2 2 2" xfId="25772" xr:uid="{D196622E-281F-4BF3-A838-1461E9409575}"/>
    <cellStyle name="Heading 3" xfId="240" builtinId="18" customBuiltin="1"/>
    <cellStyle name="Heading 3 2" xfId="241" xr:uid="{00000000-0005-0000-0000-0000B40D0000}"/>
    <cellStyle name="Heading 4" xfId="242" builtinId="19" customBuiltin="1"/>
    <cellStyle name="Heading 4 2" xfId="243" xr:uid="{00000000-0005-0000-0000-0000B60D0000}"/>
    <cellStyle name="Heading 4 2 2" xfId="25712" xr:uid="{03CEDF3D-8A6D-4ED1-9119-3603D63D7625}"/>
    <cellStyle name="Hyperlink" xfId="244" builtinId="8"/>
    <cellStyle name="Hyperlink 2" xfId="245" xr:uid="{00000000-0005-0000-0000-0000B80D0000}"/>
    <cellStyle name="Hyperlink 2 2" xfId="246" xr:uid="{00000000-0005-0000-0000-0000B90D0000}"/>
    <cellStyle name="Hyperlink 2 2 2" xfId="25733" xr:uid="{1B1FB7C6-9793-43C5-8971-9B01EE453DC4}"/>
    <cellStyle name="Hyperlink 2 3" xfId="25635" xr:uid="{0A0C2130-F1E3-4DAF-A910-E1D9E6E1CE04}"/>
    <cellStyle name="Hyperlink 2 4" xfId="25672" xr:uid="{D23CD5C8-6964-422D-BF5C-50BC66D4F8C0}"/>
    <cellStyle name="Hyperlink 2_Dropdowns" xfId="25638" xr:uid="{230B5727-ECA9-48E1-BD69-46021098BA50}"/>
    <cellStyle name="Hyperlink 3" xfId="17332" xr:uid="{D24ACD53-2AD7-43EF-8BFD-77995FFA9E2E}"/>
    <cellStyle name="Hyperlink 3 2" xfId="25702" xr:uid="{9853526B-3F90-445B-AA10-7ADDADF69CA5}"/>
    <cellStyle name="Hyperlink 3 3" xfId="25627" xr:uid="{5618BAB1-9433-44EE-B894-3AA754EBC130}"/>
    <cellStyle name="Hyperlink 3_Dropdowns" xfId="25676" xr:uid="{969D6B40-7DDD-4261-B4AA-354241EAFBF1}"/>
    <cellStyle name="Hyperlink 4" xfId="25678" xr:uid="{E30300FE-DEA0-49C1-BA44-4E20711F25C9}"/>
    <cellStyle name="Hyperlink 4 2" xfId="25734" xr:uid="{8E32FE5E-A2E1-4E4E-A2C4-62603547756F}"/>
    <cellStyle name="Hyperlink 4 3" xfId="25677" xr:uid="{20BCBD0D-8F01-4CBA-BC20-6ACF8486A770}"/>
    <cellStyle name="Hyperlink 4_Dropdowns" xfId="25749" xr:uid="{A670584D-F697-4D56-B224-A08A99A71B12}"/>
    <cellStyle name="Hyperlink 5" xfId="25729" xr:uid="{98D989C9-FC07-469B-A0D1-D3469E48BBB5}"/>
    <cellStyle name="Hyperlink 6" xfId="25634" xr:uid="{2BD693FB-2483-4D7B-87E9-58B80A34CA2B}"/>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eutral 2" xfId="25671" xr:uid="{DBEEC561-9539-47A0-8D20-0F72C269B719}"/>
    <cellStyle name="Normal" xfId="0" builtinId="0"/>
    <cellStyle name="Normal 10" xfId="253" xr:uid="{00000000-0005-0000-0000-0000C10D0000}"/>
    <cellStyle name="Normal 10 2" xfId="254" xr:uid="{00000000-0005-0000-0000-0000C20D0000}"/>
    <cellStyle name="Normal 10 2 2" xfId="25766" xr:uid="{0F18B5C1-9C7A-4652-8CA1-C95265AEED77}"/>
    <cellStyle name="Normal 10 3" xfId="255" xr:uid="{00000000-0005-0000-0000-0000C30D0000}"/>
    <cellStyle name="Normal 10 4" xfId="25651" xr:uid="{B85DA6B9-1A02-4F2F-AF39-09234B151C1B}"/>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1 3 3" xfId="25663" xr:uid="{723DD487-7D91-488E-B25E-BCF8574D8E08}"/>
    <cellStyle name="Normal 11 4" xfId="25668" xr:uid="{FD4D4EE0-84F8-49B7-BDC8-5B53DB3E9962}"/>
    <cellStyle name="Normal 11_Dropdowns" xfId="25737" xr:uid="{0F55CDA1-41D4-4B6B-92A9-56DAC783461C}"/>
    <cellStyle name="Normal 12" xfId="259" xr:uid="{00000000-0005-0000-0000-0000C90D0000}"/>
    <cellStyle name="Normal 12 10" xfId="2447" xr:uid="{00000000-0005-0000-0000-0000CA0D0000}"/>
    <cellStyle name="Normal 12 10 2" xfId="6731" xr:uid="{00000000-0005-0000-0000-0000CB0D0000}"/>
    <cellStyle name="Normal 12 10 2 2" xfId="15173" xr:uid="{A0309888-22DE-4207-A14C-4B7ED42A2E49}"/>
    <cellStyle name="Normal 12 10 2 3" xfId="23619" xr:uid="{5143806B-2590-4783-B8C3-D6A02A3E74BB}"/>
    <cellStyle name="Normal 12 10 3" xfId="10955" xr:uid="{11012081-DDA4-4505-B4F1-E4594F97ADA2}"/>
    <cellStyle name="Normal 12 10 4" xfId="19400" xr:uid="{8F944A1E-4EE9-4475-9E79-9951B119A156}"/>
    <cellStyle name="Normal 12 11" xfId="4665" xr:uid="{00000000-0005-0000-0000-0000CC0D0000}"/>
    <cellStyle name="Normal 12 11 2" xfId="13107" xr:uid="{AC6C29CF-8D9F-4E78-A7D9-460262B5A2BF}"/>
    <cellStyle name="Normal 12 11 3" xfId="21553" xr:uid="{8CC94D22-41BE-44FE-A54F-1F7B78781243}"/>
    <cellStyle name="Normal 12 12" xfId="8889" xr:uid="{88CA8467-8229-48F3-80CC-945D422D6E2E}"/>
    <cellStyle name="Normal 12 13" xfId="17333" xr:uid="{33DA849A-38B0-4A3B-9FF8-CB32562B7877}"/>
    <cellStyle name="Normal 12 2" xfId="260" xr:uid="{00000000-0005-0000-0000-0000CD0D0000}"/>
    <cellStyle name="Normal 12 2 10" xfId="8890" xr:uid="{C0952BEA-031D-4F80-8AB9-50E20B3658C2}"/>
    <cellStyle name="Normal 12 2 11" xfId="17334" xr:uid="{A3258065-6785-4505-B025-B55CC9E671E8}"/>
    <cellStyle name="Normal 12 2 12" xfId="25706" xr:uid="{76747C18-9663-45A2-AA1D-B30A31C10D5C}"/>
    <cellStyle name="Normal 12 2 2" xfId="261" xr:uid="{00000000-0005-0000-0000-0000CE0D0000}"/>
    <cellStyle name="Normal 12 2 2 10" xfId="17335" xr:uid="{30945844-3867-47D4-AB9F-281C22F51767}"/>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3F071486-7E6E-4077-9D11-933F4114D711}"/>
    <cellStyle name="Normal 12 2 2 2 2 2 2 3" xfId="24115" xr:uid="{B9EA5D02-6B0A-4C24-8A3C-415CF1FC6D61}"/>
    <cellStyle name="Normal 12 2 2 2 2 2 3" xfId="11451" xr:uid="{48A7F75E-2503-43A8-A293-8AAA5280B264}"/>
    <cellStyle name="Normal 12 2 2 2 2 2 4" xfId="19898" xr:uid="{BE63A8C2-A251-476E-B066-9F98AE1980EF}"/>
    <cellStyle name="Normal 12 2 2 2 2 3" xfId="5082" xr:uid="{00000000-0005-0000-0000-0000D30D0000}"/>
    <cellStyle name="Normal 12 2 2 2 2 3 2" xfId="13524" xr:uid="{6E0A1EDC-CA69-497E-8881-DFA01EE13501}"/>
    <cellStyle name="Normal 12 2 2 2 2 3 3" xfId="21970" xr:uid="{3D7E0D99-4965-4AD9-8A28-2C2CE980CBA3}"/>
    <cellStyle name="Normal 12 2 2 2 2 4" xfId="9306" xr:uid="{7919064D-710C-4630-A6DE-9C19503B6E14}"/>
    <cellStyle name="Normal 12 2 2 2 2 5" xfId="17751" xr:uid="{698056F9-F8CB-4615-9294-F43F62F1EC5A}"/>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F8ABBE85-FC27-4DF0-B4E6-DCDB803A85D5}"/>
    <cellStyle name="Normal 12 2 2 2 3 2 2 3" xfId="24528" xr:uid="{91C14C6E-ECFF-405A-9A72-164B11487DC0}"/>
    <cellStyle name="Normal 12 2 2 2 3 2 3" xfId="11864" xr:uid="{81D0D187-8EA8-4921-84A0-18394F825137}"/>
    <cellStyle name="Normal 12 2 2 2 3 2 4" xfId="20311" xr:uid="{B87FB36D-9760-43EC-A1F7-36C8067EBF97}"/>
    <cellStyle name="Normal 12 2 2 2 3 3" xfId="5495" xr:uid="{00000000-0005-0000-0000-0000D70D0000}"/>
    <cellStyle name="Normal 12 2 2 2 3 3 2" xfId="13937" xr:uid="{9E3F7C68-FF18-43D3-BB52-FA28206144A7}"/>
    <cellStyle name="Normal 12 2 2 2 3 3 3" xfId="22383" xr:uid="{93B8217B-9C48-4F01-AE9B-FF2224F2969E}"/>
    <cellStyle name="Normal 12 2 2 2 3 4" xfId="9719" xr:uid="{BBBD81A9-40AA-45D1-8485-81540E5E0176}"/>
    <cellStyle name="Normal 12 2 2 2 3 5" xfId="18164" xr:uid="{E5FA7F19-4625-44F4-82EB-2B13646F7A74}"/>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2EB54792-4608-42D4-95D7-B0B6067D866B}"/>
    <cellStyle name="Normal 12 2 2 2 4 2 2 3" xfId="24941" xr:uid="{7784AD99-5758-400C-8B0D-D5698836610B}"/>
    <cellStyle name="Normal 12 2 2 2 4 2 3" xfId="12277" xr:uid="{9D7A9D80-B489-45C3-9E27-4019332B6819}"/>
    <cellStyle name="Normal 12 2 2 2 4 2 4" xfId="20724" xr:uid="{D40CEB04-A8EE-4974-8BFA-491BD269D53E}"/>
    <cellStyle name="Normal 12 2 2 2 4 3" xfId="5908" xr:uid="{00000000-0005-0000-0000-0000DB0D0000}"/>
    <cellStyle name="Normal 12 2 2 2 4 3 2" xfId="14350" xr:uid="{72D46A7B-6130-4C8A-90B2-E55FB835EF0B}"/>
    <cellStyle name="Normal 12 2 2 2 4 3 3" xfId="22796" xr:uid="{CA7E648B-6A5C-4E04-883C-9B3178DA2CB5}"/>
    <cellStyle name="Normal 12 2 2 2 4 4" xfId="10132" xr:uid="{A54693D2-4EEF-420B-B657-ECDF7341735D}"/>
    <cellStyle name="Normal 12 2 2 2 4 5" xfId="18577" xr:uid="{27B4B6DD-C3FE-49E6-B41B-86A7C61FC919}"/>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BC100EE9-9287-4BB4-BB10-02146BCA7EAA}"/>
    <cellStyle name="Normal 12 2 2 2 5 2 2 3" xfId="25354" xr:uid="{4C516692-9A0A-41CF-8F44-F3C218A7E819}"/>
    <cellStyle name="Normal 12 2 2 2 5 2 3" xfId="12690" xr:uid="{6402C5C2-2F63-4B0B-AE02-BCEBF3B8EBA0}"/>
    <cellStyle name="Normal 12 2 2 2 5 2 4" xfId="21137" xr:uid="{7C26CA0A-3D66-45A4-8BA0-C2B3254D1E65}"/>
    <cellStyle name="Normal 12 2 2 2 5 3" xfId="6321" xr:uid="{00000000-0005-0000-0000-0000DF0D0000}"/>
    <cellStyle name="Normal 12 2 2 2 5 3 2" xfId="14763" xr:uid="{BEEB40EE-CA43-4569-AB25-896751C21776}"/>
    <cellStyle name="Normal 12 2 2 2 5 3 3" xfId="23209" xr:uid="{1149E35D-365F-405F-9DAC-7FC736BCC9D1}"/>
    <cellStyle name="Normal 12 2 2 2 5 4" xfId="10545" xr:uid="{E50AE4A3-A16D-4D28-9F5F-B334CFBFF35E}"/>
    <cellStyle name="Normal 12 2 2 2 5 5" xfId="18990" xr:uid="{E16B2CF3-422F-4255-BA44-40CB83C53507}"/>
    <cellStyle name="Normal 12 2 2 2 6" xfId="2450" xr:uid="{00000000-0005-0000-0000-0000E00D0000}"/>
    <cellStyle name="Normal 12 2 2 2 6 2" xfId="6734" xr:uid="{00000000-0005-0000-0000-0000E10D0000}"/>
    <cellStyle name="Normal 12 2 2 2 6 2 2" xfId="15176" xr:uid="{8EB8D315-1C4F-426E-AD4C-8136372B0027}"/>
    <cellStyle name="Normal 12 2 2 2 6 2 3" xfId="23622" xr:uid="{23316A6C-C1F7-4527-A7FA-F9E6DDF13DD4}"/>
    <cellStyle name="Normal 12 2 2 2 6 3" xfId="10958" xr:uid="{BF797AE1-7B8B-4513-8010-873E04721D12}"/>
    <cellStyle name="Normal 12 2 2 2 6 4" xfId="19403" xr:uid="{C30029DB-4B31-4B18-A59C-61C9B1AEF340}"/>
    <cellStyle name="Normal 12 2 2 2 7" xfId="4668" xr:uid="{00000000-0005-0000-0000-0000E20D0000}"/>
    <cellStyle name="Normal 12 2 2 2 7 2" xfId="13110" xr:uid="{48433EB6-E355-4037-A271-2363802B1DF7}"/>
    <cellStyle name="Normal 12 2 2 2 7 3" xfId="21556" xr:uid="{1BF70F4B-4CF9-44A8-8FD8-F334CFE12889}"/>
    <cellStyle name="Normal 12 2 2 2 8" xfId="8892" xr:uid="{05080427-8899-496C-874F-402DED45DD80}"/>
    <cellStyle name="Normal 12 2 2 2 9" xfId="17336" xr:uid="{413DB921-D5D2-42CA-829A-2C9E3C4B9ED3}"/>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72FCC79B-4BA3-4510-8390-4907411D06B0}"/>
    <cellStyle name="Normal 12 2 2 3 2 2 3" xfId="24114" xr:uid="{E7BDD49F-B65D-4335-A93B-D7E82CB1ACCC}"/>
    <cellStyle name="Normal 12 2 2 3 2 3" xfId="11450" xr:uid="{A26E92B9-43F3-4958-AF0E-DD9ADD15A1D8}"/>
    <cellStyle name="Normal 12 2 2 3 2 4" xfId="19897" xr:uid="{D3D33B9A-94EB-4EE9-8E5B-8C185CC9FF88}"/>
    <cellStyle name="Normal 12 2 2 3 3" xfId="5081" xr:uid="{00000000-0005-0000-0000-0000E60D0000}"/>
    <cellStyle name="Normal 12 2 2 3 3 2" xfId="13523" xr:uid="{45212C64-2A27-412A-8860-7130D34FEAF8}"/>
    <cellStyle name="Normal 12 2 2 3 3 3" xfId="21969" xr:uid="{C7110D47-0F16-4655-AC25-18B99504967D}"/>
    <cellStyle name="Normal 12 2 2 3 4" xfId="9305" xr:uid="{B1787ABD-3A72-49FC-932F-FA951B8A61BE}"/>
    <cellStyle name="Normal 12 2 2 3 5" xfId="17750" xr:uid="{AC2370A9-B883-41E4-A2EA-480DB041E1C2}"/>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BE757415-A7EC-4DB1-999B-3127D4C74269}"/>
    <cellStyle name="Normal 12 2 2 4 2 2 3" xfId="24527" xr:uid="{E549B5A2-A319-41CB-A5B1-E1400E42F4CE}"/>
    <cellStyle name="Normal 12 2 2 4 2 3" xfId="11863" xr:uid="{B1D7BCA2-08FC-4217-9FC7-EEB8213D53C3}"/>
    <cellStyle name="Normal 12 2 2 4 2 4" xfId="20310" xr:uid="{D464605C-7CE7-4B18-B9CE-79347AB76284}"/>
    <cellStyle name="Normal 12 2 2 4 3" xfId="5494" xr:uid="{00000000-0005-0000-0000-0000EA0D0000}"/>
    <cellStyle name="Normal 12 2 2 4 3 2" xfId="13936" xr:uid="{6A729C34-58CB-408B-8B3C-EC3C86E9C5D3}"/>
    <cellStyle name="Normal 12 2 2 4 3 3" xfId="22382" xr:uid="{A4D520A7-E799-4937-A767-5974C93B42DF}"/>
    <cellStyle name="Normal 12 2 2 4 4" xfId="9718" xr:uid="{2797C51D-EBC2-485C-9D9E-C8B835F88819}"/>
    <cellStyle name="Normal 12 2 2 4 5" xfId="18163" xr:uid="{F6177538-6517-45B6-B4FD-FDCA82589CBC}"/>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7812630A-C235-4E87-9647-4B759CDAAA9F}"/>
    <cellStyle name="Normal 12 2 2 5 2 2 3" xfId="24940" xr:uid="{B7918628-5451-4654-B557-A03E0A246AA2}"/>
    <cellStyle name="Normal 12 2 2 5 2 3" xfId="12276" xr:uid="{9528F5A9-E89A-446F-8B2A-EF0E5F054701}"/>
    <cellStyle name="Normal 12 2 2 5 2 4" xfId="20723" xr:uid="{994CFA78-E2AC-4713-9809-9DFEF6BC79FC}"/>
    <cellStyle name="Normal 12 2 2 5 3" xfId="5907" xr:uid="{00000000-0005-0000-0000-0000EE0D0000}"/>
    <cellStyle name="Normal 12 2 2 5 3 2" xfId="14349" xr:uid="{4D72E41A-BA5E-43C2-8C59-B029A0EB97DD}"/>
    <cellStyle name="Normal 12 2 2 5 3 3" xfId="22795" xr:uid="{AE21E0C0-D692-4254-BBFD-212D58C98CB9}"/>
    <cellStyle name="Normal 12 2 2 5 4" xfId="10131" xr:uid="{7C7653AC-0C82-4760-B165-699E3FC3A2C8}"/>
    <cellStyle name="Normal 12 2 2 5 5" xfId="18576" xr:uid="{5F91ADCB-FCA1-4366-9013-CBA0F469C4C8}"/>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A2819437-F83F-44CA-B9A7-A49FCD3BA89E}"/>
    <cellStyle name="Normal 12 2 2 6 2 2 3" xfId="25353" xr:uid="{12CAE0E8-2D57-413C-8C99-D9CF94B9C64F}"/>
    <cellStyle name="Normal 12 2 2 6 2 3" xfId="12689" xr:uid="{A1297046-AA3A-4A88-821E-1712E706B6CF}"/>
    <cellStyle name="Normal 12 2 2 6 2 4" xfId="21136" xr:uid="{95245830-D05F-4A57-8CE0-7190819DD4F3}"/>
    <cellStyle name="Normal 12 2 2 6 3" xfId="6320" xr:uid="{00000000-0005-0000-0000-0000F20D0000}"/>
    <cellStyle name="Normal 12 2 2 6 3 2" xfId="14762" xr:uid="{649756E8-3E09-4F5A-9CF8-F578D6FDE3FD}"/>
    <cellStyle name="Normal 12 2 2 6 3 3" xfId="23208" xr:uid="{99DA3FC4-B5C1-4D42-8830-75A54E3F734A}"/>
    <cellStyle name="Normal 12 2 2 6 4" xfId="10544" xr:uid="{E9D798BA-8AF9-432B-80EC-39E8AF74EB9F}"/>
    <cellStyle name="Normal 12 2 2 6 5" xfId="18989" xr:uid="{42DFEC8F-D4FE-4FF6-8BCE-8C004DF41FAE}"/>
    <cellStyle name="Normal 12 2 2 7" xfId="2449" xr:uid="{00000000-0005-0000-0000-0000F30D0000}"/>
    <cellStyle name="Normal 12 2 2 7 2" xfId="6733" xr:uid="{00000000-0005-0000-0000-0000F40D0000}"/>
    <cellStyle name="Normal 12 2 2 7 2 2" xfId="15175" xr:uid="{5630DD09-7437-43F0-ABB4-11CC3E89597D}"/>
    <cellStyle name="Normal 12 2 2 7 2 3" xfId="23621" xr:uid="{00CAD16F-4B32-4818-A76D-6ED2D1205EFA}"/>
    <cellStyle name="Normal 12 2 2 7 3" xfId="10957" xr:uid="{87B27009-2E12-49BF-8732-E22744DE9FF3}"/>
    <cellStyle name="Normal 12 2 2 7 4" xfId="19402" xr:uid="{65F4C02D-12D4-4ABA-8A8C-1FCFBF6925AB}"/>
    <cellStyle name="Normal 12 2 2 8" xfId="4667" xr:uid="{00000000-0005-0000-0000-0000F50D0000}"/>
    <cellStyle name="Normal 12 2 2 8 2" xfId="13109" xr:uid="{467D64F3-0A3F-4A76-A103-6C8C3ED7453E}"/>
    <cellStyle name="Normal 12 2 2 8 3" xfId="21555" xr:uid="{297686F7-99E8-46FF-AFCA-9BE1DE402C5B}"/>
    <cellStyle name="Normal 12 2 2 9" xfId="8891" xr:uid="{88E5E6E1-C783-477E-B09F-16BB29F4A34E}"/>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2AD74576-8B73-4BBF-BB33-AC2906C17151}"/>
    <cellStyle name="Normal 12 2 3 2 2 2 3" xfId="24116" xr:uid="{D92C0601-4D7C-4F06-881B-EC9CF82ED046}"/>
    <cellStyle name="Normal 12 2 3 2 2 3" xfId="11452" xr:uid="{A673504B-BABE-4252-965C-D3ED79A0AAF3}"/>
    <cellStyle name="Normal 12 2 3 2 2 4" xfId="19899" xr:uid="{488B62A1-7FEE-4469-A2DF-B586C51196EA}"/>
    <cellStyle name="Normal 12 2 3 2 3" xfId="5083" xr:uid="{00000000-0005-0000-0000-0000FA0D0000}"/>
    <cellStyle name="Normal 12 2 3 2 3 2" xfId="13525" xr:uid="{AD2E637B-6E10-4904-B19D-0B691756970A}"/>
    <cellStyle name="Normal 12 2 3 2 3 3" xfId="21971" xr:uid="{128A9F1B-8F01-456D-9A64-03B816FAEFB6}"/>
    <cellStyle name="Normal 12 2 3 2 4" xfId="9307" xr:uid="{A8865BB9-368D-41AE-A0B5-B6AAD1C36321}"/>
    <cellStyle name="Normal 12 2 3 2 5" xfId="17752" xr:uid="{EBCAD0A9-C6BD-4B2D-96DC-DB9C9604E816}"/>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92CA8EED-E56A-45CF-8894-BB7B8B02C36B}"/>
    <cellStyle name="Normal 12 2 3 3 2 2 3" xfId="24529" xr:uid="{4CD724F5-7FCC-4554-BFA4-4B6CBE6F74E7}"/>
    <cellStyle name="Normal 12 2 3 3 2 3" xfId="11865" xr:uid="{EB6C70E4-EA2C-4623-ACF7-6FD1E300A541}"/>
    <cellStyle name="Normal 12 2 3 3 2 4" xfId="20312" xr:uid="{84230485-0A0C-483C-980E-A4C1FE5A78FB}"/>
    <cellStyle name="Normal 12 2 3 3 3" xfId="5496" xr:uid="{00000000-0005-0000-0000-0000FE0D0000}"/>
    <cellStyle name="Normal 12 2 3 3 3 2" xfId="13938" xr:uid="{15F348FC-C82C-4270-B2F1-6E6599EADA0E}"/>
    <cellStyle name="Normal 12 2 3 3 3 3" xfId="22384" xr:uid="{203DCCBB-21CB-4491-A1F4-55192F5E2A6D}"/>
    <cellStyle name="Normal 12 2 3 3 4" xfId="9720" xr:uid="{F7B3FCFF-B6B8-4700-B4CE-37BD11D16A5F}"/>
    <cellStyle name="Normal 12 2 3 3 5" xfId="18165" xr:uid="{56C95365-623D-44F9-8729-EA1941E5B834}"/>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1957BA4C-2867-45C6-9EFE-755F4BD2FD76}"/>
    <cellStyle name="Normal 12 2 3 4 2 2 3" xfId="24942" xr:uid="{9C0D53F4-78A3-4E1D-BDFB-45F78DE09F52}"/>
    <cellStyle name="Normal 12 2 3 4 2 3" xfId="12278" xr:uid="{54A701A0-505F-4171-AB6E-935738BAAE39}"/>
    <cellStyle name="Normal 12 2 3 4 2 4" xfId="20725" xr:uid="{73189120-7856-481C-8B7E-D22A5109CB21}"/>
    <cellStyle name="Normal 12 2 3 4 3" xfId="5909" xr:uid="{00000000-0005-0000-0000-0000020E0000}"/>
    <cellStyle name="Normal 12 2 3 4 3 2" xfId="14351" xr:uid="{824C4D03-F52B-4AF2-9F7E-E218B5EE676E}"/>
    <cellStyle name="Normal 12 2 3 4 3 3" xfId="22797" xr:uid="{CD48D084-77DB-485F-AD2C-C4F743FC164A}"/>
    <cellStyle name="Normal 12 2 3 4 4" xfId="10133" xr:uid="{0E6804B5-943D-4DE4-A1F6-B8F4521CB531}"/>
    <cellStyle name="Normal 12 2 3 4 5" xfId="18578" xr:uid="{853B43B1-0049-42D3-8C78-CD42775F0113}"/>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06B982F7-8103-4B94-BFF7-21D485C2F10F}"/>
    <cellStyle name="Normal 12 2 3 5 2 2 3" xfId="25355" xr:uid="{A3A41897-F8CF-4688-B56F-BD0825571A03}"/>
    <cellStyle name="Normal 12 2 3 5 2 3" xfId="12691" xr:uid="{CE392809-B0B3-4C5B-9B4B-A857877F4908}"/>
    <cellStyle name="Normal 12 2 3 5 2 4" xfId="21138" xr:uid="{A9BBE2A6-E159-40A4-85C8-69C510FF4924}"/>
    <cellStyle name="Normal 12 2 3 5 3" xfId="6322" xr:uid="{00000000-0005-0000-0000-0000060E0000}"/>
    <cellStyle name="Normal 12 2 3 5 3 2" xfId="14764" xr:uid="{1BD32201-9774-4D47-95D5-14D1D1127037}"/>
    <cellStyle name="Normal 12 2 3 5 3 3" xfId="23210" xr:uid="{F850B449-036B-4F43-9C31-E6F1F4271665}"/>
    <cellStyle name="Normal 12 2 3 5 4" xfId="10546" xr:uid="{A15ABC95-C077-4AE3-94BF-3965BB5D9857}"/>
    <cellStyle name="Normal 12 2 3 5 5" xfId="18991" xr:uid="{9369C1A7-17D5-4A05-ADA9-431F56243EF0}"/>
    <cellStyle name="Normal 12 2 3 6" xfId="2451" xr:uid="{00000000-0005-0000-0000-0000070E0000}"/>
    <cellStyle name="Normal 12 2 3 6 2" xfId="6735" xr:uid="{00000000-0005-0000-0000-0000080E0000}"/>
    <cellStyle name="Normal 12 2 3 6 2 2" xfId="15177" xr:uid="{167D37CE-AC24-4D29-812B-E1ED1AE0A764}"/>
    <cellStyle name="Normal 12 2 3 6 2 3" xfId="23623" xr:uid="{5EDCC324-91FA-400A-A01D-14E829D1058F}"/>
    <cellStyle name="Normal 12 2 3 6 3" xfId="10959" xr:uid="{32410B90-DA4A-48B3-8D8C-E0BC263927CC}"/>
    <cellStyle name="Normal 12 2 3 6 4" xfId="19404" xr:uid="{FD80B504-3BBA-431D-BBDF-2FB3F5A74308}"/>
    <cellStyle name="Normal 12 2 3 7" xfId="4669" xr:uid="{00000000-0005-0000-0000-0000090E0000}"/>
    <cellStyle name="Normal 12 2 3 7 2" xfId="13111" xr:uid="{1D2BAB10-19AC-42C2-92BA-E27F7FCEDF64}"/>
    <cellStyle name="Normal 12 2 3 7 3" xfId="21557" xr:uid="{BE1749FB-CFB1-4087-A5DD-A4F33DB27D16}"/>
    <cellStyle name="Normal 12 2 3 8" xfId="8893" xr:uid="{E248FD10-434E-40AB-AC8E-7C9ABED83F60}"/>
    <cellStyle name="Normal 12 2 3 9" xfId="17337" xr:uid="{1044E95D-3A5D-4E0E-9E31-CF9353B1257B}"/>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388E0A57-DFFF-4648-A698-1DC12268BCC2}"/>
    <cellStyle name="Normal 12 2 4 2 2 3" xfId="24113" xr:uid="{9C372C4C-1818-4482-938D-CBB8E08ECC13}"/>
    <cellStyle name="Normal 12 2 4 2 3" xfId="11449" xr:uid="{37CA20FE-826D-4F89-8882-53F3B3637198}"/>
    <cellStyle name="Normal 12 2 4 2 4" xfId="19896" xr:uid="{64FEB21C-C24E-4780-82A2-6D4E7093090F}"/>
    <cellStyle name="Normal 12 2 4 3" xfId="5080" xr:uid="{00000000-0005-0000-0000-00000D0E0000}"/>
    <cellStyle name="Normal 12 2 4 3 2" xfId="13522" xr:uid="{6A84D645-4200-431E-982F-4508076089EF}"/>
    <cellStyle name="Normal 12 2 4 3 3" xfId="21968" xr:uid="{9651FB1D-1F2B-467E-A175-6D23086507EC}"/>
    <cellStyle name="Normal 12 2 4 4" xfId="9304" xr:uid="{2C958F4E-E642-4AC3-B02D-33377C2A5063}"/>
    <cellStyle name="Normal 12 2 4 5" xfId="17749" xr:uid="{0840AED6-9E5F-4B65-A853-2D2371EE1AAF}"/>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5C7E6B62-5364-468A-9847-E25A04B53115}"/>
    <cellStyle name="Normal 12 2 5 2 2 3" xfId="24526" xr:uid="{359F98BF-7155-4B18-B02D-E527CD09A082}"/>
    <cellStyle name="Normal 12 2 5 2 3" xfId="11862" xr:uid="{1E10512E-A0D0-44E4-96B3-8BDE7F06101D}"/>
    <cellStyle name="Normal 12 2 5 2 4" xfId="20309" xr:uid="{A0A9C2D8-66CD-4A98-A4AF-9BE63E1DBFA8}"/>
    <cellStyle name="Normal 12 2 5 3" xfId="5493" xr:uid="{00000000-0005-0000-0000-0000110E0000}"/>
    <cellStyle name="Normal 12 2 5 3 2" xfId="13935" xr:uid="{DA4EA173-B7D0-4154-9080-2B6F80A06944}"/>
    <cellStyle name="Normal 12 2 5 3 3" xfId="22381" xr:uid="{34D48FE3-0B5A-42CB-8E73-2564EBD67720}"/>
    <cellStyle name="Normal 12 2 5 4" xfId="9717" xr:uid="{7E3DCA21-CC98-4DB9-B274-5CD917ECDF69}"/>
    <cellStyle name="Normal 12 2 5 5" xfId="18162" xr:uid="{741F2443-0C33-4440-869D-B1A83556A2DF}"/>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1C1C8360-425C-4E2E-99B6-E53CDA0B678B}"/>
    <cellStyle name="Normal 12 2 6 2 2 3" xfId="24939" xr:uid="{E2E01E56-57F7-4EB7-94BA-BCA0668B399D}"/>
    <cellStyle name="Normal 12 2 6 2 3" xfId="12275" xr:uid="{F5FFE989-94C2-4090-8AB1-1ADFE0114EE6}"/>
    <cellStyle name="Normal 12 2 6 2 4" xfId="20722" xr:uid="{D1947676-AE08-48CD-8014-B0CEA13174E7}"/>
    <cellStyle name="Normal 12 2 6 3" xfId="5906" xr:uid="{00000000-0005-0000-0000-0000150E0000}"/>
    <cellStyle name="Normal 12 2 6 3 2" xfId="14348" xr:uid="{399F502E-A21E-426C-A118-264517AC7E06}"/>
    <cellStyle name="Normal 12 2 6 3 3" xfId="22794" xr:uid="{A577CFC8-6165-42DB-9C89-0581A95BF76D}"/>
    <cellStyle name="Normal 12 2 6 4" xfId="10130" xr:uid="{8E6AA8A6-D3F2-4113-95CD-9A8B3DBAC937}"/>
    <cellStyle name="Normal 12 2 6 5" xfId="18575" xr:uid="{677E4F38-46DE-4FAD-95C3-802485E8B60B}"/>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F3A291B5-3E7D-488B-9E21-82B5FEC9EFB7}"/>
    <cellStyle name="Normal 12 2 7 2 2 3" xfId="25352" xr:uid="{017FA32A-9ABC-4B04-B7CB-4918699C40B3}"/>
    <cellStyle name="Normal 12 2 7 2 3" xfId="12688" xr:uid="{67C945AB-05AD-433E-AD3C-6633AF90671B}"/>
    <cellStyle name="Normal 12 2 7 2 4" xfId="21135" xr:uid="{70E0A767-5036-461C-B52D-ECFB24EDA100}"/>
    <cellStyle name="Normal 12 2 7 3" xfId="6319" xr:uid="{00000000-0005-0000-0000-0000190E0000}"/>
    <cellStyle name="Normal 12 2 7 3 2" xfId="14761" xr:uid="{903A3711-024E-40BB-9B9B-C7FB92EC7479}"/>
    <cellStyle name="Normal 12 2 7 3 3" xfId="23207" xr:uid="{6C075681-901C-4ECE-97F2-E807B0533C66}"/>
    <cellStyle name="Normal 12 2 7 4" xfId="10543" xr:uid="{3134A499-203A-4CE3-9FB7-A9899989072F}"/>
    <cellStyle name="Normal 12 2 7 5" xfId="18988" xr:uid="{4B55CE28-797D-4DEA-96D4-2D9D90EC7AD1}"/>
    <cellStyle name="Normal 12 2 8" xfId="2448" xr:uid="{00000000-0005-0000-0000-00001A0E0000}"/>
    <cellStyle name="Normal 12 2 8 2" xfId="6732" xr:uid="{00000000-0005-0000-0000-00001B0E0000}"/>
    <cellStyle name="Normal 12 2 8 2 2" xfId="15174" xr:uid="{D6305D61-B2A9-42B2-BA80-5D372EB97B13}"/>
    <cellStyle name="Normal 12 2 8 2 3" xfId="23620" xr:uid="{E701CF52-B70B-4324-A7E9-E56BEA279591}"/>
    <cellStyle name="Normal 12 2 8 3" xfId="10956" xr:uid="{54627936-F7AB-4258-9198-10FA72614AFB}"/>
    <cellStyle name="Normal 12 2 8 4" xfId="19401" xr:uid="{13C1AA67-0321-4875-A33E-CD55CE6EA953}"/>
    <cellStyle name="Normal 12 2 9" xfId="4666" xr:uid="{00000000-0005-0000-0000-00001C0E0000}"/>
    <cellStyle name="Normal 12 2 9 2" xfId="13108" xr:uid="{35AB0BBD-13F5-4D49-8AE9-44C19F624B3E}"/>
    <cellStyle name="Normal 12 2 9 3" xfId="21554" xr:uid="{17538B2E-89FB-4B10-A9C9-13E14029EEBE}"/>
    <cellStyle name="Normal 12 3" xfId="264" xr:uid="{00000000-0005-0000-0000-00001D0E0000}"/>
    <cellStyle name="Normal 12 3 10" xfId="17338" xr:uid="{58EECA54-B967-416B-B08E-62BC4190118D}"/>
    <cellStyle name="Normal 12 3 11" xfId="25703" xr:uid="{7D481D23-F95B-4F13-8259-1DBFD29B5366}"/>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E50D8B44-D8EF-48F0-BC2F-A66CADA2893B}"/>
    <cellStyle name="Normal 12 3 2 2 2 2 3" xfId="24118" xr:uid="{24C64E12-5410-4500-A51B-8683D4CF5D44}"/>
    <cellStyle name="Normal 12 3 2 2 2 3" xfId="11454" xr:uid="{F38E9E0B-667A-4FF0-B701-F60EA329D9DC}"/>
    <cellStyle name="Normal 12 3 2 2 2 4" xfId="19901" xr:uid="{4BD79607-83A8-4EEB-A6FC-A4B1ABB96A85}"/>
    <cellStyle name="Normal 12 3 2 2 3" xfId="5085" xr:uid="{00000000-0005-0000-0000-0000220E0000}"/>
    <cellStyle name="Normal 12 3 2 2 3 2" xfId="13527" xr:uid="{3DB473D1-8163-4AEA-B4F3-9F9036C7DE35}"/>
    <cellStyle name="Normal 12 3 2 2 3 3" xfId="21973" xr:uid="{72E86D4C-C76F-4048-ACB4-DCD41BABF238}"/>
    <cellStyle name="Normal 12 3 2 2 4" xfId="9309" xr:uid="{50E903DC-902C-41F0-821E-447884AD2534}"/>
    <cellStyle name="Normal 12 3 2 2 5" xfId="17754" xr:uid="{73ACC7B1-94DB-4D44-9A15-15ED9C948B90}"/>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3ADBC419-68DE-469E-B70C-526C4936DCF0}"/>
    <cellStyle name="Normal 12 3 2 3 2 2 3" xfId="24531" xr:uid="{EB1F3512-2629-4165-90CB-9579C65E9E00}"/>
    <cellStyle name="Normal 12 3 2 3 2 3" xfId="11867" xr:uid="{F570542E-DEB0-4AC2-94F6-2687A3332709}"/>
    <cellStyle name="Normal 12 3 2 3 2 4" xfId="20314" xr:uid="{11B619F5-45F6-41DE-9C21-E6EA2DA67F64}"/>
    <cellStyle name="Normal 12 3 2 3 3" xfId="5498" xr:uid="{00000000-0005-0000-0000-0000260E0000}"/>
    <cellStyle name="Normal 12 3 2 3 3 2" xfId="13940" xr:uid="{AB523485-DF1B-4283-BCF5-E49A2E591ABC}"/>
    <cellStyle name="Normal 12 3 2 3 3 3" xfId="22386" xr:uid="{C1FA8AA3-361E-446F-BBA0-6905302A7CAD}"/>
    <cellStyle name="Normal 12 3 2 3 4" xfId="9722" xr:uid="{8358DF6B-F8B7-48FB-B14F-61A26E1B6FE7}"/>
    <cellStyle name="Normal 12 3 2 3 5" xfId="18167" xr:uid="{6CFB8101-09F7-45C2-807F-1C8F1426E503}"/>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121A5CB4-F162-41B9-A409-564C33879A03}"/>
    <cellStyle name="Normal 12 3 2 4 2 2 3" xfId="24944" xr:uid="{8CE0B138-1205-45D2-9C02-66A2DF5CBA0D}"/>
    <cellStyle name="Normal 12 3 2 4 2 3" xfId="12280" xr:uid="{BB4A1732-F52F-41CA-A08C-1B441F13A5E8}"/>
    <cellStyle name="Normal 12 3 2 4 2 4" xfId="20727" xr:uid="{C21FB857-FA55-4346-8DC0-2ED4F3C2C052}"/>
    <cellStyle name="Normal 12 3 2 4 3" xfId="5911" xr:uid="{00000000-0005-0000-0000-00002A0E0000}"/>
    <cellStyle name="Normal 12 3 2 4 3 2" xfId="14353" xr:uid="{28A03A04-3489-4F10-90A8-7838349E0FDC}"/>
    <cellStyle name="Normal 12 3 2 4 3 3" xfId="22799" xr:uid="{4CB3ECD9-2E54-4B1C-B584-ED54BB6A499F}"/>
    <cellStyle name="Normal 12 3 2 4 4" xfId="10135" xr:uid="{84B264FF-22F7-4B48-8A5C-ABCCF744AB4C}"/>
    <cellStyle name="Normal 12 3 2 4 5" xfId="18580" xr:uid="{27D896FB-8FAD-4805-BF72-3A940EFEAC24}"/>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23DAAD34-4164-41FA-B060-EBE09B935EF2}"/>
    <cellStyle name="Normal 12 3 2 5 2 2 3" xfId="25357" xr:uid="{F63BB1DA-07B0-4A3A-B6FC-68DC65F404EE}"/>
    <cellStyle name="Normal 12 3 2 5 2 3" xfId="12693" xr:uid="{86E2281D-C22E-4E87-920B-C7C10FD42033}"/>
    <cellStyle name="Normal 12 3 2 5 2 4" xfId="21140" xr:uid="{79305B66-EFA9-468A-A5A5-1A3F9F9DA6BF}"/>
    <cellStyle name="Normal 12 3 2 5 3" xfId="6324" xr:uid="{00000000-0005-0000-0000-00002E0E0000}"/>
    <cellStyle name="Normal 12 3 2 5 3 2" xfId="14766" xr:uid="{563890C8-0511-4B12-8600-7A1BA30BC94D}"/>
    <cellStyle name="Normal 12 3 2 5 3 3" xfId="23212" xr:uid="{96C6BA68-E96B-4937-9E68-66F6B1DF4304}"/>
    <cellStyle name="Normal 12 3 2 5 4" xfId="10548" xr:uid="{64DF555F-CC15-4CBD-B2E3-0C972B0A4398}"/>
    <cellStyle name="Normal 12 3 2 5 5" xfId="18993" xr:uid="{624FECE8-D598-491D-A6CC-CDB6CE58ABA9}"/>
    <cellStyle name="Normal 12 3 2 6" xfId="2453" xr:uid="{00000000-0005-0000-0000-00002F0E0000}"/>
    <cellStyle name="Normal 12 3 2 6 2" xfId="6737" xr:uid="{00000000-0005-0000-0000-0000300E0000}"/>
    <cellStyle name="Normal 12 3 2 6 2 2" xfId="15179" xr:uid="{D961FC14-9AFC-4BFA-8B2D-FB03FFC49872}"/>
    <cellStyle name="Normal 12 3 2 6 2 3" xfId="23625" xr:uid="{2340367C-5332-4870-B488-667F65C11EDE}"/>
    <cellStyle name="Normal 12 3 2 6 3" xfId="10961" xr:uid="{6F9190C0-3467-47DB-BCD3-CCFED934D526}"/>
    <cellStyle name="Normal 12 3 2 6 4" xfId="19406" xr:uid="{A39A63EB-FC79-4D97-81E5-12FFCA3702C7}"/>
    <cellStyle name="Normal 12 3 2 7" xfId="4671" xr:uid="{00000000-0005-0000-0000-0000310E0000}"/>
    <cellStyle name="Normal 12 3 2 7 2" xfId="13113" xr:uid="{84F0A0D4-AEB0-48F1-BFCB-2012DE6807C6}"/>
    <cellStyle name="Normal 12 3 2 7 3" xfId="21559" xr:uid="{27A2F879-76AB-4E2F-9854-0B6119C3C006}"/>
    <cellStyle name="Normal 12 3 2 8" xfId="8895" xr:uid="{28784896-2EA0-4A70-AFA7-9EE2FE88B08D}"/>
    <cellStyle name="Normal 12 3 2 9" xfId="17339" xr:uid="{8EB42C2D-ADFF-45EA-8832-EF7B0F5ADD30}"/>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A29D823B-416E-41F0-B14F-A8FA81170F6F}"/>
    <cellStyle name="Normal 12 3 3 2 2 3" xfId="24117" xr:uid="{F24BABC1-FD69-438F-AA24-89416178EE13}"/>
    <cellStyle name="Normal 12 3 3 2 3" xfId="11453" xr:uid="{F2650C86-CE7B-4E9A-AAD1-80AD815F834A}"/>
    <cellStyle name="Normal 12 3 3 2 4" xfId="19900" xr:uid="{A75C0581-9836-4755-B433-E42ADAE908D2}"/>
    <cellStyle name="Normal 12 3 3 3" xfId="5084" xr:uid="{00000000-0005-0000-0000-0000350E0000}"/>
    <cellStyle name="Normal 12 3 3 3 2" xfId="13526" xr:uid="{17ED7B42-CBD0-4085-8E6C-4DFD5F3EDEFE}"/>
    <cellStyle name="Normal 12 3 3 3 3" xfId="21972" xr:uid="{51E580FE-7B74-40A3-B0E5-9E72324AE46C}"/>
    <cellStyle name="Normal 12 3 3 4" xfId="9308" xr:uid="{20717D42-D1B4-475E-8A4A-9FC8750B8D4E}"/>
    <cellStyle name="Normal 12 3 3 5" xfId="17753" xr:uid="{721758DD-E04C-4DAB-A85C-50BFC2D1D5EE}"/>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EED6424D-6101-4F1B-BF35-3390636B7183}"/>
    <cellStyle name="Normal 12 3 4 2 2 3" xfId="24530" xr:uid="{F4F4AF5A-2FEE-4AC0-B335-B74596F02ED1}"/>
    <cellStyle name="Normal 12 3 4 2 3" xfId="11866" xr:uid="{DC5ED97C-C556-4FBB-98D7-FF44DD18B606}"/>
    <cellStyle name="Normal 12 3 4 2 4" xfId="20313" xr:uid="{E6D09B83-BFBC-4572-9CC7-A255986FB26F}"/>
    <cellStyle name="Normal 12 3 4 3" xfId="5497" xr:uid="{00000000-0005-0000-0000-0000390E0000}"/>
    <cellStyle name="Normal 12 3 4 3 2" xfId="13939" xr:uid="{F430F5CA-89B9-4C88-80E9-4B8DE6B0BD2C}"/>
    <cellStyle name="Normal 12 3 4 3 3" xfId="22385" xr:uid="{60F59704-920D-43E9-9149-F8A5FFD37327}"/>
    <cellStyle name="Normal 12 3 4 4" xfId="9721" xr:uid="{2A4BB723-F49F-4B6B-8487-67FB4FF7F3E6}"/>
    <cellStyle name="Normal 12 3 4 5" xfId="18166" xr:uid="{52B52C44-B326-4A6E-A789-80503B1688D1}"/>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266DF38E-DF75-4EFB-8725-2B1CE0AE6478}"/>
    <cellStyle name="Normal 12 3 5 2 2 3" xfId="24943" xr:uid="{63EF3525-E048-4385-AE4C-A775DF76D303}"/>
    <cellStyle name="Normal 12 3 5 2 3" xfId="12279" xr:uid="{902ABBC9-A7DD-42F7-8005-2D37827F6B94}"/>
    <cellStyle name="Normal 12 3 5 2 4" xfId="20726" xr:uid="{43991CAA-F78B-4C93-ACC8-E7F05EE7CEDF}"/>
    <cellStyle name="Normal 12 3 5 3" xfId="5910" xr:uid="{00000000-0005-0000-0000-00003D0E0000}"/>
    <cellStyle name="Normal 12 3 5 3 2" xfId="14352" xr:uid="{C9809638-FDDE-4334-90CA-D5AAC16ACC80}"/>
    <cellStyle name="Normal 12 3 5 3 3" xfId="22798" xr:uid="{6904270F-4FE9-4D7A-84F2-9C880F4BE9D7}"/>
    <cellStyle name="Normal 12 3 5 4" xfId="10134" xr:uid="{53E4E3ED-687F-48EE-83BB-299A96AEDD44}"/>
    <cellStyle name="Normal 12 3 5 5" xfId="18579" xr:uid="{8B71D652-25D3-49DA-917E-0FD59A7DB4F1}"/>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0228ADB0-1EE0-4F90-9ED2-DD0EA4AD33EC}"/>
    <cellStyle name="Normal 12 3 6 2 2 3" xfId="25356" xr:uid="{476DD5EC-459C-477B-BBFE-0A9FA27B4F21}"/>
    <cellStyle name="Normal 12 3 6 2 3" xfId="12692" xr:uid="{D892211B-4161-4D8D-AADA-8DC37F6211C2}"/>
    <cellStyle name="Normal 12 3 6 2 4" xfId="21139" xr:uid="{BF95EC49-8A3A-4A3E-AB1F-645411E43897}"/>
    <cellStyle name="Normal 12 3 6 3" xfId="6323" xr:uid="{00000000-0005-0000-0000-0000410E0000}"/>
    <cellStyle name="Normal 12 3 6 3 2" xfId="14765" xr:uid="{F6DEC4AB-E711-490E-A9B1-7D5E325081D9}"/>
    <cellStyle name="Normal 12 3 6 3 3" xfId="23211" xr:uid="{7DB9E7F4-BAAC-4439-8CBB-6FBD9534C31A}"/>
    <cellStyle name="Normal 12 3 6 4" xfId="10547" xr:uid="{86027D97-36C1-4206-B3F7-FAE5721858BB}"/>
    <cellStyle name="Normal 12 3 6 5" xfId="18992" xr:uid="{9E31004F-4A62-4D58-8507-9448F0A56D86}"/>
    <cellStyle name="Normal 12 3 7" xfId="2452" xr:uid="{00000000-0005-0000-0000-0000420E0000}"/>
    <cellStyle name="Normal 12 3 7 2" xfId="6736" xr:uid="{00000000-0005-0000-0000-0000430E0000}"/>
    <cellStyle name="Normal 12 3 7 2 2" xfId="15178" xr:uid="{3CE51BAB-6B93-4B26-9202-34174E1C6BD1}"/>
    <cellStyle name="Normal 12 3 7 2 3" xfId="23624" xr:uid="{009FC3DA-FF89-4E8A-A495-99219CDA82EF}"/>
    <cellStyle name="Normal 12 3 7 3" xfId="10960" xr:uid="{FEDA5D82-5291-4D59-9EDD-187ED542B93D}"/>
    <cellStyle name="Normal 12 3 7 4" xfId="19405" xr:uid="{AD3243F0-8E67-44DA-A067-68D3963D79D8}"/>
    <cellStyle name="Normal 12 3 8" xfId="4670" xr:uid="{00000000-0005-0000-0000-0000440E0000}"/>
    <cellStyle name="Normal 12 3 8 2" xfId="13112" xr:uid="{39C8A9BE-9443-4EB6-A407-B69E486EFD85}"/>
    <cellStyle name="Normal 12 3 8 3" xfId="21558" xr:uid="{A59EA536-2902-46D3-BE2E-8F8FB3C04424}"/>
    <cellStyle name="Normal 12 3 9" xfId="8894" xr:uid="{6E4C213F-EA83-4754-B74E-9EA44DA6DCC9}"/>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4876E311-0592-476D-AB36-690ED29EE894}"/>
    <cellStyle name="Normal 12 4 2 2 2 3" xfId="24119" xr:uid="{4B5092F9-CAA4-4CB7-BF3E-13A9A1EADC91}"/>
    <cellStyle name="Normal 12 4 2 2 3" xfId="11455" xr:uid="{46DF1BED-CEDC-4170-9B1D-581CB8B7040D}"/>
    <cellStyle name="Normal 12 4 2 2 4" xfId="19902" xr:uid="{800EEAAB-C6CA-4955-84B0-5265EF4E59FF}"/>
    <cellStyle name="Normal 12 4 2 3" xfId="5086" xr:uid="{00000000-0005-0000-0000-0000490E0000}"/>
    <cellStyle name="Normal 12 4 2 3 2" xfId="13528" xr:uid="{435FF0DD-6F79-4FED-B5FB-7EB861E553AB}"/>
    <cellStyle name="Normal 12 4 2 3 3" xfId="21974" xr:uid="{3D752BC4-B4D3-494A-8208-23C3BA709562}"/>
    <cellStyle name="Normal 12 4 2 4" xfId="9310" xr:uid="{0ACE9467-6B3A-4D90-BD87-142AD8B30979}"/>
    <cellStyle name="Normal 12 4 2 5" xfId="17755" xr:uid="{A854C691-E61E-445C-A69B-1FE4999B256E}"/>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DCF15BEE-BD56-4110-816D-21F349D6B146}"/>
    <cellStyle name="Normal 12 4 3 2 2 3" xfId="24532" xr:uid="{96B5AED4-3724-4555-8545-10604334055E}"/>
    <cellStyle name="Normal 12 4 3 2 3" xfId="11868" xr:uid="{30AE0736-74CE-4804-9383-7366A570F833}"/>
    <cellStyle name="Normal 12 4 3 2 4" xfId="20315" xr:uid="{EF5390FD-FF81-4422-BBB0-4F184C32AC06}"/>
    <cellStyle name="Normal 12 4 3 3" xfId="5499" xr:uid="{00000000-0005-0000-0000-00004D0E0000}"/>
    <cellStyle name="Normal 12 4 3 3 2" xfId="13941" xr:uid="{EE807098-2347-40ED-8EDE-66BD6DC8B63F}"/>
    <cellStyle name="Normal 12 4 3 3 3" xfId="22387" xr:uid="{2C2CCC0E-3691-4470-9C05-67108BD3A577}"/>
    <cellStyle name="Normal 12 4 3 4" xfId="9723" xr:uid="{CA93606B-3488-49F7-A88F-B6B843BD473E}"/>
    <cellStyle name="Normal 12 4 3 5" xfId="18168" xr:uid="{3AAF9179-6562-4AB5-A8CB-B5A66763DA93}"/>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72A3F056-45D7-4557-A85A-0F39B28AC0E7}"/>
    <cellStyle name="Normal 12 4 4 2 2 3" xfId="24945" xr:uid="{D2958381-348E-4A86-9791-8F64B1473811}"/>
    <cellStyle name="Normal 12 4 4 2 3" xfId="12281" xr:uid="{EE231007-77CB-47B3-BEC1-56BA4C827569}"/>
    <cellStyle name="Normal 12 4 4 2 4" xfId="20728" xr:uid="{29933DA5-F842-4748-AB93-3508CB291B09}"/>
    <cellStyle name="Normal 12 4 4 3" xfId="5912" xr:uid="{00000000-0005-0000-0000-0000510E0000}"/>
    <cellStyle name="Normal 12 4 4 3 2" xfId="14354" xr:uid="{45488D3B-DAD6-4CB0-9C4B-A7D6C92D0530}"/>
    <cellStyle name="Normal 12 4 4 3 3" xfId="22800" xr:uid="{C1D67660-7AC4-4916-9A51-1BB709D39783}"/>
    <cellStyle name="Normal 12 4 4 4" xfId="10136" xr:uid="{D710C982-7C2D-44F0-B6CD-6A10B0C5BB3A}"/>
    <cellStyle name="Normal 12 4 4 5" xfId="18581" xr:uid="{6A48818B-9EC1-443A-8390-30CE0EDDC0B7}"/>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0BF442C0-A8D6-4FF3-9E78-C21D16CB14D2}"/>
    <cellStyle name="Normal 12 4 5 2 2 3" xfId="25358" xr:uid="{431610A4-9181-4290-9245-D52AC7024524}"/>
    <cellStyle name="Normal 12 4 5 2 3" xfId="12694" xr:uid="{C638F23D-19C5-4FC9-807B-1DA9CE4F7412}"/>
    <cellStyle name="Normal 12 4 5 2 4" xfId="21141" xr:uid="{DC641225-DFC4-43C0-BF37-C4E5EC377E73}"/>
    <cellStyle name="Normal 12 4 5 3" xfId="6325" xr:uid="{00000000-0005-0000-0000-0000550E0000}"/>
    <cellStyle name="Normal 12 4 5 3 2" xfId="14767" xr:uid="{0273CAC4-AA4C-44E8-A6B8-FE0F65F80F03}"/>
    <cellStyle name="Normal 12 4 5 3 3" xfId="23213" xr:uid="{A0F4BB50-6D19-4099-AFEB-63AE04106EC1}"/>
    <cellStyle name="Normal 12 4 5 4" xfId="10549" xr:uid="{B07CE377-A39B-4709-9585-5EC0B8ED7634}"/>
    <cellStyle name="Normal 12 4 5 5" xfId="18994" xr:uid="{71533E24-CD81-4B59-B7AA-F0D6CDA2A118}"/>
    <cellStyle name="Normal 12 4 6" xfId="2454" xr:uid="{00000000-0005-0000-0000-0000560E0000}"/>
    <cellStyle name="Normal 12 4 6 2" xfId="6738" xr:uid="{00000000-0005-0000-0000-0000570E0000}"/>
    <cellStyle name="Normal 12 4 6 2 2" xfId="15180" xr:uid="{B3BB0DF4-412A-47F6-AE91-B20BAAC78C6F}"/>
    <cellStyle name="Normal 12 4 6 2 3" xfId="23626" xr:uid="{AD2F05BC-53FE-42CC-B5AF-C509E014C0ED}"/>
    <cellStyle name="Normal 12 4 6 3" xfId="10962" xr:uid="{E872D621-98C0-4BCE-886E-8D1AED50FBA4}"/>
    <cellStyle name="Normal 12 4 6 4" xfId="19407" xr:uid="{1EAB3BA5-6436-4326-BAAD-13E5FC845FE7}"/>
    <cellStyle name="Normal 12 4 7" xfId="4672" xr:uid="{00000000-0005-0000-0000-0000580E0000}"/>
    <cellStyle name="Normal 12 4 7 2" xfId="13114" xr:uid="{4DB24B3F-8749-4C7C-9FDB-70499A65C8F5}"/>
    <cellStyle name="Normal 12 4 7 3" xfId="21560" xr:uid="{62D1F953-2FF5-4EE0-83C4-133EDDCE70E0}"/>
    <cellStyle name="Normal 12 4 8" xfId="8896" xr:uid="{52E88115-5DBA-4F8F-BF73-41ADCE3A2ED7}"/>
    <cellStyle name="Normal 12 4 9" xfId="17340" xr:uid="{0CA5424E-AEE3-431D-A8ED-CC2029AAFA3C}"/>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E73B054B-603A-4EC0-ACFE-35ADF9AED42C}"/>
    <cellStyle name="Normal 12 6 2 2 3" xfId="24112" xr:uid="{66C44B79-8957-4622-805B-DD53D018ED64}"/>
    <cellStyle name="Normal 12 6 2 3" xfId="11448" xr:uid="{C6B6A5D2-6B81-4745-9524-163CE25EAB3D}"/>
    <cellStyle name="Normal 12 6 2 4" xfId="19895" xr:uid="{60750A05-5A8A-4E32-BAFF-A3B5C1302FB8}"/>
    <cellStyle name="Normal 12 6 3" xfId="5079" xr:uid="{00000000-0005-0000-0000-00005D0E0000}"/>
    <cellStyle name="Normal 12 6 3 2" xfId="13521" xr:uid="{61457679-62DE-4AF6-8EA3-150768BB1D09}"/>
    <cellStyle name="Normal 12 6 3 3" xfId="21967" xr:uid="{FEE1A6A7-EA84-47B6-AE9E-294FA50990CC}"/>
    <cellStyle name="Normal 12 6 4" xfId="9303" xr:uid="{3FB96498-CDD9-43AC-97E3-439C088499DA}"/>
    <cellStyle name="Normal 12 6 5" xfId="17748" xr:uid="{AA34FEA5-FC3B-4CF4-879C-9F1B6C52F063}"/>
    <cellStyle name="Normal 12 7" xfId="1183" xr:uid="{00000000-0005-0000-0000-00005E0E0000}"/>
    <cellStyle name="Normal 12 7 2" xfId="3414" xr:uid="{00000000-0005-0000-0000-00005F0E0000}"/>
    <cellStyle name="Normal 12 7 2 2" xfId="7637" xr:uid="{00000000-0005-0000-0000-0000600E0000}"/>
    <cellStyle name="Normal 12 7 2 2 2" xfId="16079" xr:uid="{9926D918-7B29-428C-A5F7-995F19EFA749}"/>
    <cellStyle name="Normal 12 7 2 2 3" xfId="24525" xr:uid="{050C2062-9D48-4F1D-B2A2-D584F72601E0}"/>
    <cellStyle name="Normal 12 7 2 3" xfId="11861" xr:uid="{0417E991-49F9-4CF2-B88A-3EA28402A3D0}"/>
    <cellStyle name="Normal 12 7 2 4" xfId="20308" xr:uid="{A79908D4-9937-4B4B-9A63-085623CE7312}"/>
    <cellStyle name="Normal 12 7 3" xfId="5492" xr:uid="{00000000-0005-0000-0000-0000610E0000}"/>
    <cellStyle name="Normal 12 7 3 2" xfId="13934" xr:uid="{11EEE2EC-C066-4882-81BD-2CB54AC9DA9A}"/>
    <cellStyle name="Normal 12 7 3 3" xfId="22380" xr:uid="{FD01B695-639F-40C9-AE7C-2283231DC8D5}"/>
    <cellStyle name="Normal 12 7 4" xfId="9716" xr:uid="{1C7B23C4-ECEC-4D33-AB7E-E58B25A0519A}"/>
    <cellStyle name="Normal 12 7 5" xfId="18161" xr:uid="{2152137F-692E-4901-8BB1-59DC5A68ACC1}"/>
    <cellStyle name="Normal 12 8" xfId="1597" xr:uid="{00000000-0005-0000-0000-0000620E0000}"/>
    <cellStyle name="Normal 12 8 2" xfId="3827" xr:uid="{00000000-0005-0000-0000-0000630E0000}"/>
    <cellStyle name="Normal 12 8 2 2" xfId="8050" xr:uid="{00000000-0005-0000-0000-0000640E0000}"/>
    <cellStyle name="Normal 12 8 2 2 2" xfId="16492" xr:uid="{3768792D-39FF-4CFE-9684-A31885DB8300}"/>
    <cellStyle name="Normal 12 8 2 2 3" xfId="24938" xr:uid="{6C1C913A-67B7-46C8-911B-B3D27D8B2432}"/>
    <cellStyle name="Normal 12 8 2 3" xfId="12274" xr:uid="{80912160-F4E2-4EE6-8364-312C6A0AADDE}"/>
    <cellStyle name="Normal 12 8 2 4" xfId="20721" xr:uid="{A9A7F900-B03B-4B83-AEE7-C9CEE379B7D3}"/>
    <cellStyle name="Normal 12 8 3" xfId="5905" xr:uid="{00000000-0005-0000-0000-0000650E0000}"/>
    <cellStyle name="Normal 12 8 3 2" xfId="14347" xr:uid="{18F89B0E-F40E-4C0A-BD15-A3BF9C961E9B}"/>
    <cellStyle name="Normal 12 8 3 3" xfId="22793" xr:uid="{396BDFDA-32CC-4E84-A765-7B04850116F9}"/>
    <cellStyle name="Normal 12 8 4" xfId="10129" xr:uid="{379861A7-173D-48D2-AB26-BEEBB390ADAF}"/>
    <cellStyle name="Normal 12 8 5" xfId="18574" xr:uid="{35BF1AC4-C050-4445-8945-14E3033DD82D}"/>
    <cellStyle name="Normal 12 9" xfId="2011" xr:uid="{00000000-0005-0000-0000-0000660E0000}"/>
    <cellStyle name="Normal 12 9 2" xfId="4240" xr:uid="{00000000-0005-0000-0000-0000670E0000}"/>
    <cellStyle name="Normal 12 9 2 2" xfId="8463" xr:uid="{00000000-0005-0000-0000-0000680E0000}"/>
    <cellStyle name="Normal 12 9 2 2 2" xfId="16905" xr:uid="{EC1D66F7-C1F5-49F9-AE2B-00EDD40F446A}"/>
    <cellStyle name="Normal 12 9 2 2 3" xfId="25351" xr:uid="{B928BF3C-77D3-46E1-873C-C4B5F869802F}"/>
    <cellStyle name="Normal 12 9 2 3" xfId="12687" xr:uid="{155B7856-0BF3-4C68-AB67-4F55AA50010B}"/>
    <cellStyle name="Normal 12 9 2 4" xfId="21134" xr:uid="{91FC514A-21CD-44EE-A62A-85E845067A43}"/>
    <cellStyle name="Normal 12 9 3" xfId="6318" xr:uid="{00000000-0005-0000-0000-0000690E0000}"/>
    <cellStyle name="Normal 12 9 3 2" xfId="14760" xr:uid="{7A9AE474-FD02-403D-A879-AA0E33C0A823}"/>
    <cellStyle name="Normal 12 9 3 3" xfId="23206" xr:uid="{410DF580-C5C8-43B9-82D7-AD4C0B274EAA}"/>
    <cellStyle name="Normal 12 9 4" xfId="10542" xr:uid="{0A345AA3-88C7-47AE-8BE4-ED7E0E1ABD60}"/>
    <cellStyle name="Normal 12 9 5" xfId="18987" xr:uid="{75066F6C-072B-48C9-91BD-A18F9A478E1B}"/>
    <cellStyle name="Normal 12_Dropdowns" xfId="25639" xr:uid="{62B3A5DF-C959-4628-9705-D669A541FA09}"/>
    <cellStyle name="Normal 13" xfId="268" xr:uid="{00000000-0005-0000-0000-00006A0E0000}"/>
    <cellStyle name="Normal 13 2" xfId="269" xr:uid="{00000000-0005-0000-0000-00006B0E0000}"/>
    <cellStyle name="Normal 13 2 2" xfId="25735" xr:uid="{C1CE536B-16B1-4532-AE1F-32775B85B7A2}"/>
    <cellStyle name="Normal 13 3" xfId="25743" xr:uid="{05AC007E-480D-46A0-98EA-4B59DD922034}"/>
    <cellStyle name="Normal 14" xfId="270" xr:uid="{00000000-0005-0000-0000-00006C0E0000}"/>
    <cellStyle name="Normal 14 10" xfId="25731" xr:uid="{565F46D2-6D18-46D7-B9A9-FA6C3E912CD4}"/>
    <cellStyle name="Normal 14 2" xfId="768" xr:uid="{00000000-0005-0000-0000-00006D0E0000}"/>
    <cellStyle name="Normal 14 2 2" xfId="3009" xr:uid="{00000000-0005-0000-0000-00006E0E0000}"/>
    <cellStyle name="Normal 14 2 2 2" xfId="7232" xr:uid="{00000000-0005-0000-0000-00006F0E0000}"/>
    <cellStyle name="Normal 14 2 2 2 2" xfId="15674" xr:uid="{F7699D30-B189-43C8-A5D9-8A16143A6DD4}"/>
    <cellStyle name="Normal 14 2 2 2 3" xfId="24120" xr:uid="{FFB9560A-54B9-43DC-BDC5-FFC07F02AE9E}"/>
    <cellStyle name="Normal 14 2 2 3" xfId="11456" xr:uid="{B068ED69-96D2-464C-9D42-8BBB811C8844}"/>
    <cellStyle name="Normal 14 2 2 4" xfId="19903" xr:uid="{A0BE2BF4-0210-4237-A091-F15440C6A5A1}"/>
    <cellStyle name="Normal 14 2 3" xfId="5087" xr:uid="{00000000-0005-0000-0000-0000700E0000}"/>
    <cellStyle name="Normal 14 2 3 2" xfId="13529" xr:uid="{C5849738-A7BF-4FD2-A38D-74433B1ABE9D}"/>
    <cellStyle name="Normal 14 2 3 3" xfId="21975" xr:uid="{39564A88-4D8A-4CC2-BEE9-18E4EA39BEF0}"/>
    <cellStyle name="Normal 14 2 4" xfId="9311" xr:uid="{BD61B0E4-D9F7-4FF9-9337-9AF278F26E29}"/>
    <cellStyle name="Normal 14 2 5" xfId="17756" xr:uid="{041EBB46-0582-4BC9-ADAE-22759F9645CE}"/>
    <cellStyle name="Normal 14 2 6" xfId="25755" xr:uid="{5E133759-E9E1-4BB2-957C-1C82AA3FB21F}"/>
    <cellStyle name="Normal 14 3" xfId="1191" xr:uid="{00000000-0005-0000-0000-0000710E0000}"/>
    <cellStyle name="Normal 14 3 2" xfId="3422" xr:uid="{00000000-0005-0000-0000-0000720E0000}"/>
    <cellStyle name="Normal 14 3 2 2" xfId="7645" xr:uid="{00000000-0005-0000-0000-0000730E0000}"/>
    <cellStyle name="Normal 14 3 2 2 2" xfId="16087" xr:uid="{71908D4C-3E7C-421B-A0F6-46DDFB831D61}"/>
    <cellStyle name="Normal 14 3 2 2 3" xfId="24533" xr:uid="{86276C56-5721-42C8-B0B7-E0F8685725C4}"/>
    <cellStyle name="Normal 14 3 2 3" xfId="11869" xr:uid="{B2D4962E-6CF7-48F8-AFE8-35449CAFEC86}"/>
    <cellStyle name="Normal 14 3 2 4" xfId="20316" xr:uid="{72F0520C-F4FC-43C0-A4F4-3A77DB6B7F0F}"/>
    <cellStyle name="Normal 14 3 3" xfId="5500" xr:uid="{00000000-0005-0000-0000-0000740E0000}"/>
    <cellStyle name="Normal 14 3 3 2" xfId="13942" xr:uid="{7E215DA4-7279-45FE-B81D-A3B2580C7279}"/>
    <cellStyle name="Normal 14 3 3 3" xfId="22388" xr:uid="{C8993DE6-6C36-49FB-A037-7846B6BE982B}"/>
    <cellStyle name="Normal 14 3 4" xfId="9724" xr:uid="{493C3F3E-31AE-4897-9A6E-A7184C6CB7BB}"/>
    <cellStyle name="Normal 14 3 5" xfId="18169" xr:uid="{B77DA390-DEA9-41AE-9006-08E0A1F28722}"/>
    <cellStyle name="Normal 14 4" xfId="1605" xr:uid="{00000000-0005-0000-0000-0000750E0000}"/>
    <cellStyle name="Normal 14 4 2" xfId="3835" xr:uid="{00000000-0005-0000-0000-0000760E0000}"/>
    <cellStyle name="Normal 14 4 2 2" xfId="8058" xr:uid="{00000000-0005-0000-0000-0000770E0000}"/>
    <cellStyle name="Normal 14 4 2 2 2" xfId="16500" xr:uid="{2CD31DF9-8D60-412C-A0FD-0FA8F2FDC8B2}"/>
    <cellStyle name="Normal 14 4 2 2 3" xfId="24946" xr:uid="{61FDE82B-84A0-45FC-8A0A-D4B8DDEAB3C8}"/>
    <cellStyle name="Normal 14 4 2 3" xfId="12282" xr:uid="{2C8DEE58-A744-424D-9D22-C3740CA6403A}"/>
    <cellStyle name="Normal 14 4 2 4" xfId="20729" xr:uid="{838849D5-C36D-4128-9A9B-C0DCE04928FB}"/>
    <cellStyle name="Normal 14 4 3" xfId="5913" xr:uid="{00000000-0005-0000-0000-0000780E0000}"/>
    <cellStyle name="Normal 14 4 3 2" xfId="14355" xr:uid="{F742BFD8-253E-465C-BDF6-4E13445D1EC8}"/>
    <cellStyle name="Normal 14 4 3 3" xfId="22801" xr:uid="{D6A08671-FCFE-4CFC-B1D9-3F98E90F681C}"/>
    <cellStyle name="Normal 14 4 4" xfId="10137" xr:uid="{E586AB85-7897-4FAC-A346-0C7FD2D87294}"/>
    <cellStyle name="Normal 14 4 5" xfId="18582" xr:uid="{05D6BD36-CA80-4204-A5FE-FCCA1DC45E11}"/>
    <cellStyle name="Normal 14 5" xfId="2019" xr:uid="{00000000-0005-0000-0000-0000790E0000}"/>
    <cellStyle name="Normal 14 5 2" xfId="4248" xr:uid="{00000000-0005-0000-0000-00007A0E0000}"/>
    <cellStyle name="Normal 14 5 2 2" xfId="8471" xr:uid="{00000000-0005-0000-0000-00007B0E0000}"/>
    <cellStyle name="Normal 14 5 2 2 2" xfId="16913" xr:uid="{54A4BB61-2400-4C02-9DBC-54D134DBDD76}"/>
    <cellStyle name="Normal 14 5 2 2 3" xfId="25359" xr:uid="{83FBEC7D-6951-4699-9FA3-C9D0F7FD78FE}"/>
    <cellStyle name="Normal 14 5 2 3" xfId="12695" xr:uid="{26AAA3CA-995F-4AA5-AAAB-C57227326E5F}"/>
    <cellStyle name="Normal 14 5 2 4" xfId="21142" xr:uid="{5F7DB30F-D4DD-4933-A851-860DCFF87B52}"/>
    <cellStyle name="Normal 14 5 3" xfId="6326" xr:uid="{00000000-0005-0000-0000-00007C0E0000}"/>
    <cellStyle name="Normal 14 5 3 2" xfId="14768" xr:uid="{7BA22715-7A57-4D99-8D08-4981C4F51709}"/>
    <cellStyle name="Normal 14 5 3 3" xfId="23214" xr:uid="{B49DCCD2-19E1-4976-A883-A90EAE68D216}"/>
    <cellStyle name="Normal 14 5 4" xfId="10550" xr:uid="{E8DFDFFF-E02A-42E4-82F7-33DF9653B7C8}"/>
    <cellStyle name="Normal 14 5 5" xfId="18995" xr:uid="{E4383EDC-188F-4E87-A910-6F180C14FAFA}"/>
    <cellStyle name="Normal 14 6" xfId="2455" xr:uid="{00000000-0005-0000-0000-00007D0E0000}"/>
    <cellStyle name="Normal 14 6 2" xfId="6739" xr:uid="{00000000-0005-0000-0000-00007E0E0000}"/>
    <cellStyle name="Normal 14 6 2 2" xfId="15181" xr:uid="{E6BE0C81-5975-4062-B673-29BC7F2F886C}"/>
    <cellStyle name="Normal 14 6 2 3" xfId="23627" xr:uid="{3F3BCB1E-DDB1-45AF-B13C-B10599DC5BA6}"/>
    <cellStyle name="Normal 14 6 3" xfId="10963" xr:uid="{04A68F25-A69E-4400-BB28-B5B80C178649}"/>
    <cellStyle name="Normal 14 6 4" xfId="19408" xr:uid="{979AB7EE-ABE2-4F45-8ED0-E934DCDDBD3C}"/>
    <cellStyle name="Normal 14 7" xfId="4673" xr:uid="{00000000-0005-0000-0000-00007F0E0000}"/>
    <cellStyle name="Normal 14 7 2" xfId="13115" xr:uid="{4C0FBB73-6CDD-4197-8D23-F3551110448C}"/>
    <cellStyle name="Normal 14 7 3" xfId="21561" xr:uid="{4FA84161-647B-4AE9-88E7-7A88FE072B72}"/>
    <cellStyle name="Normal 14 8" xfId="8897" xr:uid="{C142F9C1-53BA-483E-BE1E-3FBEA742E717}"/>
    <cellStyle name="Normal 14 9" xfId="17341" xr:uid="{65FFC87B-6027-42B6-B028-EAA471C4E269}"/>
    <cellStyle name="Normal 15" xfId="4496" xr:uid="{00000000-0005-0000-0000-0000800E0000}"/>
    <cellStyle name="Normal 15 2" xfId="12941" xr:uid="{EFA3377B-AB78-4D0E-B704-F7B23AD9D69C}"/>
    <cellStyle name="Normal 15 2 2" xfId="25736" xr:uid="{B6EE97A2-7F0E-47DC-8C08-1C6B2EC4EDD2}"/>
    <cellStyle name="Normal 15 3" xfId="21387" xr:uid="{5967F1C8-9732-4EEA-90F6-A1169AE0668F}"/>
    <cellStyle name="Normal 15 3 2" xfId="25722" xr:uid="{A279F594-B74E-41C2-8F77-DE8045AB634F}"/>
    <cellStyle name="Normal 15 4" xfId="25759" xr:uid="{B1FCD787-0E31-44D5-8799-4E99AFA13791}"/>
    <cellStyle name="Normal 15 5" xfId="25657" xr:uid="{76E9F95F-6671-4761-A06C-97DF2424D27F}"/>
    <cellStyle name="Normal 16" xfId="4500" xr:uid="{00000000-0005-0000-0000-0000810E0000}"/>
    <cellStyle name="Normal 16 2" xfId="8716" xr:uid="{00000000-0005-0000-0000-0000820E0000}"/>
    <cellStyle name="Normal 16 2 2" xfId="17158" xr:uid="{FA3801D7-4DB0-465B-84FA-91A97563EF28}"/>
    <cellStyle name="Normal 16 2 3" xfId="25604" xr:uid="{08C50CD2-D25B-4D9B-B595-849B1226862D}"/>
    <cellStyle name="Normal 16 2 4" xfId="25669" xr:uid="{056794C4-AA5A-46A2-95FB-A4DFDC9F1759}"/>
    <cellStyle name="Normal 16 3" xfId="8719" xr:uid="{3DE1BEEB-61FA-4094-B10F-9E0444F68763}"/>
    <cellStyle name="Normal 16 3 2" xfId="8723" xr:uid="{FE0BC069-4698-40B2-814D-8E09719245E9}"/>
    <cellStyle name="Normal 16 3 2 2" xfId="8726" xr:uid="{D3E9609F-293A-4CFC-B194-1FF2F92D621D}"/>
    <cellStyle name="Normal 16 3 2 2 2" xfId="17167" xr:uid="{5B776D65-B158-42DE-9464-E872FFF64B55}"/>
    <cellStyle name="Normal 16 3 2 2 3" xfId="25613" xr:uid="{A4C641D2-7390-4561-9F09-88E14787A1F1}"/>
    <cellStyle name="Normal 16 3 2 3" xfId="17164" xr:uid="{5A9A5734-059B-479B-BD80-B39F11DA23BA}"/>
    <cellStyle name="Normal 16 3 2 4" xfId="25610" xr:uid="{5A1151C5-49C5-4DF6-A645-88F41C1E63CB}"/>
    <cellStyle name="Normal 16 3 3" xfId="17161" xr:uid="{BD3CD23F-7F12-4089-A1C2-CB8F73914925}"/>
    <cellStyle name="Normal 16 3 4" xfId="25607" xr:uid="{5CF8BF5E-4CA5-4282-BB50-537B12344B00}"/>
    <cellStyle name="Normal 16 4" xfId="12944" xr:uid="{EB01A57C-CB1B-4D93-848E-087923C03A40}"/>
    <cellStyle name="Normal 16 5" xfId="21390" xr:uid="{7BBA1BB4-260D-4460-A36A-BE2B478DC680}"/>
    <cellStyle name="Normal 16 6" xfId="25710" xr:uid="{AE371384-D40B-4E0A-AE0E-7FE1C47EE5EF}"/>
    <cellStyle name="Normal 17" xfId="25719" xr:uid="{3D252FE8-B2E6-4424-B6F8-F0C1F826ADF5}"/>
    <cellStyle name="Normal 17 2" xfId="25770" xr:uid="{642FAD82-F10F-4F48-B2C2-D69798CBD034}"/>
    <cellStyle name="Normal 17 2 2" xfId="25746" xr:uid="{BD0EB4FA-5CE9-49AC-AA1E-09A0C14852C9}"/>
    <cellStyle name="Normal 18" xfId="25692" xr:uid="{406DF211-3C76-4FC1-8ACF-18A9987666D8}"/>
    <cellStyle name="Normal 19" xfId="25643" xr:uid="{4B0711A1-6450-4935-80C6-039AB463629F}"/>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2 2" xfId="25723" xr:uid="{10CC107A-75FB-4BEE-868B-1FDDC1D1C9F2}"/>
    <cellStyle name="Normal 2 2 2 3" xfId="275" xr:uid="{00000000-0005-0000-0000-0000870E0000}"/>
    <cellStyle name="Normal 2 2 2 4" xfId="1192" xr:uid="{00000000-0005-0000-0000-0000880E0000}"/>
    <cellStyle name="Normal 2 2 2 5" xfId="25744" xr:uid="{1D164808-70B1-4568-874E-5FA347F1D723}"/>
    <cellStyle name="Normal 2 2 2_Dropdowns" xfId="25658" xr:uid="{C9034D78-88DC-4D3F-88B8-FCB297383452}"/>
    <cellStyle name="Normal 2 2 3" xfId="770" xr:uid="{00000000-0005-0000-0000-0000890E0000}"/>
    <cellStyle name="Normal 2 2 3 2" xfId="25689" xr:uid="{BF16E64C-3DB5-4CC5-BE4D-E2C8CCCF794A}"/>
    <cellStyle name="Normal 2 2 3 3" xfId="25682" xr:uid="{C808CB7A-9A66-47DC-A6BC-B04A4CD336FE}"/>
    <cellStyle name="Normal 2 2 3 4" xfId="25708" xr:uid="{97150EE0-C293-4850-B3D1-BDD5BFB24ADC}"/>
    <cellStyle name="Normal 2 2 3_Dropdowns" xfId="17267" xr:uid="{5F41171B-72AA-49E2-9C4A-EEAA25A4C627}"/>
    <cellStyle name="Normal 2 2 4" xfId="25705" xr:uid="{0031FE36-FF39-4C86-965E-538ECD4B6592}"/>
    <cellStyle name="Normal 2 3" xfId="276" xr:uid="{00000000-0005-0000-0000-00008A0E0000}"/>
    <cellStyle name="Normal 2 3 2" xfId="277" xr:uid="{00000000-0005-0000-0000-00008B0E0000}"/>
    <cellStyle name="Normal 2 3 3" xfId="25751" xr:uid="{5E329AEA-7478-4C81-AB5C-06147B99BFEB}"/>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AA4534EB-BC32-4F63-8049-3677EE07A7A2}"/>
    <cellStyle name="Normal 2 4 2 10 2 2 3" xfId="25360" xr:uid="{3949356B-6201-46FA-87C0-9EB346197184}"/>
    <cellStyle name="Normal 2 4 2 10 2 3" xfId="12696" xr:uid="{47AF0729-0528-49EC-A2BB-FAD5FC86BFD4}"/>
    <cellStyle name="Normal 2 4 2 10 2 4" xfId="21143" xr:uid="{D552CABA-C6DA-4EF0-B6AF-D30CF7FE9EDC}"/>
    <cellStyle name="Normal 2 4 2 10 3" xfId="6327" xr:uid="{00000000-0005-0000-0000-0000910E0000}"/>
    <cellStyle name="Normal 2 4 2 10 3 2" xfId="14769" xr:uid="{07DE486E-D423-4D46-9D39-7E0FA8FDD705}"/>
    <cellStyle name="Normal 2 4 2 10 3 3" xfId="23215" xr:uid="{05DF7127-6573-41ED-971B-F7CBA93E318A}"/>
    <cellStyle name="Normal 2 4 2 10 4" xfId="10551" xr:uid="{A95DDE06-3C75-4FDB-A175-13ED4E73065F}"/>
    <cellStyle name="Normal 2 4 2 10 5" xfId="18996" xr:uid="{5763F268-92D3-479C-898C-7CF045F5A75D}"/>
    <cellStyle name="Normal 2 4 2 11" xfId="2456" xr:uid="{00000000-0005-0000-0000-0000920E0000}"/>
    <cellStyle name="Normal 2 4 2 11 2" xfId="6740" xr:uid="{00000000-0005-0000-0000-0000930E0000}"/>
    <cellStyle name="Normal 2 4 2 11 2 2" xfId="15182" xr:uid="{A466F8FB-10B5-4A78-9347-4EC9AA439B54}"/>
    <cellStyle name="Normal 2 4 2 11 2 3" xfId="23628" xr:uid="{CD90ADA7-2E13-4E26-8AAB-6085EE315C68}"/>
    <cellStyle name="Normal 2 4 2 11 3" xfId="10964" xr:uid="{782E60D9-696F-4AB9-81B1-419000F3AA8C}"/>
    <cellStyle name="Normal 2 4 2 11 4" xfId="19409" xr:uid="{87760018-7909-4E56-BFC0-9BD47CE83845}"/>
    <cellStyle name="Normal 2 4 2 12" xfId="4674" xr:uid="{00000000-0005-0000-0000-0000940E0000}"/>
    <cellStyle name="Normal 2 4 2 12 2" xfId="13116" xr:uid="{C93229F3-CFD1-4841-BDFB-BAD8F8FFD862}"/>
    <cellStyle name="Normal 2 4 2 12 3" xfId="21562" xr:uid="{D13009FF-FDF7-4754-B918-55CD85E5C01B}"/>
    <cellStyle name="Normal 2 4 2 13" xfId="8898" xr:uid="{A28C68C9-6F28-4521-845E-E3993F93D4D3}"/>
    <cellStyle name="Normal 2 4 2 14" xfId="17342" xr:uid="{54C2873E-8283-45A2-ADD1-B9B6F9A83448}"/>
    <cellStyle name="Normal 2 4 2 2" xfId="280" xr:uid="{00000000-0005-0000-0000-0000950E0000}"/>
    <cellStyle name="Normal 2 4 2 3" xfId="281" xr:uid="{00000000-0005-0000-0000-0000960E0000}"/>
    <cellStyle name="Normal 2 4 2 3 10" xfId="4675" xr:uid="{00000000-0005-0000-0000-0000970E0000}"/>
    <cellStyle name="Normal 2 4 2 3 10 2" xfId="13117" xr:uid="{0AA4B1D4-989F-4D53-90EF-CEA76D18E8A2}"/>
    <cellStyle name="Normal 2 4 2 3 10 3" xfId="21563" xr:uid="{28C592D9-2E52-4C01-BC66-A56227B02D82}"/>
    <cellStyle name="Normal 2 4 2 3 11" xfId="8899" xr:uid="{B4FA0D5E-B56A-4A77-952B-8CF83B3CE818}"/>
    <cellStyle name="Normal 2 4 2 3 12" xfId="17343" xr:uid="{73ED626D-A042-4CCF-A389-C34967145F9E}"/>
    <cellStyle name="Normal 2 4 2 3 2" xfId="282" xr:uid="{00000000-0005-0000-0000-0000980E0000}"/>
    <cellStyle name="Normal 2 4 2 3 2 10" xfId="8900" xr:uid="{150D27C9-69AA-414F-B74F-FC1FDC6FDDAA}"/>
    <cellStyle name="Normal 2 4 2 3 2 11" xfId="17344" xr:uid="{E6E7784B-644A-4612-99F5-4B35A0E9BA4D}"/>
    <cellStyle name="Normal 2 4 2 3 2 2" xfId="283" xr:uid="{00000000-0005-0000-0000-0000990E0000}"/>
    <cellStyle name="Normal 2 4 2 3 2 2 10" xfId="17345" xr:uid="{C19028D5-4E0D-44AA-829F-8A58F0F07627}"/>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3D9FA94B-3060-4993-A890-A5440E5D4FF2}"/>
    <cellStyle name="Normal 2 4 2 3 2 2 2 2 2 2 3" xfId="24125" xr:uid="{CA639816-FCA1-4ED3-8EF5-97181135F9A6}"/>
    <cellStyle name="Normal 2 4 2 3 2 2 2 2 2 3" xfId="11461" xr:uid="{27725DD7-7C33-467B-ACB5-19B0BF0D4917}"/>
    <cellStyle name="Normal 2 4 2 3 2 2 2 2 2 4" xfId="19908" xr:uid="{F34C22FF-E525-42F6-8352-6F86955D4062}"/>
    <cellStyle name="Normal 2 4 2 3 2 2 2 2 3" xfId="5092" xr:uid="{00000000-0005-0000-0000-00009E0E0000}"/>
    <cellStyle name="Normal 2 4 2 3 2 2 2 2 3 2" xfId="13534" xr:uid="{F0450DE6-FCA5-4C1E-B3C8-7E6B81334B4B}"/>
    <cellStyle name="Normal 2 4 2 3 2 2 2 2 3 3" xfId="21980" xr:uid="{EAC7EEFC-7DAE-497B-802D-C2B73FD01B80}"/>
    <cellStyle name="Normal 2 4 2 3 2 2 2 2 4" xfId="9316" xr:uid="{BAB10B26-803F-4AC2-80CC-7C9129D7E07D}"/>
    <cellStyle name="Normal 2 4 2 3 2 2 2 2 5" xfId="17761" xr:uid="{92E39F37-F210-4A9B-916C-812B6C78D553}"/>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0FD8A790-755B-4F66-B0B0-1DAF3DB40C12}"/>
    <cellStyle name="Normal 2 4 2 3 2 2 2 3 2 2 3" xfId="24538" xr:uid="{5E852924-D40A-4FDF-B533-BB2C119C5833}"/>
    <cellStyle name="Normal 2 4 2 3 2 2 2 3 2 3" xfId="11874" xr:uid="{CE1AE10F-0F38-42A9-A20B-A38220F6CBA7}"/>
    <cellStyle name="Normal 2 4 2 3 2 2 2 3 2 4" xfId="20321" xr:uid="{F58EE07D-D362-4E69-A972-DD6096AD3F36}"/>
    <cellStyle name="Normal 2 4 2 3 2 2 2 3 3" xfId="5505" xr:uid="{00000000-0005-0000-0000-0000A20E0000}"/>
    <cellStyle name="Normal 2 4 2 3 2 2 2 3 3 2" xfId="13947" xr:uid="{EE80FCA6-D91A-4C1F-9D97-30F7ACEED274}"/>
    <cellStyle name="Normal 2 4 2 3 2 2 2 3 3 3" xfId="22393" xr:uid="{8853A32E-521D-4893-BEAE-C059BC4B8584}"/>
    <cellStyle name="Normal 2 4 2 3 2 2 2 3 4" xfId="9729" xr:uid="{E60FD6FD-BE12-447D-9A89-F219D8F65503}"/>
    <cellStyle name="Normal 2 4 2 3 2 2 2 3 5" xfId="18174" xr:uid="{3E096C1F-59E9-45B4-8195-70502D720572}"/>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9BA029D9-8679-4198-99F8-40E0EAC8AB75}"/>
    <cellStyle name="Normal 2 4 2 3 2 2 2 4 2 2 3" xfId="24951" xr:uid="{F89FFE01-632C-466B-A4AF-FC505FD68FD5}"/>
    <cellStyle name="Normal 2 4 2 3 2 2 2 4 2 3" xfId="12287" xr:uid="{F8C7BAE3-36DE-4771-B5E2-E5F009DEE071}"/>
    <cellStyle name="Normal 2 4 2 3 2 2 2 4 2 4" xfId="20734" xr:uid="{35CB176D-29D6-4D9D-B7F9-EA1539338CA1}"/>
    <cellStyle name="Normal 2 4 2 3 2 2 2 4 3" xfId="5918" xr:uid="{00000000-0005-0000-0000-0000A60E0000}"/>
    <cellStyle name="Normal 2 4 2 3 2 2 2 4 3 2" xfId="14360" xr:uid="{FEB47251-96DF-4881-8B6D-A2BF0C68BFFC}"/>
    <cellStyle name="Normal 2 4 2 3 2 2 2 4 3 3" xfId="22806" xr:uid="{D7241C9B-E5CD-475B-B3D4-32155FAFAF28}"/>
    <cellStyle name="Normal 2 4 2 3 2 2 2 4 4" xfId="10142" xr:uid="{131B4B8E-28DE-4028-9C96-0FF40801E1AF}"/>
    <cellStyle name="Normal 2 4 2 3 2 2 2 4 5" xfId="18587" xr:uid="{13388ED5-8498-4B32-A61A-818D07779CB5}"/>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978BF7EF-E8DB-46E4-960B-33C5976629DC}"/>
    <cellStyle name="Normal 2 4 2 3 2 2 2 5 2 2 3" xfId="25364" xr:uid="{2BF7CFCE-893D-4499-9653-AA5CB902F2D6}"/>
    <cellStyle name="Normal 2 4 2 3 2 2 2 5 2 3" xfId="12700" xr:uid="{589E42B3-6FBF-4EC4-A864-26BE240346FE}"/>
    <cellStyle name="Normal 2 4 2 3 2 2 2 5 2 4" xfId="21147" xr:uid="{9162A3B9-E4EA-4620-93C1-D265A11A0D91}"/>
    <cellStyle name="Normal 2 4 2 3 2 2 2 5 3" xfId="6331" xr:uid="{00000000-0005-0000-0000-0000AA0E0000}"/>
    <cellStyle name="Normal 2 4 2 3 2 2 2 5 3 2" xfId="14773" xr:uid="{05D78930-1AC8-4783-9458-6AB08B2B9CC2}"/>
    <cellStyle name="Normal 2 4 2 3 2 2 2 5 3 3" xfId="23219" xr:uid="{AF1A2E42-BF66-4787-9F4A-36BBE07BEE8E}"/>
    <cellStyle name="Normal 2 4 2 3 2 2 2 5 4" xfId="10555" xr:uid="{2371F292-3F01-4F15-BFBF-33F779F88E42}"/>
    <cellStyle name="Normal 2 4 2 3 2 2 2 5 5" xfId="19000" xr:uid="{42F5C7DC-3B83-4331-8FB1-6F495E9733C3}"/>
    <cellStyle name="Normal 2 4 2 3 2 2 2 6" xfId="2460" xr:uid="{00000000-0005-0000-0000-0000AB0E0000}"/>
    <cellStyle name="Normal 2 4 2 3 2 2 2 6 2" xfId="6744" xr:uid="{00000000-0005-0000-0000-0000AC0E0000}"/>
    <cellStyle name="Normal 2 4 2 3 2 2 2 6 2 2" xfId="15186" xr:uid="{FF622DC2-030E-4FD8-A16B-22AFCEB92324}"/>
    <cellStyle name="Normal 2 4 2 3 2 2 2 6 2 3" xfId="23632" xr:uid="{F2C4F96B-3969-461E-877F-4C3A7DB9E0E7}"/>
    <cellStyle name="Normal 2 4 2 3 2 2 2 6 3" xfId="10968" xr:uid="{3455898E-4014-47B3-9371-35D109EF50E4}"/>
    <cellStyle name="Normal 2 4 2 3 2 2 2 6 4" xfId="19413" xr:uid="{2830B90B-FF16-4DB8-AD6C-916370D613A6}"/>
    <cellStyle name="Normal 2 4 2 3 2 2 2 7" xfId="4678" xr:uid="{00000000-0005-0000-0000-0000AD0E0000}"/>
    <cellStyle name="Normal 2 4 2 3 2 2 2 7 2" xfId="13120" xr:uid="{DE8E0FBF-E947-4CC4-A2ED-F699DFFBA218}"/>
    <cellStyle name="Normal 2 4 2 3 2 2 2 7 3" xfId="21566" xr:uid="{73211107-7287-4817-A0FF-F20AF45B4E61}"/>
    <cellStyle name="Normal 2 4 2 3 2 2 2 8" xfId="8902" xr:uid="{7C46C801-E9FA-4B24-A219-83266E80EE5B}"/>
    <cellStyle name="Normal 2 4 2 3 2 2 2 9" xfId="17346" xr:uid="{88030FD1-C869-407E-8D84-8B7CBD0AC14F}"/>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065023E5-1004-4B73-8A02-014C754A3839}"/>
    <cellStyle name="Normal 2 4 2 3 2 2 3 2 2 3" xfId="24124" xr:uid="{314774E1-AA9A-4AD0-B130-708F2A28C80A}"/>
    <cellStyle name="Normal 2 4 2 3 2 2 3 2 3" xfId="11460" xr:uid="{551A466B-9ED6-45AE-BDEC-F18252450D27}"/>
    <cellStyle name="Normal 2 4 2 3 2 2 3 2 4" xfId="19907" xr:uid="{356D04A5-AA48-41FB-AC68-B20B1EEAB2F2}"/>
    <cellStyle name="Normal 2 4 2 3 2 2 3 3" xfId="5091" xr:uid="{00000000-0005-0000-0000-0000B10E0000}"/>
    <cellStyle name="Normal 2 4 2 3 2 2 3 3 2" xfId="13533" xr:uid="{4E391085-1232-4088-8565-F02B944F9971}"/>
    <cellStyle name="Normal 2 4 2 3 2 2 3 3 3" xfId="21979" xr:uid="{FD1D9B70-0032-4CFB-928B-B43F40DB83C5}"/>
    <cellStyle name="Normal 2 4 2 3 2 2 3 4" xfId="9315" xr:uid="{532D64A4-3DCC-42FC-A1FE-2651174779E1}"/>
    <cellStyle name="Normal 2 4 2 3 2 2 3 5" xfId="17760" xr:uid="{C44BEB59-703A-4B79-B764-0007A859363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C9BB5679-C2E6-43C9-BBA3-E1617821D8FA}"/>
    <cellStyle name="Normal 2 4 2 3 2 2 4 2 2 3" xfId="24537" xr:uid="{D4363F15-7878-4450-8E72-A637401C21F6}"/>
    <cellStyle name="Normal 2 4 2 3 2 2 4 2 3" xfId="11873" xr:uid="{33C401B4-328C-4FEE-90DA-F86036E3ED2E}"/>
    <cellStyle name="Normal 2 4 2 3 2 2 4 2 4" xfId="20320" xr:uid="{A35DE40A-6CFA-463B-93D4-8E9B0BB0183A}"/>
    <cellStyle name="Normal 2 4 2 3 2 2 4 3" xfId="5504" xr:uid="{00000000-0005-0000-0000-0000B50E0000}"/>
    <cellStyle name="Normal 2 4 2 3 2 2 4 3 2" xfId="13946" xr:uid="{79BCA8F0-2D07-491E-8B89-9FC6A91314D9}"/>
    <cellStyle name="Normal 2 4 2 3 2 2 4 3 3" xfId="22392" xr:uid="{18F6A0F2-9AA6-477C-894E-09E084DD0503}"/>
    <cellStyle name="Normal 2 4 2 3 2 2 4 4" xfId="9728" xr:uid="{13DC45F3-B619-4C95-B90C-EFBE463875AC}"/>
    <cellStyle name="Normal 2 4 2 3 2 2 4 5" xfId="18173" xr:uid="{34086C58-4822-43B9-A61E-3C855D0F60BD}"/>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12C8471A-770B-4EB0-B78A-E823B8A7B926}"/>
    <cellStyle name="Normal 2 4 2 3 2 2 5 2 2 3" xfId="24950" xr:uid="{66BEC996-7C42-4CD6-8C1B-D66078F58427}"/>
    <cellStyle name="Normal 2 4 2 3 2 2 5 2 3" xfId="12286" xr:uid="{CBEE8138-45CB-44B3-9B87-F85C35877335}"/>
    <cellStyle name="Normal 2 4 2 3 2 2 5 2 4" xfId="20733" xr:uid="{6DE4D948-6984-4F58-895E-35CBB6F57F65}"/>
    <cellStyle name="Normal 2 4 2 3 2 2 5 3" xfId="5917" xr:uid="{00000000-0005-0000-0000-0000B90E0000}"/>
    <cellStyle name="Normal 2 4 2 3 2 2 5 3 2" xfId="14359" xr:uid="{0E7B5455-E7AB-422F-83E1-D04B2502FE1F}"/>
    <cellStyle name="Normal 2 4 2 3 2 2 5 3 3" xfId="22805" xr:uid="{366FBED4-5C34-4E1C-989E-89CCFEC75968}"/>
    <cellStyle name="Normal 2 4 2 3 2 2 5 4" xfId="10141" xr:uid="{ABAFFC3F-6E49-4E63-AEB1-37E1C9A912BA}"/>
    <cellStyle name="Normal 2 4 2 3 2 2 5 5" xfId="18586" xr:uid="{50CD6E11-2777-429B-BD10-5BCBE046CF6B}"/>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D372A647-61A9-42CF-B83B-410BCDE7FF85}"/>
    <cellStyle name="Normal 2 4 2 3 2 2 6 2 2 3" xfId="25363" xr:uid="{A787CADE-195D-44B3-B68B-C63FA4287F5B}"/>
    <cellStyle name="Normal 2 4 2 3 2 2 6 2 3" xfId="12699" xr:uid="{6BFFAD0C-4291-431A-AFF5-56431F9EFC62}"/>
    <cellStyle name="Normal 2 4 2 3 2 2 6 2 4" xfId="21146" xr:uid="{388E62CC-3317-40FC-AE0E-AF35A905EE5F}"/>
    <cellStyle name="Normal 2 4 2 3 2 2 6 3" xfId="6330" xr:uid="{00000000-0005-0000-0000-0000BD0E0000}"/>
    <cellStyle name="Normal 2 4 2 3 2 2 6 3 2" xfId="14772" xr:uid="{99BB85E6-0104-40F6-BCCF-9C8D7D085E6A}"/>
    <cellStyle name="Normal 2 4 2 3 2 2 6 3 3" xfId="23218" xr:uid="{0C044217-3D17-40E0-9F5A-CABD7E55E49F}"/>
    <cellStyle name="Normal 2 4 2 3 2 2 6 4" xfId="10554" xr:uid="{E80DFE25-0F0F-43CB-AE8E-9D430A9E6FD6}"/>
    <cellStyle name="Normal 2 4 2 3 2 2 6 5" xfId="18999" xr:uid="{1E5CD082-F10C-402B-9E1B-22609ECF444C}"/>
    <cellStyle name="Normal 2 4 2 3 2 2 7" xfId="2459" xr:uid="{00000000-0005-0000-0000-0000BE0E0000}"/>
    <cellStyle name="Normal 2 4 2 3 2 2 7 2" xfId="6743" xr:uid="{00000000-0005-0000-0000-0000BF0E0000}"/>
    <cellStyle name="Normal 2 4 2 3 2 2 7 2 2" xfId="15185" xr:uid="{904DF181-204B-4D89-BDAD-BB6F4F57FA18}"/>
    <cellStyle name="Normal 2 4 2 3 2 2 7 2 3" xfId="23631" xr:uid="{EE8405A5-EE8F-4973-98E6-AC5876BCBAA0}"/>
    <cellStyle name="Normal 2 4 2 3 2 2 7 3" xfId="10967" xr:uid="{AED85BAF-CAC4-4D43-AA7F-E4A0223830A3}"/>
    <cellStyle name="Normal 2 4 2 3 2 2 7 4" xfId="19412" xr:uid="{FDD48D99-3ABB-435A-BBD6-6A5F783C2D94}"/>
    <cellStyle name="Normal 2 4 2 3 2 2 8" xfId="4677" xr:uid="{00000000-0005-0000-0000-0000C00E0000}"/>
    <cellStyle name="Normal 2 4 2 3 2 2 8 2" xfId="13119" xr:uid="{837AED5B-5F84-454A-BE35-5445F708D33E}"/>
    <cellStyle name="Normal 2 4 2 3 2 2 8 3" xfId="21565" xr:uid="{C78E2C5A-BDFA-4AD5-B743-77D104137376}"/>
    <cellStyle name="Normal 2 4 2 3 2 2 9" xfId="8901" xr:uid="{C1B4C779-E770-4779-888E-62691569DEB8}"/>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BDE421C8-D905-4F49-8AF9-26FA6B379060}"/>
    <cellStyle name="Normal 2 4 2 3 2 3 2 2 2 3" xfId="24126" xr:uid="{0194A92B-647E-4C5E-B7C2-EA973889C8D6}"/>
    <cellStyle name="Normal 2 4 2 3 2 3 2 2 3" xfId="11462" xr:uid="{D4F19144-3F0F-426A-9894-EC565FC1D15C}"/>
    <cellStyle name="Normal 2 4 2 3 2 3 2 2 4" xfId="19909" xr:uid="{D709602D-B953-477B-B343-23AF6A82E371}"/>
    <cellStyle name="Normal 2 4 2 3 2 3 2 3" xfId="5093" xr:uid="{00000000-0005-0000-0000-0000C50E0000}"/>
    <cellStyle name="Normal 2 4 2 3 2 3 2 3 2" xfId="13535" xr:uid="{F2F08B80-ADFF-4821-9969-44B87D5E7209}"/>
    <cellStyle name="Normal 2 4 2 3 2 3 2 3 3" xfId="21981" xr:uid="{CD31377D-A999-4CAC-B558-C704D6DF31D8}"/>
    <cellStyle name="Normal 2 4 2 3 2 3 2 4" xfId="9317" xr:uid="{5A91C847-C67D-4743-8703-DDA33F5FC38F}"/>
    <cellStyle name="Normal 2 4 2 3 2 3 2 5" xfId="17762" xr:uid="{B5D50DCE-D2F6-4BCB-8172-8D55B3C20FFE}"/>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DDC08FA6-51D4-4688-8E6A-267E18634724}"/>
    <cellStyle name="Normal 2 4 2 3 2 3 3 2 2 3" xfId="24539" xr:uid="{D05D0E5A-7611-465D-8C71-98DBA277AB34}"/>
    <cellStyle name="Normal 2 4 2 3 2 3 3 2 3" xfId="11875" xr:uid="{A24A9A42-A5ED-41D1-8966-3FC31F67A353}"/>
    <cellStyle name="Normal 2 4 2 3 2 3 3 2 4" xfId="20322" xr:uid="{6C356D79-E7D5-4093-B20A-7BAFF4DA0D99}"/>
    <cellStyle name="Normal 2 4 2 3 2 3 3 3" xfId="5506" xr:uid="{00000000-0005-0000-0000-0000C90E0000}"/>
    <cellStyle name="Normal 2 4 2 3 2 3 3 3 2" xfId="13948" xr:uid="{013A929B-213C-4311-85C5-51665A5DB2B2}"/>
    <cellStyle name="Normal 2 4 2 3 2 3 3 3 3" xfId="22394" xr:uid="{EACCCF5C-F922-4FB2-AA50-F73D4D3F6E70}"/>
    <cellStyle name="Normal 2 4 2 3 2 3 3 4" xfId="9730" xr:uid="{804C5A35-FE16-400F-8348-002ED7064B52}"/>
    <cellStyle name="Normal 2 4 2 3 2 3 3 5" xfId="18175" xr:uid="{C9186534-DA14-4B89-8746-82BA00A68077}"/>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A9AFDC71-738F-4ED8-A618-07D90CAD98C7}"/>
    <cellStyle name="Normal 2 4 2 3 2 3 4 2 2 3" xfId="24952" xr:uid="{16B0144D-0629-4A56-B6B3-B292E5033060}"/>
    <cellStyle name="Normal 2 4 2 3 2 3 4 2 3" xfId="12288" xr:uid="{C1F6723C-7E0D-472C-B649-DDA9B54CE452}"/>
    <cellStyle name="Normal 2 4 2 3 2 3 4 2 4" xfId="20735" xr:uid="{ACE20C44-E7AA-4C9D-9AD4-3087848C6658}"/>
    <cellStyle name="Normal 2 4 2 3 2 3 4 3" xfId="5919" xr:uid="{00000000-0005-0000-0000-0000CD0E0000}"/>
    <cellStyle name="Normal 2 4 2 3 2 3 4 3 2" xfId="14361" xr:uid="{CE849215-0AC7-40C8-A6E6-4AB6485E4C59}"/>
    <cellStyle name="Normal 2 4 2 3 2 3 4 3 3" xfId="22807" xr:uid="{34AB4F6E-5458-4D89-B968-D7CA5CCF49F5}"/>
    <cellStyle name="Normal 2 4 2 3 2 3 4 4" xfId="10143" xr:uid="{FAB15B77-21E1-4BFB-BBBB-E5C5BD392F72}"/>
    <cellStyle name="Normal 2 4 2 3 2 3 4 5" xfId="18588" xr:uid="{FAF2E204-06DD-4FF2-B49C-9F517FAAED9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A76BAE26-11AB-4E83-AB08-485C0A3AF3DF}"/>
    <cellStyle name="Normal 2 4 2 3 2 3 5 2 2 3" xfId="25365" xr:uid="{10D2D1C7-E76A-4EC1-8B6D-1EF619B6A568}"/>
    <cellStyle name="Normal 2 4 2 3 2 3 5 2 3" xfId="12701" xr:uid="{4AC366C7-684A-415F-A052-583371DF2A3B}"/>
    <cellStyle name="Normal 2 4 2 3 2 3 5 2 4" xfId="21148" xr:uid="{46F8C088-C3D7-429D-B032-3D0773BAB032}"/>
    <cellStyle name="Normal 2 4 2 3 2 3 5 3" xfId="6332" xr:uid="{00000000-0005-0000-0000-0000D10E0000}"/>
    <cellStyle name="Normal 2 4 2 3 2 3 5 3 2" xfId="14774" xr:uid="{3F12AB34-41A0-45DF-8D46-B3C6CDFEC336}"/>
    <cellStyle name="Normal 2 4 2 3 2 3 5 3 3" xfId="23220" xr:uid="{1CE0A80E-BAC5-4F84-9111-6F6380A9BC30}"/>
    <cellStyle name="Normal 2 4 2 3 2 3 5 4" xfId="10556" xr:uid="{8D883A2F-6BA5-4E3C-BED7-E4293D8294CA}"/>
    <cellStyle name="Normal 2 4 2 3 2 3 5 5" xfId="19001" xr:uid="{8C9E2EBA-38C9-4843-BE95-027269F9115A}"/>
    <cellStyle name="Normal 2 4 2 3 2 3 6" xfId="2461" xr:uid="{00000000-0005-0000-0000-0000D20E0000}"/>
    <cellStyle name="Normal 2 4 2 3 2 3 6 2" xfId="6745" xr:uid="{00000000-0005-0000-0000-0000D30E0000}"/>
    <cellStyle name="Normal 2 4 2 3 2 3 6 2 2" xfId="15187" xr:uid="{0D3889E5-D909-4E31-83FE-991B5DEBFF46}"/>
    <cellStyle name="Normal 2 4 2 3 2 3 6 2 3" xfId="23633" xr:uid="{812AB1F6-431D-4905-969F-69491CCD56C9}"/>
    <cellStyle name="Normal 2 4 2 3 2 3 6 3" xfId="10969" xr:uid="{7FEA3FDD-1A6D-43E8-971A-50EA16D78B9B}"/>
    <cellStyle name="Normal 2 4 2 3 2 3 6 4" xfId="19414" xr:uid="{00216C81-D28A-44DE-8AB1-0B1AF2657236}"/>
    <cellStyle name="Normal 2 4 2 3 2 3 7" xfId="4679" xr:uid="{00000000-0005-0000-0000-0000D40E0000}"/>
    <cellStyle name="Normal 2 4 2 3 2 3 7 2" xfId="13121" xr:uid="{5B00B1DD-C3A6-4197-AD4D-DCCD391B2C6E}"/>
    <cellStyle name="Normal 2 4 2 3 2 3 7 3" xfId="21567" xr:uid="{110E062F-6A2E-4B5D-855B-BD39DE5454BC}"/>
    <cellStyle name="Normal 2 4 2 3 2 3 8" xfId="8903" xr:uid="{306A8F8B-5F91-499A-BF7F-24CF079614C0}"/>
    <cellStyle name="Normal 2 4 2 3 2 3 9" xfId="17347" xr:uid="{D9E1E6EB-A8AB-49DA-BA2E-A658C81CC854}"/>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BF6DC57D-8B1D-4F15-B4B8-7A359A976F46}"/>
    <cellStyle name="Normal 2 4 2 3 2 4 2 2 3" xfId="24123" xr:uid="{8B8F41D4-558F-4CD9-938F-2CCADD723CD9}"/>
    <cellStyle name="Normal 2 4 2 3 2 4 2 3" xfId="11459" xr:uid="{EE5E25E8-1DBC-48C8-BDC6-AE8589F72B21}"/>
    <cellStyle name="Normal 2 4 2 3 2 4 2 4" xfId="19906" xr:uid="{84B0E9A9-57E8-4CAD-83B8-B0C4FDE15BCB}"/>
    <cellStyle name="Normal 2 4 2 3 2 4 3" xfId="5090" xr:uid="{00000000-0005-0000-0000-0000D80E0000}"/>
    <cellStyle name="Normal 2 4 2 3 2 4 3 2" xfId="13532" xr:uid="{9A51AE68-E2C4-4E93-920E-FD453F5AF66F}"/>
    <cellStyle name="Normal 2 4 2 3 2 4 3 3" xfId="21978" xr:uid="{FCFE6F58-1BD6-4E6A-BE7A-4B9B715DA115}"/>
    <cellStyle name="Normal 2 4 2 3 2 4 4" xfId="9314" xr:uid="{0F1A3964-56FB-4186-B3D0-F70475A0F433}"/>
    <cellStyle name="Normal 2 4 2 3 2 4 5" xfId="17759" xr:uid="{15A701E8-28A6-46CE-A649-63B052B34469}"/>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83BC23B9-48B1-4506-AB4A-1893784478AB}"/>
    <cellStyle name="Normal 2 4 2 3 2 5 2 2 3" xfId="24536" xr:uid="{F43D56EF-AE3D-4F8C-8932-770043AEA2E8}"/>
    <cellStyle name="Normal 2 4 2 3 2 5 2 3" xfId="11872" xr:uid="{D0DCAB2C-E48D-4CFB-849B-4409721AF7F8}"/>
    <cellStyle name="Normal 2 4 2 3 2 5 2 4" xfId="20319" xr:uid="{749A8A0E-D419-4920-B2A1-838CFAF3783A}"/>
    <cellStyle name="Normal 2 4 2 3 2 5 3" xfId="5503" xr:uid="{00000000-0005-0000-0000-0000DC0E0000}"/>
    <cellStyle name="Normal 2 4 2 3 2 5 3 2" xfId="13945" xr:uid="{837B81EA-AA7C-4431-9343-5DB3172F0C88}"/>
    <cellStyle name="Normal 2 4 2 3 2 5 3 3" xfId="22391" xr:uid="{1F397D4F-2D6C-4F35-87E7-45A6E849A59C}"/>
    <cellStyle name="Normal 2 4 2 3 2 5 4" xfId="9727" xr:uid="{3A7B1D9B-BA68-4448-B32B-2FDA8774945D}"/>
    <cellStyle name="Normal 2 4 2 3 2 5 5" xfId="18172" xr:uid="{2B770D05-27AB-4918-84D2-AC0F3E4D2B83}"/>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6DF1204E-AA50-49A7-9F14-982463E32358}"/>
    <cellStyle name="Normal 2 4 2 3 2 6 2 2 3" xfId="24949" xr:uid="{9AE70266-0317-44D6-9585-F59F66C868F8}"/>
    <cellStyle name="Normal 2 4 2 3 2 6 2 3" xfId="12285" xr:uid="{6C005F16-C587-4009-A7C5-4ABE73EEF755}"/>
    <cellStyle name="Normal 2 4 2 3 2 6 2 4" xfId="20732" xr:uid="{D3191494-43A2-410C-9212-2974EAB380E9}"/>
    <cellStyle name="Normal 2 4 2 3 2 6 3" xfId="5916" xr:uid="{00000000-0005-0000-0000-0000E00E0000}"/>
    <cellStyle name="Normal 2 4 2 3 2 6 3 2" xfId="14358" xr:uid="{F9939757-7A11-4B29-9F94-0665E889F714}"/>
    <cellStyle name="Normal 2 4 2 3 2 6 3 3" xfId="22804" xr:uid="{76E2D0D8-9419-436F-AC68-1D5415DE4347}"/>
    <cellStyle name="Normal 2 4 2 3 2 6 4" xfId="10140" xr:uid="{B20D7D20-5709-4243-8964-1FEA93BA83F3}"/>
    <cellStyle name="Normal 2 4 2 3 2 6 5" xfId="18585" xr:uid="{DF7DF599-618A-4AB8-90A5-CA7B3323FC99}"/>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2E373A91-5780-4BE8-A8B7-37B59FF13A79}"/>
    <cellStyle name="Normal 2 4 2 3 2 7 2 2 3" xfId="25362" xr:uid="{EBEB807E-1A57-4BAF-B22B-F6ACC6C9AC06}"/>
    <cellStyle name="Normal 2 4 2 3 2 7 2 3" xfId="12698" xr:uid="{1AD91CF3-FE9A-4908-A5DC-65D8C0DC2B99}"/>
    <cellStyle name="Normal 2 4 2 3 2 7 2 4" xfId="21145" xr:uid="{1C767A8B-76AD-49DB-A94D-0CE487FBD6F2}"/>
    <cellStyle name="Normal 2 4 2 3 2 7 3" xfId="6329" xr:uid="{00000000-0005-0000-0000-0000E40E0000}"/>
    <cellStyle name="Normal 2 4 2 3 2 7 3 2" xfId="14771" xr:uid="{A0E1A3BF-F8AD-45EC-8005-B03F3C8A2469}"/>
    <cellStyle name="Normal 2 4 2 3 2 7 3 3" xfId="23217" xr:uid="{916E870A-D741-4639-A71E-3B84C6E9C942}"/>
    <cellStyle name="Normal 2 4 2 3 2 7 4" xfId="10553" xr:uid="{0E7B45F1-3B53-4186-BD9E-D52134A6DF8A}"/>
    <cellStyle name="Normal 2 4 2 3 2 7 5" xfId="18998" xr:uid="{4685A437-0D2C-4492-8724-4A246895027B}"/>
    <cellStyle name="Normal 2 4 2 3 2 8" xfId="2458" xr:uid="{00000000-0005-0000-0000-0000E50E0000}"/>
    <cellStyle name="Normal 2 4 2 3 2 8 2" xfId="6742" xr:uid="{00000000-0005-0000-0000-0000E60E0000}"/>
    <cellStyle name="Normal 2 4 2 3 2 8 2 2" xfId="15184" xr:uid="{2768B526-25A7-4C46-A9E4-7F3C23FDA3CD}"/>
    <cellStyle name="Normal 2 4 2 3 2 8 2 3" xfId="23630" xr:uid="{AB43FAE1-DCA3-4FD0-A3D1-F04822978AD2}"/>
    <cellStyle name="Normal 2 4 2 3 2 8 3" xfId="10966" xr:uid="{337F014F-611F-4567-8AB9-8AB20C937A95}"/>
    <cellStyle name="Normal 2 4 2 3 2 8 4" xfId="19411" xr:uid="{C6C7173A-4379-4065-B672-B0F9B845234E}"/>
    <cellStyle name="Normal 2 4 2 3 2 9" xfId="4676" xr:uid="{00000000-0005-0000-0000-0000E70E0000}"/>
    <cellStyle name="Normal 2 4 2 3 2 9 2" xfId="13118" xr:uid="{701556FA-1766-40D0-BE9B-7BE925900B1E}"/>
    <cellStyle name="Normal 2 4 2 3 2 9 3" xfId="21564" xr:uid="{E541454C-280E-423E-8C72-B1532233BE97}"/>
    <cellStyle name="Normal 2 4 2 3 3" xfId="286" xr:uid="{00000000-0005-0000-0000-0000E80E0000}"/>
    <cellStyle name="Normal 2 4 2 3 3 10" xfId="17348" xr:uid="{A4E49FA1-8871-488C-B870-3A069A74B64F}"/>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B4E8C7C2-87EC-455C-B492-0084F441C2DF}"/>
    <cellStyle name="Normal 2 4 2 3 3 2 2 2 2 3" xfId="24128" xr:uid="{9298DD46-493D-459A-9646-1CFB2AAA947C}"/>
    <cellStyle name="Normal 2 4 2 3 3 2 2 2 3" xfId="11464" xr:uid="{B4AB6858-B14C-41B2-96B6-0C3C4716487A}"/>
    <cellStyle name="Normal 2 4 2 3 3 2 2 2 4" xfId="19911" xr:uid="{B4592264-44BA-469D-8A30-5EA3BCECB1CA}"/>
    <cellStyle name="Normal 2 4 2 3 3 2 2 3" xfId="5095" xr:uid="{00000000-0005-0000-0000-0000ED0E0000}"/>
    <cellStyle name="Normal 2 4 2 3 3 2 2 3 2" xfId="13537" xr:uid="{142D836E-14B6-4FD8-9DF1-AA9146EC4044}"/>
    <cellStyle name="Normal 2 4 2 3 3 2 2 3 3" xfId="21983" xr:uid="{B039D023-DD30-49A5-A9E6-88BD45F7E7F7}"/>
    <cellStyle name="Normal 2 4 2 3 3 2 2 4" xfId="9319" xr:uid="{307C1C90-42D8-44D2-B8D7-83C543CD1CB1}"/>
    <cellStyle name="Normal 2 4 2 3 3 2 2 5" xfId="17764" xr:uid="{E56738A4-A938-4F60-8345-01072D4CEE41}"/>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0F8070AA-05A9-4020-8DBE-C4456A64E09A}"/>
    <cellStyle name="Normal 2 4 2 3 3 2 3 2 2 3" xfId="24541" xr:uid="{F354A740-378F-497D-897E-1DC5BCF8EFE1}"/>
    <cellStyle name="Normal 2 4 2 3 3 2 3 2 3" xfId="11877" xr:uid="{ADFDACE3-D95D-4A38-8CD2-9C78A5F67F4B}"/>
    <cellStyle name="Normal 2 4 2 3 3 2 3 2 4" xfId="20324" xr:uid="{26235013-0548-46B1-880C-924F6E17D11D}"/>
    <cellStyle name="Normal 2 4 2 3 3 2 3 3" xfId="5508" xr:uid="{00000000-0005-0000-0000-0000F10E0000}"/>
    <cellStyle name="Normal 2 4 2 3 3 2 3 3 2" xfId="13950" xr:uid="{27F33D76-1661-4FAF-83EE-BCEA3F22DCBE}"/>
    <cellStyle name="Normal 2 4 2 3 3 2 3 3 3" xfId="22396" xr:uid="{232D93AE-9BEA-4ACC-8670-4B574A443DE9}"/>
    <cellStyle name="Normal 2 4 2 3 3 2 3 4" xfId="9732" xr:uid="{2B0209A1-3E78-45BD-B034-D6B8351CEBDF}"/>
    <cellStyle name="Normal 2 4 2 3 3 2 3 5" xfId="18177" xr:uid="{83818024-D696-4ACC-B8BF-72744FA3AAF4}"/>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1EFA1664-79C4-4F1C-8EA5-C1A88F19DC6F}"/>
    <cellStyle name="Normal 2 4 2 3 3 2 4 2 2 3" xfId="24954" xr:uid="{C917D666-E6EC-4DB0-A773-7198E8EB4494}"/>
    <cellStyle name="Normal 2 4 2 3 3 2 4 2 3" xfId="12290" xr:uid="{4CA3D403-3B68-425D-8DFA-6982BF561140}"/>
    <cellStyle name="Normal 2 4 2 3 3 2 4 2 4" xfId="20737" xr:uid="{D4BD158A-DEC4-4F65-B92C-5E8F5E40085B}"/>
    <cellStyle name="Normal 2 4 2 3 3 2 4 3" xfId="5921" xr:uid="{00000000-0005-0000-0000-0000F50E0000}"/>
    <cellStyle name="Normal 2 4 2 3 3 2 4 3 2" xfId="14363" xr:uid="{EB185AE8-1BB4-4340-AB16-F7234CAD3702}"/>
    <cellStyle name="Normal 2 4 2 3 3 2 4 3 3" xfId="22809" xr:uid="{8C39769C-6B69-4D6D-BA82-5E90B5EFA2FD}"/>
    <cellStyle name="Normal 2 4 2 3 3 2 4 4" xfId="10145" xr:uid="{84FDFA5B-D4DD-4582-B8CE-D8AC5BA02747}"/>
    <cellStyle name="Normal 2 4 2 3 3 2 4 5" xfId="18590" xr:uid="{14658FC6-8472-40B3-9A40-9C19CAAB1CAC}"/>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DF23520C-A7E2-48F9-8E7A-7603CFACF56F}"/>
    <cellStyle name="Normal 2 4 2 3 3 2 5 2 2 3" xfId="25367" xr:uid="{741166DA-F7D1-44F2-AEF7-F294C1BCD1C1}"/>
    <cellStyle name="Normal 2 4 2 3 3 2 5 2 3" xfId="12703" xr:uid="{EA90D713-7FE8-48AD-BB1A-7040124BFD09}"/>
    <cellStyle name="Normal 2 4 2 3 3 2 5 2 4" xfId="21150" xr:uid="{0301A002-9312-4095-90EB-7CF8087823C7}"/>
    <cellStyle name="Normal 2 4 2 3 3 2 5 3" xfId="6334" xr:uid="{00000000-0005-0000-0000-0000F90E0000}"/>
    <cellStyle name="Normal 2 4 2 3 3 2 5 3 2" xfId="14776" xr:uid="{EDB14EDC-4290-4600-82EC-6EDB627E866E}"/>
    <cellStyle name="Normal 2 4 2 3 3 2 5 3 3" xfId="23222" xr:uid="{9CB846B9-22A0-46EB-888E-0D8803AD021A}"/>
    <cellStyle name="Normal 2 4 2 3 3 2 5 4" xfId="10558" xr:uid="{F8B06C3E-A550-4591-8649-239329C7395A}"/>
    <cellStyle name="Normal 2 4 2 3 3 2 5 5" xfId="19003" xr:uid="{B9708241-6CB0-4E3E-A20A-333D1B8AE3C2}"/>
    <cellStyle name="Normal 2 4 2 3 3 2 6" xfId="2463" xr:uid="{00000000-0005-0000-0000-0000FA0E0000}"/>
    <cellStyle name="Normal 2 4 2 3 3 2 6 2" xfId="6747" xr:uid="{00000000-0005-0000-0000-0000FB0E0000}"/>
    <cellStyle name="Normal 2 4 2 3 3 2 6 2 2" xfId="15189" xr:uid="{17FC177A-2B19-4E51-A679-ABC965032CC4}"/>
    <cellStyle name="Normal 2 4 2 3 3 2 6 2 3" xfId="23635" xr:uid="{51B5AB0E-CA3A-4C04-AE02-439AB853BC2B}"/>
    <cellStyle name="Normal 2 4 2 3 3 2 6 3" xfId="10971" xr:uid="{7334B5EF-05AD-4C72-BFE1-4DFC7EC78946}"/>
    <cellStyle name="Normal 2 4 2 3 3 2 6 4" xfId="19416" xr:uid="{881E8507-AD00-4339-B4C5-412A0E258C6A}"/>
    <cellStyle name="Normal 2 4 2 3 3 2 7" xfId="4681" xr:uid="{00000000-0005-0000-0000-0000FC0E0000}"/>
    <cellStyle name="Normal 2 4 2 3 3 2 7 2" xfId="13123" xr:uid="{3434647E-CCD6-476C-BBAE-191AAFFE4823}"/>
    <cellStyle name="Normal 2 4 2 3 3 2 7 3" xfId="21569" xr:uid="{7C9C63C2-788D-48FC-A39D-F1814FC7F3BE}"/>
    <cellStyle name="Normal 2 4 2 3 3 2 8" xfId="8905" xr:uid="{6AC84D6F-704E-46E0-A0B5-D60E81B83015}"/>
    <cellStyle name="Normal 2 4 2 3 3 2 9" xfId="17349" xr:uid="{9201A425-0155-47F2-BC3D-BD14ADD8CB07}"/>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62F5BBAB-DE6E-469F-9017-46CCDACBFD66}"/>
    <cellStyle name="Normal 2 4 2 3 3 3 2 2 3" xfId="24127" xr:uid="{BE1A6244-E16C-4082-858D-8F9E7015060C}"/>
    <cellStyle name="Normal 2 4 2 3 3 3 2 3" xfId="11463" xr:uid="{4FDB8162-BD84-46F5-885B-CDA5C779BEDC}"/>
    <cellStyle name="Normal 2 4 2 3 3 3 2 4" xfId="19910" xr:uid="{BA1765F9-5B7E-4006-9A52-D153226DDE41}"/>
    <cellStyle name="Normal 2 4 2 3 3 3 3" xfId="5094" xr:uid="{00000000-0005-0000-0000-0000000F0000}"/>
    <cellStyle name="Normal 2 4 2 3 3 3 3 2" xfId="13536" xr:uid="{9D786299-497E-4854-B763-217027F6EB72}"/>
    <cellStyle name="Normal 2 4 2 3 3 3 3 3" xfId="21982" xr:uid="{2BE15FF0-28B9-4448-B310-74E633989B10}"/>
    <cellStyle name="Normal 2 4 2 3 3 3 4" xfId="9318" xr:uid="{C4E75CD2-D247-441E-BB5E-4EAF4C512C55}"/>
    <cellStyle name="Normal 2 4 2 3 3 3 5" xfId="17763" xr:uid="{12F3E8D3-2B59-446E-8335-5EC8F5793A9B}"/>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131B6E25-DB35-49B7-A3D2-245AC001A2AE}"/>
    <cellStyle name="Normal 2 4 2 3 3 4 2 2 3" xfId="24540" xr:uid="{3650F697-B3DE-48ED-B0D7-6B838C26BDA8}"/>
    <cellStyle name="Normal 2 4 2 3 3 4 2 3" xfId="11876" xr:uid="{FEAFC06F-EEE5-4DC9-8748-01C75CF10B6F}"/>
    <cellStyle name="Normal 2 4 2 3 3 4 2 4" xfId="20323" xr:uid="{41C37656-1C6E-4219-96ED-1B8FA40E3B1C}"/>
    <cellStyle name="Normal 2 4 2 3 3 4 3" xfId="5507" xr:uid="{00000000-0005-0000-0000-0000040F0000}"/>
    <cellStyle name="Normal 2 4 2 3 3 4 3 2" xfId="13949" xr:uid="{B3BC2B50-7530-45DD-B417-23BEF935606D}"/>
    <cellStyle name="Normal 2 4 2 3 3 4 3 3" xfId="22395" xr:uid="{30824C3A-ADEC-413B-9402-B7F5081EC127}"/>
    <cellStyle name="Normal 2 4 2 3 3 4 4" xfId="9731" xr:uid="{0BC45FD1-FBD4-44C3-9667-187296632769}"/>
    <cellStyle name="Normal 2 4 2 3 3 4 5" xfId="18176" xr:uid="{BF8775B0-26D7-46D5-AEB1-237BB2F7A069}"/>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27A4A161-781D-4B18-BD1C-8C8B9101D1C2}"/>
    <cellStyle name="Normal 2 4 2 3 3 5 2 2 3" xfId="24953" xr:uid="{7ED94DBA-7C22-46B1-9DB1-B3F65FAAD76E}"/>
    <cellStyle name="Normal 2 4 2 3 3 5 2 3" xfId="12289" xr:uid="{0E6DF241-020C-46B2-924D-5DEFF80DD53A}"/>
    <cellStyle name="Normal 2 4 2 3 3 5 2 4" xfId="20736" xr:uid="{1A3BA14A-47DA-43F5-881D-EA25CC842DA9}"/>
    <cellStyle name="Normal 2 4 2 3 3 5 3" xfId="5920" xr:uid="{00000000-0005-0000-0000-0000080F0000}"/>
    <cellStyle name="Normal 2 4 2 3 3 5 3 2" xfId="14362" xr:uid="{6327DA0C-92EF-4487-90BF-7EDE74870573}"/>
    <cellStyle name="Normal 2 4 2 3 3 5 3 3" xfId="22808" xr:uid="{1586651F-E053-4026-8382-EF5689B6CC68}"/>
    <cellStyle name="Normal 2 4 2 3 3 5 4" xfId="10144" xr:uid="{7E014A22-F581-4F96-9024-A0ABC4179112}"/>
    <cellStyle name="Normal 2 4 2 3 3 5 5" xfId="18589" xr:uid="{9D9B9ABC-5804-411C-8254-B938181D02DB}"/>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2837E92C-7AAA-44B2-A8C7-AB9B84A48FC2}"/>
    <cellStyle name="Normal 2 4 2 3 3 6 2 2 3" xfId="25366" xr:uid="{DF70B401-F0E8-4CCF-AE53-2C432E9DD21B}"/>
    <cellStyle name="Normal 2 4 2 3 3 6 2 3" xfId="12702" xr:uid="{F78B01B2-24A2-45D4-A08A-7A74DBCCAFB1}"/>
    <cellStyle name="Normal 2 4 2 3 3 6 2 4" xfId="21149" xr:uid="{B7958F8F-2CB9-4FE2-8933-0C60DAD04431}"/>
    <cellStyle name="Normal 2 4 2 3 3 6 3" xfId="6333" xr:uid="{00000000-0005-0000-0000-00000C0F0000}"/>
    <cellStyle name="Normal 2 4 2 3 3 6 3 2" xfId="14775" xr:uid="{1383A784-FE81-48CB-9586-7BD7B77EEFD3}"/>
    <cellStyle name="Normal 2 4 2 3 3 6 3 3" xfId="23221" xr:uid="{E6A9835C-1766-42C4-8E94-533F0D5E9D09}"/>
    <cellStyle name="Normal 2 4 2 3 3 6 4" xfId="10557" xr:uid="{362871EB-E90F-44FA-A230-13321D468FF4}"/>
    <cellStyle name="Normal 2 4 2 3 3 6 5" xfId="19002" xr:uid="{1EEFF254-C944-4F76-99B7-21E472DFF562}"/>
    <cellStyle name="Normal 2 4 2 3 3 7" xfId="2462" xr:uid="{00000000-0005-0000-0000-00000D0F0000}"/>
    <cellStyle name="Normal 2 4 2 3 3 7 2" xfId="6746" xr:uid="{00000000-0005-0000-0000-00000E0F0000}"/>
    <cellStyle name="Normal 2 4 2 3 3 7 2 2" xfId="15188" xr:uid="{B02A2DA7-F2EA-45A9-AB45-365E4B22AB31}"/>
    <cellStyle name="Normal 2 4 2 3 3 7 2 3" xfId="23634" xr:uid="{FCE1202F-46AB-4383-941D-1623D7362139}"/>
    <cellStyle name="Normal 2 4 2 3 3 7 3" xfId="10970" xr:uid="{742A5EB1-64D2-4318-9B97-59948FC019C0}"/>
    <cellStyle name="Normal 2 4 2 3 3 7 4" xfId="19415" xr:uid="{145D4153-C3BA-4C7D-8651-8B88F9B2C8CD}"/>
    <cellStyle name="Normal 2 4 2 3 3 8" xfId="4680" xr:uid="{00000000-0005-0000-0000-00000F0F0000}"/>
    <cellStyle name="Normal 2 4 2 3 3 8 2" xfId="13122" xr:uid="{CFBEAECF-4F4C-4E24-8363-D7E6584A6489}"/>
    <cellStyle name="Normal 2 4 2 3 3 8 3" xfId="21568" xr:uid="{2EA1BA31-A0DF-4936-BEDA-A191DC761998}"/>
    <cellStyle name="Normal 2 4 2 3 3 9" xfId="8904" xr:uid="{BE00F8E3-D61E-401C-9A9E-BDD60DC9A015}"/>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18807A36-199E-4B33-B67A-1430B0D885C5}"/>
    <cellStyle name="Normal 2 4 2 3 4 2 2 2 3" xfId="24129" xr:uid="{627256BD-D71B-4FEF-97A8-915456EBD4BD}"/>
    <cellStyle name="Normal 2 4 2 3 4 2 2 3" xfId="11465" xr:uid="{92D246DE-B688-47F2-8097-9C20BF08A70C}"/>
    <cellStyle name="Normal 2 4 2 3 4 2 2 4" xfId="19912" xr:uid="{9957F914-90DB-4FF1-8C8F-06F417DEB542}"/>
    <cellStyle name="Normal 2 4 2 3 4 2 3" xfId="5096" xr:uid="{00000000-0005-0000-0000-0000140F0000}"/>
    <cellStyle name="Normal 2 4 2 3 4 2 3 2" xfId="13538" xr:uid="{07F9A695-E634-4BC0-9299-937FCD25D36E}"/>
    <cellStyle name="Normal 2 4 2 3 4 2 3 3" xfId="21984" xr:uid="{FE052414-8B5B-4DDC-9459-D1EF0AA18C05}"/>
    <cellStyle name="Normal 2 4 2 3 4 2 4" xfId="9320" xr:uid="{843BACF7-72CD-481C-88AC-3F7E30FB1595}"/>
    <cellStyle name="Normal 2 4 2 3 4 2 5" xfId="17765" xr:uid="{9514ED03-8393-4915-A56D-05173D4C93EF}"/>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9EE4200A-B471-4822-8009-4A7AAA1D262B}"/>
    <cellStyle name="Normal 2 4 2 3 4 3 2 2 3" xfId="24542" xr:uid="{EB7CC651-4B18-4BEE-A2DE-A382BD1D661F}"/>
    <cellStyle name="Normal 2 4 2 3 4 3 2 3" xfId="11878" xr:uid="{1EC791D7-012F-4B90-B40A-34DF8E3FF917}"/>
    <cellStyle name="Normal 2 4 2 3 4 3 2 4" xfId="20325" xr:uid="{0C97FA6E-9E3C-4296-96BA-34A5E89A1FDB}"/>
    <cellStyle name="Normal 2 4 2 3 4 3 3" xfId="5509" xr:uid="{00000000-0005-0000-0000-0000180F0000}"/>
    <cellStyle name="Normal 2 4 2 3 4 3 3 2" xfId="13951" xr:uid="{3AD2F89A-DC75-45C3-8202-DA001F7A8A91}"/>
    <cellStyle name="Normal 2 4 2 3 4 3 3 3" xfId="22397" xr:uid="{39C7C28D-A737-4C06-A876-751C28F641AC}"/>
    <cellStyle name="Normal 2 4 2 3 4 3 4" xfId="9733" xr:uid="{7292E9C2-3A8B-42CB-8C78-02EC6C57BB74}"/>
    <cellStyle name="Normal 2 4 2 3 4 3 5" xfId="18178" xr:uid="{09894BF7-F379-4E83-B7CD-FE8E8935F5DB}"/>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02E40FA4-5E9B-4E6B-8BBE-58B388A276A0}"/>
    <cellStyle name="Normal 2 4 2 3 4 4 2 2 3" xfId="24955" xr:uid="{F4137E0E-F2DC-4CED-B9B3-D240CA10015C}"/>
    <cellStyle name="Normal 2 4 2 3 4 4 2 3" xfId="12291" xr:uid="{F2BB6172-2C35-40E0-ADED-FF723DE017C8}"/>
    <cellStyle name="Normal 2 4 2 3 4 4 2 4" xfId="20738" xr:uid="{304DC944-A03F-4154-A4C6-62A8D6011493}"/>
    <cellStyle name="Normal 2 4 2 3 4 4 3" xfId="5922" xr:uid="{00000000-0005-0000-0000-00001C0F0000}"/>
    <cellStyle name="Normal 2 4 2 3 4 4 3 2" xfId="14364" xr:uid="{5EDD0982-7002-478A-A280-B1CD8886AD3E}"/>
    <cellStyle name="Normal 2 4 2 3 4 4 3 3" xfId="22810" xr:uid="{4B0074BA-9C62-4DD8-947F-BC4680543BAD}"/>
    <cellStyle name="Normal 2 4 2 3 4 4 4" xfId="10146" xr:uid="{85D40622-6B4F-439D-8050-A1A2F96D64C2}"/>
    <cellStyle name="Normal 2 4 2 3 4 4 5" xfId="18591" xr:uid="{10208101-11D6-4BC0-B763-07DE4843315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57FFEA7B-9707-4EAE-8224-065253E4A7DB}"/>
    <cellStyle name="Normal 2 4 2 3 4 5 2 2 3" xfId="25368" xr:uid="{9703BF6E-8C11-452A-BC7E-60EA2D93E509}"/>
    <cellStyle name="Normal 2 4 2 3 4 5 2 3" xfId="12704" xr:uid="{52988F37-8F52-42BD-BB11-626CA5F97F5F}"/>
    <cellStyle name="Normal 2 4 2 3 4 5 2 4" xfId="21151" xr:uid="{09907552-80BD-4937-AD6B-BC4E1A99A271}"/>
    <cellStyle name="Normal 2 4 2 3 4 5 3" xfId="6335" xr:uid="{00000000-0005-0000-0000-0000200F0000}"/>
    <cellStyle name="Normal 2 4 2 3 4 5 3 2" xfId="14777" xr:uid="{A076373D-DBC4-4BA0-9A61-428819A4C239}"/>
    <cellStyle name="Normal 2 4 2 3 4 5 3 3" xfId="23223" xr:uid="{71E5B11C-ADA9-46F4-94D9-D918096857D5}"/>
    <cellStyle name="Normal 2 4 2 3 4 5 4" xfId="10559" xr:uid="{CE3F8C72-9DB3-4EF4-AE53-B85845BF0865}"/>
    <cellStyle name="Normal 2 4 2 3 4 5 5" xfId="19004" xr:uid="{D6BADC46-5156-42D4-9BDA-A642C1925147}"/>
    <cellStyle name="Normal 2 4 2 3 4 6" xfId="2464" xr:uid="{00000000-0005-0000-0000-0000210F0000}"/>
    <cellStyle name="Normal 2 4 2 3 4 6 2" xfId="6748" xr:uid="{00000000-0005-0000-0000-0000220F0000}"/>
    <cellStyle name="Normal 2 4 2 3 4 6 2 2" xfId="15190" xr:uid="{291B8C57-EE7D-4673-AAAD-E3E310BF5264}"/>
    <cellStyle name="Normal 2 4 2 3 4 6 2 3" xfId="23636" xr:uid="{F5A1F33F-478D-4250-AABA-281893CD9C02}"/>
    <cellStyle name="Normal 2 4 2 3 4 6 3" xfId="10972" xr:uid="{F1A9AE53-7E6C-483A-B71F-9E96484218E7}"/>
    <cellStyle name="Normal 2 4 2 3 4 6 4" xfId="19417" xr:uid="{F9E95300-E635-4607-874A-EBB493825180}"/>
    <cellStyle name="Normal 2 4 2 3 4 7" xfId="4682" xr:uid="{00000000-0005-0000-0000-0000230F0000}"/>
    <cellStyle name="Normal 2 4 2 3 4 7 2" xfId="13124" xr:uid="{1CAAE79D-CB2F-48A2-BA8E-5BC128223765}"/>
    <cellStyle name="Normal 2 4 2 3 4 7 3" xfId="21570" xr:uid="{29F33994-0022-4ADD-B82B-2833A343A3F4}"/>
    <cellStyle name="Normal 2 4 2 3 4 8" xfId="8906" xr:uid="{E3DEC853-F597-450F-B3D9-A724D5FE9786}"/>
    <cellStyle name="Normal 2 4 2 3 4 9" xfId="17350" xr:uid="{BAA4094E-7497-41CB-9B7F-77AA213A2AF2}"/>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E0BE3956-ED6C-46AC-B745-B7376FF3E97E}"/>
    <cellStyle name="Normal 2 4 2 3 5 2 2 3" xfId="24122" xr:uid="{E070BA9B-2CCB-403E-91D2-BC40AD4DFE6D}"/>
    <cellStyle name="Normal 2 4 2 3 5 2 3" xfId="11458" xr:uid="{4C7FCAED-9A7B-490F-934C-DA93A4B12A0C}"/>
    <cellStyle name="Normal 2 4 2 3 5 2 4" xfId="19905" xr:uid="{102F5528-12FE-422C-BD5C-4DDAE0114223}"/>
    <cellStyle name="Normal 2 4 2 3 5 3" xfId="5089" xr:uid="{00000000-0005-0000-0000-0000270F0000}"/>
    <cellStyle name="Normal 2 4 2 3 5 3 2" xfId="13531" xr:uid="{B11B82F1-F5D0-4FF9-B63B-CDD8F3522D6E}"/>
    <cellStyle name="Normal 2 4 2 3 5 3 3" xfId="21977" xr:uid="{1776C3D5-ADFC-4A1B-9771-6F5EED2DDE74}"/>
    <cellStyle name="Normal 2 4 2 3 5 4" xfId="9313" xr:uid="{DE49A2A8-BDD8-4782-9B85-338D48D70D62}"/>
    <cellStyle name="Normal 2 4 2 3 5 5" xfId="17758" xr:uid="{9806B57D-1C40-4B73-9A28-CCF3AEE3C345}"/>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590C9689-9CF6-40D8-833E-38A4F8CA1686}"/>
    <cellStyle name="Normal 2 4 2 3 6 2 2 3" xfId="24535" xr:uid="{13BE51A8-D37C-4B1B-BBE4-53F477E3A1D9}"/>
    <cellStyle name="Normal 2 4 2 3 6 2 3" xfId="11871" xr:uid="{50F73BA5-E4BC-439B-B3B1-D0C3C1342EA2}"/>
    <cellStyle name="Normal 2 4 2 3 6 2 4" xfId="20318" xr:uid="{12393932-21D3-4C4C-B790-E74DCB569E42}"/>
    <cellStyle name="Normal 2 4 2 3 6 3" xfId="5502" xr:uid="{00000000-0005-0000-0000-00002B0F0000}"/>
    <cellStyle name="Normal 2 4 2 3 6 3 2" xfId="13944" xr:uid="{9EFA550D-ED6B-4276-8011-F801003368A5}"/>
    <cellStyle name="Normal 2 4 2 3 6 3 3" xfId="22390" xr:uid="{164523A1-61EA-4169-85B2-837A0324D040}"/>
    <cellStyle name="Normal 2 4 2 3 6 4" xfId="9726" xr:uid="{269DE7F8-689F-45C1-A762-5879BC7BB3FC}"/>
    <cellStyle name="Normal 2 4 2 3 6 5" xfId="18171" xr:uid="{23B1E427-8909-4B85-8319-AA23317B776C}"/>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2259D471-CA5A-4713-928E-C8ED7A92903A}"/>
    <cellStyle name="Normal 2 4 2 3 7 2 2 3" xfId="24948" xr:uid="{A54041CD-CC32-4CEF-9EF1-E641A6EC3DB5}"/>
    <cellStyle name="Normal 2 4 2 3 7 2 3" xfId="12284" xr:uid="{6B501860-87DE-44BA-A9C7-620A273A6126}"/>
    <cellStyle name="Normal 2 4 2 3 7 2 4" xfId="20731" xr:uid="{B10593FB-64A0-49FD-AAA5-FF7EDE1B94AB}"/>
    <cellStyle name="Normal 2 4 2 3 7 3" xfId="5915" xr:uid="{00000000-0005-0000-0000-00002F0F0000}"/>
    <cellStyle name="Normal 2 4 2 3 7 3 2" xfId="14357" xr:uid="{660E199F-948F-4FDC-AAE5-54CA768A6047}"/>
    <cellStyle name="Normal 2 4 2 3 7 3 3" xfId="22803" xr:uid="{880A2430-69B3-4CAD-B31F-AA742D7324E4}"/>
    <cellStyle name="Normal 2 4 2 3 7 4" xfId="10139" xr:uid="{5DBF6445-ACA2-41BE-9715-CA1852562F72}"/>
    <cellStyle name="Normal 2 4 2 3 7 5" xfId="18584" xr:uid="{9ACDB4BE-D7E8-4FE6-9488-14589ECE78B6}"/>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3F2D4BD2-A4B7-4F7C-9876-992451CEE8E8}"/>
    <cellStyle name="Normal 2 4 2 3 8 2 2 3" xfId="25361" xr:uid="{56CAF4A9-7841-4E6A-AB43-7D4ABA04DCDE}"/>
    <cellStyle name="Normal 2 4 2 3 8 2 3" xfId="12697" xr:uid="{CBD7A6B7-73A2-4D83-B5D1-D39DC5B4C578}"/>
    <cellStyle name="Normal 2 4 2 3 8 2 4" xfId="21144" xr:uid="{E706DD27-D17A-40B0-8FA1-B3B7ADE8C38C}"/>
    <cellStyle name="Normal 2 4 2 3 8 3" xfId="6328" xr:uid="{00000000-0005-0000-0000-0000330F0000}"/>
    <cellStyle name="Normal 2 4 2 3 8 3 2" xfId="14770" xr:uid="{835E0B4E-8621-4850-824B-8C1FD12CA32B}"/>
    <cellStyle name="Normal 2 4 2 3 8 3 3" xfId="23216" xr:uid="{BBF66F49-40BA-4C17-BEF2-03813423ABC4}"/>
    <cellStyle name="Normal 2 4 2 3 8 4" xfId="10552" xr:uid="{CF6E6F1F-9466-496D-A32A-5080B07E7C26}"/>
    <cellStyle name="Normal 2 4 2 3 8 5" xfId="18997" xr:uid="{FB234034-46E7-476D-BCCE-A48D629B1C7F}"/>
    <cellStyle name="Normal 2 4 2 3 9" xfId="2457" xr:uid="{00000000-0005-0000-0000-0000340F0000}"/>
    <cellStyle name="Normal 2 4 2 3 9 2" xfId="6741" xr:uid="{00000000-0005-0000-0000-0000350F0000}"/>
    <cellStyle name="Normal 2 4 2 3 9 2 2" xfId="15183" xr:uid="{4F06DB2E-8DEC-4846-B52F-259919181FBA}"/>
    <cellStyle name="Normal 2 4 2 3 9 2 3" xfId="23629" xr:uid="{6244475F-34C7-4B8C-A4F6-CBCA9BC2BE54}"/>
    <cellStyle name="Normal 2 4 2 3 9 3" xfId="10965" xr:uid="{3D9CF843-6176-49EF-A2CB-02DF98B6B02C}"/>
    <cellStyle name="Normal 2 4 2 3 9 4" xfId="19410" xr:uid="{B30E9BDE-9ACA-487E-9797-2C58DB5575A5}"/>
    <cellStyle name="Normal 2 4 2 4" xfId="289" xr:uid="{00000000-0005-0000-0000-0000360F0000}"/>
    <cellStyle name="Normal 2 4 2 4 10" xfId="8907" xr:uid="{D3EF4C22-FD8E-4156-ABAB-2A70047F5013}"/>
    <cellStyle name="Normal 2 4 2 4 11" xfId="17351" xr:uid="{BC91EFFB-BA82-4BAC-AAB7-8E936C0D64F0}"/>
    <cellStyle name="Normal 2 4 2 4 2" xfId="290" xr:uid="{00000000-0005-0000-0000-0000370F0000}"/>
    <cellStyle name="Normal 2 4 2 4 2 10" xfId="17352" xr:uid="{085036EC-38A0-44D1-9654-5C2DC1A1B741}"/>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D0FF9CB8-980F-4009-AB9D-A7505D360607}"/>
    <cellStyle name="Normal 2 4 2 4 2 2 2 2 2 3" xfId="24132" xr:uid="{D2C29875-23B2-43C5-BBA8-40B662B5C923}"/>
    <cellStyle name="Normal 2 4 2 4 2 2 2 2 3" xfId="11468" xr:uid="{0DADD40A-0CDF-400E-B76E-5E879538FE61}"/>
    <cellStyle name="Normal 2 4 2 4 2 2 2 2 4" xfId="19915" xr:uid="{2B96DD1F-46C5-45B3-8FC4-80F7D57DC7F5}"/>
    <cellStyle name="Normal 2 4 2 4 2 2 2 3" xfId="5099" xr:uid="{00000000-0005-0000-0000-00003C0F0000}"/>
    <cellStyle name="Normal 2 4 2 4 2 2 2 3 2" xfId="13541" xr:uid="{F6102158-38ED-4C93-A489-508F8EBA08D5}"/>
    <cellStyle name="Normal 2 4 2 4 2 2 2 3 3" xfId="21987" xr:uid="{7D8592D1-E706-4370-84D3-2DBE835F1FF5}"/>
    <cellStyle name="Normal 2 4 2 4 2 2 2 4" xfId="9323" xr:uid="{2CCC047C-1385-44B9-8198-4C3B6FF99E07}"/>
    <cellStyle name="Normal 2 4 2 4 2 2 2 5" xfId="17768" xr:uid="{BBB3F4C3-20BC-46AD-BBC0-D520DD953DCA}"/>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FAA65D6A-FF63-4B98-8B5B-6714FB90058A}"/>
    <cellStyle name="Normal 2 4 2 4 2 2 3 2 2 3" xfId="24545" xr:uid="{ADC2B06A-E3F2-478B-A967-85FC20B3DE95}"/>
    <cellStyle name="Normal 2 4 2 4 2 2 3 2 3" xfId="11881" xr:uid="{87ABE443-E1B0-493F-B0E1-B3341B509526}"/>
    <cellStyle name="Normal 2 4 2 4 2 2 3 2 4" xfId="20328" xr:uid="{55B898A8-344C-48F9-B834-AAE730D0C0CF}"/>
    <cellStyle name="Normal 2 4 2 4 2 2 3 3" xfId="5512" xr:uid="{00000000-0005-0000-0000-0000400F0000}"/>
    <cellStyle name="Normal 2 4 2 4 2 2 3 3 2" xfId="13954" xr:uid="{D910DBF4-D676-498C-9CEF-828A7542F732}"/>
    <cellStyle name="Normal 2 4 2 4 2 2 3 3 3" xfId="22400" xr:uid="{B138B0DA-D299-4C5C-8687-721E4D8EF343}"/>
    <cellStyle name="Normal 2 4 2 4 2 2 3 4" xfId="9736" xr:uid="{A5863D89-58EF-4E41-B2A8-44D93AD312DC}"/>
    <cellStyle name="Normal 2 4 2 4 2 2 3 5" xfId="18181" xr:uid="{8326C954-8E31-4C57-AC92-120F03BFC902}"/>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F526260C-043D-4572-A26A-4125D3E27C7C}"/>
    <cellStyle name="Normal 2 4 2 4 2 2 4 2 2 3" xfId="24958" xr:uid="{756D5EBB-5652-40C5-B5B7-A5D8A2BB78C4}"/>
    <cellStyle name="Normal 2 4 2 4 2 2 4 2 3" xfId="12294" xr:uid="{9040E15C-DF08-4714-B304-2F4A83E1D350}"/>
    <cellStyle name="Normal 2 4 2 4 2 2 4 2 4" xfId="20741" xr:uid="{0FF8214A-5C6F-4BA2-9F08-F035A75A2391}"/>
    <cellStyle name="Normal 2 4 2 4 2 2 4 3" xfId="5925" xr:uid="{00000000-0005-0000-0000-0000440F0000}"/>
    <cellStyle name="Normal 2 4 2 4 2 2 4 3 2" xfId="14367" xr:uid="{D966E7B8-C4F3-4085-8547-3458B5FB6146}"/>
    <cellStyle name="Normal 2 4 2 4 2 2 4 3 3" xfId="22813" xr:uid="{C5D4CE1B-9AD6-4A1E-A127-F380E3B057D2}"/>
    <cellStyle name="Normal 2 4 2 4 2 2 4 4" xfId="10149" xr:uid="{6FBC3CE2-5818-4680-8327-675CD193F0FC}"/>
    <cellStyle name="Normal 2 4 2 4 2 2 4 5" xfId="18594" xr:uid="{17E26B3A-B2D3-4F4A-A85F-5C4215C9C628}"/>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FB34C2BE-1D8A-4A4D-9FA9-06E0FFDA04FE}"/>
    <cellStyle name="Normal 2 4 2 4 2 2 5 2 2 3" xfId="25371" xr:uid="{E39F854B-1259-42E6-A6A0-4BEF27F59870}"/>
    <cellStyle name="Normal 2 4 2 4 2 2 5 2 3" xfId="12707" xr:uid="{07006AE1-771D-4F26-86DB-92D32BCAC08B}"/>
    <cellStyle name="Normal 2 4 2 4 2 2 5 2 4" xfId="21154" xr:uid="{B73AB7F9-00AF-4BBB-B2C4-19BEF55C423D}"/>
    <cellStyle name="Normal 2 4 2 4 2 2 5 3" xfId="6338" xr:uid="{00000000-0005-0000-0000-0000480F0000}"/>
    <cellStyle name="Normal 2 4 2 4 2 2 5 3 2" xfId="14780" xr:uid="{68A9E904-2866-4AEB-BE80-4F9FBA14A2EA}"/>
    <cellStyle name="Normal 2 4 2 4 2 2 5 3 3" xfId="23226" xr:uid="{688022E5-7487-4945-9DFE-025E9CAE05D2}"/>
    <cellStyle name="Normal 2 4 2 4 2 2 5 4" xfId="10562" xr:uid="{0E444083-F700-44EF-8A57-5E5E0F31F792}"/>
    <cellStyle name="Normal 2 4 2 4 2 2 5 5" xfId="19007" xr:uid="{89A2462F-7BF2-4BBF-9494-CC242EAFD0F8}"/>
    <cellStyle name="Normal 2 4 2 4 2 2 6" xfId="2467" xr:uid="{00000000-0005-0000-0000-0000490F0000}"/>
    <cellStyle name="Normal 2 4 2 4 2 2 6 2" xfId="6751" xr:uid="{00000000-0005-0000-0000-00004A0F0000}"/>
    <cellStyle name="Normal 2 4 2 4 2 2 6 2 2" xfId="15193" xr:uid="{D2618999-122E-47FF-8E28-064D704BD98E}"/>
    <cellStyle name="Normal 2 4 2 4 2 2 6 2 3" xfId="23639" xr:uid="{DB40A82D-895F-4AC7-B16D-644E28340D4E}"/>
    <cellStyle name="Normal 2 4 2 4 2 2 6 3" xfId="10975" xr:uid="{D9652AC6-51D1-4E61-85B1-277C82242C25}"/>
    <cellStyle name="Normal 2 4 2 4 2 2 6 4" xfId="19420" xr:uid="{01474216-3D86-47F6-8848-D70000D5B01A}"/>
    <cellStyle name="Normal 2 4 2 4 2 2 7" xfId="4685" xr:uid="{00000000-0005-0000-0000-00004B0F0000}"/>
    <cellStyle name="Normal 2 4 2 4 2 2 7 2" xfId="13127" xr:uid="{E6EAB397-A48B-45B0-BB8C-117921E9EB81}"/>
    <cellStyle name="Normal 2 4 2 4 2 2 7 3" xfId="21573" xr:uid="{6104CA2D-970B-4FEE-9427-A6A077F61E91}"/>
    <cellStyle name="Normal 2 4 2 4 2 2 8" xfId="8909" xr:uid="{1FC73B89-8D56-4F79-B1CA-2C28758FEE1F}"/>
    <cellStyle name="Normal 2 4 2 4 2 2 9" xfId="17353" xr:uid="{A7AE8566-7454-41D0-87AD-52A12DFA667E}"/>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1DD269F6-1E8C-429C-ABF2-99DF3024B6D3}"/>
    <cellStyle name="Normal 2 4 2 4 2 3 2 2 3" xfId="24131" xr:uid="{46F091EB-03A9-4349-9655-2439C1E86010}"/>
    <cellStyle name="Normal 2 4 2 4 2 3 2 3" xfId="11467" xr:uid="{DC91A675-5618-453A-871A-37BE133158B6}"/>
    <cellStyle name="Normal 2 4 2 4 2 3 2 4" xfId="19914" xr:uid="{A36CE0D1-0C92-4500-A16E-8FAD26EA264A}"/>
    <cellStyle name="Normal 2 4 2 4 2 3 3" xfId="5098" xr:uid="{00000000-0005-0000-0000-00004F0F0000}"/>
    <cellStyle name="Normal 2 4 2 4 2 3 3 2" xfId="13540" xr:uid="{E070783F-BE78-41B7-BCAB-E108C682A015}"/>
    <cellStyle name="Normal 2 4 2 4 2 3 3 3" xfId="21986" xr:uid="{FE5A5A32-CACD-4018-9D8C-32BF2FBD3EED}"/>
    <cellStyle name="Normal 2 4 2 4 2 3 4" xfId="9322" xr:uid="{95BDEAA8-401F-4C44-83F2-95EEBE4C97FC}"/>
    <cellStyle name="Normal 2 4 2 4 2 3 5" xfId="17767" xr:uid="{CE8EE59E-1369-4F0D-A701-E20C9539FAFF}"/>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83F78B4D-6280-48D3-B4B9-F39B69BDCAD2}"/>
    <cellStyle name="Normal 2 4 2 4 2 4 2 2 3" xfId="24544" xr:uid="{58EA4591-EB3B-4B27-98C6-3E976C7CEF21}"/>
    <cellStyle name="Normal 2 4 2 4 2 4 2 3" xfId="11880" xr:uid="{7FABF7E5-AD98-4D4C-82EF-478DC063346A}"/>
    <cellStyle name="Normal 2 4 2 4 2 4 2 4" xfId="20327" xr:uid="{3C2A020B-35F0-45E7-BFE6-908B6253B7FF}"/>
    <cellStyle name="Normal 2 4 2 4 2 4 3" xfId="5511" xr:uid="{00000000-0005-0000-0000-0000530F0000}"/>
    <cellStyle name="Normal 2 4 2 4 2 4 3 2" xfId="13953" xr:uid="{132FC810-42D3-4B98-9DB8-761ACC709792}"/>
    <cellStyle name="Normal 2 4 2 4 2 4 3 3" xfId="22399" xr:uid="{F75E2B83-11E9-48FB-A046-7FD6724349D3}"/>
    <cellStyle name="Normal 2 4 2 4 2 4 4" xfId="9735" xr:uid="{FD32A83F-908B-49C9-B148-52EF62C4C94E}"/>
    <cellStyle name="Normal 2 4 2 4 2 4 5" xfId="18180" xr:uid="{63D8090F-66E0-4FC0-A4A7-FB73438EB5D5}"/>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22608E24-F0D5-4244-8C5C-667B29AD4BF0}"/>
    <cellStyle name="Normal 2 4 2 4 2 5 2 2 3" xfId="24957" xr:uid="{8B55E19C-9202-4E68-B870-C15F00676DAD}"/>
    <cellStyle name="Normal 2 4 2 4 2 5 2 3" xfId="12293" xr:uid="{A993CEAC-E156-4856-9551-FF20BA76E504}"/>
    <cellStyle name="Normal 2 4 2 4 2 5 2 4" xfId="20740" xr:uid="{C1DDBEE4-5BE0-4BD7-8194-13552069164A}"/>
    <cellStyle name="Normal 2 4 2 4 2 5 3" xfId="5924" xr:uid="{00000000-0005-0000-0000-0000570F0000}"/>
    <cellStyle name="Normal 2 4 2 4 2 5 3 2" xfId="14366" xr:uid="{62661BB1-6B4A-48CD-8FF9-DC57913D7477}"/>
    <cellStyle name="Normal 2 4 2 4 2 5 3 3" xfId="22812" xr:uid="{C7D434C2-85A0-4B44-877C-C99E98FA7884}"/>
    <cellStyle name="Normal 2 4 2 4 2 5 4" xfId="10148" xr:uid="{35472DCF-908A-4084-AB31-C3AEE3850434}"/>
    <cellStyle name="Normal 2 4 2 4 2 5 5" xfId="18593" xr:uid="{D46A8789-AB7A-4294-9CD2-1090C70E2DF2}"/>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AAA68AF3-ADA9-46C5-9985-64841EF4B091}"/>
    <cellStyle name="Normal 2 4 2 4 2 6 2 2 3" xfId="25370" xr:uid="{537CF821-0B91-476E-B607-DFCB73EEFA62}"/>
    <cellStyle name="Normal 2 4 2 4 2 6 2 3" xfId="12706" xr:uid="{1BB40729-448E-4DF4-A53F-DAFFBB154689}"/>
    <cellStyle name="Normal 2 4 2 4 2 6 2 4" xfId="21153" xr:uid="{8D79BF16-8637-4E08-80D1-B7976813A032}"/>
    <cellStyle name="Normal 2 4 2 4 2 6 3" xfId="6337" xr:uid="{00000000-0005-0000-0000-00005B0F0000}"/>
    <cellStyle name="Normal 2 4 2 4 2 6 3 2" xfId="14779" xr:uid="{9FAD81F9-D788-4E03-AFBF-A39C755904DB}"/>
    <cellStyle name="Normal 2 4 2 4 2 6 3 3" xfId="23225" xr:uid="{8EA93EBF-71BC-406F-95B0-8DA792ABC561}"/>
    <cellStyle name="Normal 2 4 2 4 2 6 4" xfId="10561" xr:uid="{3261D3BB-84E8-4186-8BF4-A1211152D0C8}"/>
    <cellStyle name="Normal 2 4 2 4 2 6 5" xfId="19006" xr:uid="{0CFE7948-566D-4C4C-9075-1FC4D277060A}"/>
    <cellStyle name="Normal 2 4 2 4 2 7" xfId="2466" xr:uid="{00000000-0005-0000-0000-00005C0F0000}"/>
    <cellStyle name="Normal 2 4 2 4 2 7 2" xfId="6750" xr:uid="{00000000-0005-0000-0000-00005D0F0000}"/>
    <cellStyle name="Normal 2 4 2 4 2 7 2 2" xfId="15192" xr:uid="{7F0236B5-9821-4812-8E70-8F2EA1234E00}"/>
    <cellStyle name="Normal 2 4 2 4 2 7 2 3" xfId="23638" xr:uid="{C4B1DF60-31C2-45AD-80C1-921E0029B3ED}"/>
    <cellStyle name="Normal 2 4 2 4 2 7 3" xfId="10974" xr:uid="{CC217024-3EA9-47C9-816E-A0888F87177D}"/>
    <cellStyle name="Normal 2 4 2 4 2 7 4" xfId="19419" xr:uid="{182B319F-142E-4EAE-956D-2C34FE8DADAD}"/>
    <cellStyle name="Normal 2 4 2 4 2 8" xfId="4684" xr:uid="{00000000-0005-0000-0000-00005E0F0000}"/>
    <cellStyle name="Normal 2 4 2 4 2 8 2" xfId="13126" xr:uid="{783B5E7F-C7AD-4029-813C-137CE9D5DCAF}"/>
    <cellStyle name="Normal 2 4 2 4 2 8 3" xfId="21572" xr:uid="{5368650B-D18E-457D-B820-2BADB9592EFF}"/>
    <cellStyle name="Normal 2 4 2 4 2 9" xfId="8908" xr:uid="{60C96FA3-C7B8-41AF-9FAD-A8F3FE4A049D}"/>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56C897C6-3415-46D3-ACD5-E2607D675C82}"/>
    <cellStyle name="Normal 2 4 2 4 3 2 2 2 3" xfId="24133" xr:uid="{C6CDDEA8-EF31-41DF-878A-B28C67334425}"/>
    <cellStyle name="Normal 2 4 2 4 3 2 2 3" xfId="11469" xr:uid="{90A0A0E9-4BA8-4DE5-B9D1-AFBAA81A99E4}"/>
    <cellStyle name="Normal 2 4 2 4 3 2 2 4" xfId="19916" xr:uid="{AAC3806D-CBF3-4661-A88C-580A12CCC26F}"/>
    <cellStyle name="Normal 2 4 2 4 3 2 3" xfId="5100" xr:uid="{00000000-0005-0000-0000-0000630F0000}"/>
    <cellStyle name="Normal 2 4 2 4 3 2 3 2" xfId="13542" xr:uid="{7803968B-F3FD-46D5-9CA7-AED21A4D47AF}"/>
    <cellStyle name="Normal 2 4 2 4 3 2 3 3" xfId="21988" xr:uid="{FFEFEFD5-6603-408B-9919-20FE5EC833F3}"/>
    <cellStyle name="Normal 2 4 2 4 3 2 4" xfId="9324" xr:uid="{14394B3F-D4F4-4CC7-BDB5-DFE38D3CE0F6}"/>
    <cellStyle name="Normal 2 4 2 4 3 2 5" xfId="17769" xr:uid="{9A051D1C-8A53-40C6-9D49-8C57059B89D6}"/>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462F289D-030A-4279-B662-3792D544D58A}"/>
    <cellStyle name="Normal 2 4 2 4 3 3 2 2 3" xfId="24546" xr:uid="{757F36F5-56AC-4A64-B72F-560C4EEAA63C}"/>
    <cellStyle name="Normal 2 4 2 4 3 3 2 3" xfId="11882" xr:uid="{D9F77226-D6CC-40CD-BA72-5861EA5845E6}"/>
    <cellStyle name="Normal 2 4 2 4 3 3 2 4" xfId="20329" xr:uid="{F0D6DE6D-16EC-4373-AB8B-A114DF3205CE}"/>
    <cellStyle name="Normal 2 4 2 4 3 3 3" xfId="5513" xr:uid="{00000000-0005-0000-0000-0000670F0000}"/>
    <cellStyle name="Normal 2 4 2 4 3 3 3 2" xfId="13955" xr:uid="{E4EAB389-CE4A-498A-83A6-7BDA4A8F6210}"/>
    <cellStyle name="Normal 2 4 2 4 3 3 3 3" xfId="22401" xr:uid="{A95B90E2-61E4-4134-8728-64BAF3DCFBC7}"/>
    <cellStyle name="Normal 2 4 2 4 3 3 4" xfId="9737" xr:uid="{44FC60FD-FE38-48E1-9CC9-E8E6BFFE85ED}"/>
    <cellStyle name="Normal 2 4 2 4 3 3 5" xfId="18182" xr:uid="{C6A12F54-952A-44EA-BFAF-8CC47C2D1268}"/>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5269D47E-7113-41FC-9826-AB41B8A6E144}"/>
    <cellStyle name="Normal 2 4 2 4 3 4 2 2 3" xfId="24959" xr:uid="{09557454-1A89-4D86-A908-B892D7644A8E}"/>
    <cellStyle name="Normal 2 4 2 4 3 4 2 3" xfId="12295" xr:uid="{8BF344C7-DBBC-4754-B2FB-23D90712A81F}"/>
    <cellStyle name="Normal 2 4 2 4 3 4 2 4" xfId="20742" xr:uid="{9314EEE6-ACBB-4AB0-9F3D-B7F12DC27F4C}"/>
    <cellStyle name="Normal 2 4 2 4 3 4 3" xfId="5926" xr:uid="{00000000-0005-0000-0000-00006B0F0000}"/>
    <cellStyle name="Normal 2 4 2 4 3 4 3 2" xfId="14368" xr:uid="{848283BC-3307-4366-8D02-FB2453134D66}"/>
    <cellStyle name="Normal 2 4 2 4 3 4 3 3" xfId="22814" xr:uid="{AA606C18-9A6F-4B27-819D-B00B3B9E959D}"/>
    <cellStyle name="Normal 2 4 2 4 3 4 4" xfId="10150" xr:uid="{38C9730A-6DE1-4A65-AF50-03DE23DF1AAD}"/>
    <cellStyle name="Normal 2 4 2 4 3 4 5" xfId="18595" xr:uid="{40E4B0C1-085A-40A4-85A6-71BAB9238B33}"/>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8AEED68B-B071-4727-AC9F-25B9D75408E2}"/>
    <cellStyle name="Normal 2 4 2 4 3 5 2 2 3" xfId="25372" xr:uid="{AEB16BF5-4E8F-4439-8D61-7B949D0DB6DF}"/>
    <cellStyle name="Normal 2 4 2 4 3 5 2 3" xfId="12708" xr:uid="{F7A943C5-40FB-4490-BAEC-617985F8059B}"/>
    <cellStyle name="Normal 2 4 2 4 3 5 2 4" xfId="21155" xr:uid="{883E4687-E6A6-4A27-87B9-5A51D87AB90D}"/>
    <cellStyle name="Normal 2 4 2 4 3 5 3" xfId="6339" xr:uid="{00000000-0005-0000-0000-00006F0F0000}"/>
    <cellStyle name="Normal 2 4 2 4 3 5 3 2" xfId="14781" xr:uid="{E509750C-45CE-4048-9095-268D08E092C5}"/>
    <cellStyle name="Normal 2 4 2 4 3 5 3 3" xfId="23227" xr:uid="{6F430A00-D136-41FD-B011-B951DB15E1CC}"/>
    <cellStyle name="Normal 2 4 2 4 3 5 4" xfId="10563" xr:uid="{311B3DD1-3FF4-4664-BCAB-4939786C868D}"/>
    <cellStyle name="Normal 2 4 2 4 3 5 5" xfId="19008" xr:uid="{FF66ADC6-A9A6-4E76-A95C-C28C543BA28C}"/>
    <cellStyle name="Normal 2 4 2 4 3 6" xfId="2468" xr:uid="{00000000-0005-0000-0000-0000700F0000}"/>
    <cellStyle name="Normal 2 4 2 4 3 6 2" xfId="6752" xr:uid="{00000000-0005-0000-0000-0000710F0000}"/>
    <cellStyle name="Normal 2 4 2 4 3 6 2 2" xfId="15194" xr:uid="{260E889C-D3F8-4966-83A8-815BA45E85B0}"/>
    <cellStyle name="Normal 2 4 2 4 3 6 2 3" xfId="23640" xr:uid="{9CA8CB65-53B7-4A03-851B-88D940E644B6}"/>
    <cellStyle name="Normal 2 4 2 4 3 6 3" xfId="10976" xr:uid="{E88C38C4-A398-4314-A5AB-422EAD0EA694}"/>
    <cellStyle name="Normal 2 4 2 4 3 6 4" xfId="19421" xr:uid="{F36B41D4-8F87-4FCF-8628-DA403ABDF666}"/>
    <cellStyle name="Normal 2 4 2 4 3 7" xfId="4686" xr:uid="{00000000-0005-0000-0000-0000720F0000}"/>
    <cellStyle name="Normal 2 4 2 4 3 7 2" xfId="13128" xr:uid="{7CD59D36-B296-4194-802E-B2D9BB791ABF}"/>
    <cellStyle name="Normal 2 4 2 4 3 7 3" xfId="21574" xr:uid="{B9590AE0-5EE3-4BBF-893E-1D3D4ED6B901}"/>
    <cellStyle name="Normal 2 4 2 4 3 8" xfId="8910" xr:uid="{C24A6FEF-9B3F-4DA8-8603-E72A3A63F453}"/>
    <cellStyle name="Normal 2 4 2 4 3 9" xfId="17354" xr:uid="{6BBA3F9A-1B01-438E-A771-7D99460C3E85}"/>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DE18F224-E913-4306-8112-1643BEF49419}"/>
    <cellStyle name="Normal 2 4 2 4 4 2 2 3" xfId="24130" xr:uid="{DF84AC25-8B74-4DAC-9825-C11C2A5891C6}"/>
    <cellStyle name="Normal 2 4 2 4 4 2 3" xfId="11466" xr:uid="{F348FBDC-DF11-48EF-B7F9-C1C97BABE22C}"/>
    <cellStyle name="Normal 2 4 2 4 4 2 4" xfId="19913" xr:uid="{F58C257D-33C4-44C1-8621-58E32F1E2633}"/>
    <cellStyle name="Normal 2 4 2 4 4 3" xfId="5097" xr:uid="{00000000-0005-0000-0000-0000760F0000}"/>
    <cellStyle name="Normal 2 4 2 4 4 3 2" xfId="13539" xr:uid="{538EA4B2-51C0-48E5-AE55-07131D1523A8}"/>
    <cellStyle name="Normal 2 4 2 4 4 3 3" xfId="21985" xr:uid="{68EEC262-31B8-40B5-8DFC-D1D91052D5BF}"/>
    <cellStyle name="Normal 2 4 2 4 4 4" xfId="9321" xr:uid="{4CD19CFE-DEF2-455D-AF8E-E5C4659F1807}"/>
    <cellStyle name="Normal 2 4 2 4 4 5" xfId="17766" xr:uid="{C3F45CB4-2A13-4AC9-A86A-C02F7E1D0C39}"/>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9942F639-8B42-4260-831D-FC39E9C06259}"/>
    <cellStyle name="Normal 2 4 2 4 5 2 2 3" xfId="24543" xr:uid="{11747015-95EE-4DAB-9030-991D4D90675E}"/>
    <cellStyle name="Normal 2 4 2 4 5 2 3" xfId="11879" xr:uid="{332408E0-3A22-4306-A820-5AAEF7B8B432}"/>
    <cellStyle name="Normal 2 4 2 4 5 2 4" xfId="20326" xr:uid="{F51CFFFB-5057-4880-B63A-228B224E75B4}"/>
    <cellStyle name="Normal 2 4 2 4 5 3" xfId="5510" xr:uid="{00000000-0005-0000-0000-00007A0F0000}"/>
    <cellStyle name="Normal 2 4 2 4 5 3 2" xfId="13952" xr:uid="{BC4C2456-08C7-47DC-A80F-744B8216E03B}"/>
    <cellStyle name="Normal 2 4 2 4 5 3 3" xfId="22398" xr:uid="{D7C41598-6D13-4D19-B926-A2A4400DEB19}"/>
    <cellStyle name="Normal 2 4 2 4 5 4" xfId="9734" xr:uid="{8B9292F1-2AFD-4DEB-B6E0-7C3072257B9E}"/>
    <cellStyle name="Normal 2 4 2 4 5 5" xfId="18179" xr:uid="{63C717EF-8F30-4385-908C-CD7FA53A1EA1}"/>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16DDCFDD-E9C0-487C-B8F3-7BFEFE7C5F0E}"/>
    <cellStyle name="Normal 2 4 2 4 6 2 2 3" xfId="24956" xr:uid="{77AEE9B5-E259-4F21-9E17-70FB5F6F5699}"/>
    <cellStyle name="Normal 2 4 2 4 6 2 3" xfId="12292" xr:uid="{E594B2A2-89C6-4D51-8508-4DE9E843514E}"/>
    <cellStyle name="Normal 2 4 2 4 6 2 4" xfId="20739" xr:uid="{ED330962-D1A1-4F77-B925-13BC72038EA0}"/>
    <cellStyle name="Normal 2 4 2 4 6 3" xfId="5923" xr:uid="{00000000-0005-0000-0000-00007E0F0000}"/>
    <cellStyle name="Normal 2 4 2 4 6 3 2" xfId="14365" xr:uid="{2A60894C-78D2-4A9B-80AB-F47826DDAE7D}"/>
    <cellStyle name="Normal 2 4 2 4 6 3 3" xfId="22811" xr:uid="{B4730821-6079-40A0-8DB0-FE7F23E6B019}"/>
    <cellStyle name="Normal 2 4 2 4 6 4" xfId="10147" xr:uid="{1004883C-7EF1-4031-A758-BE15D1D88BA2}"/>
    <cellStyle name="Normal 2 4 2 4 6 5" xfId="18592" xr:uid="{A31AA60E-323C-4CC1-B4A1-26553D5F012B}"/>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FBD061F7-7069-453F-9045-534A1083AF80}"/>
    <cellStyle name="Normal 2 4 2 4 7 2 2 3" xfId="25369" xr:uid="{391CE8C3-0FA3-4A8B-9C6A-BD3B16D5B2F9}"/>
    <cellStyle name="Normal 2 4 2 4 7 2 3" xfId="12705" xr:uid="{9C13E640-DCC7-400C-AD2E-8195A9247BB0}"/>
    <cellStyle name="Normal 2 4 2 4 7 2 4" xfId="21152" xr:uid="{DA028A7E-C740-434E-BB9F-DD6D928D4A08}"/>
    <cellStyle name="Normal 2 4 2 4 7 3" xfId="6336" xr:uid="{00000000-0005-0000-0000-0000820F0000}"/>
    <cellStyle name="Normal 2 4 2 4 7 3 2" xfId="14778" xr:uid="{14F45E1F-0606-4CCA-AC7D-161468FAB991}"/>
    <cellStyle name="Normal 2 4 2 4 7 3 3" xfId="23224" xr:uid="{FB921F7A-AA8B-4A24-AB32-D4EC94D190C2}"/>
    <cellStyle name="Normal 2 4 2 4 7 4" xfId="10560" xr:uid="{9B85D727-5758-42CE-85AF-091DCE0F5174}"/>
    <cellStyle name="Normal 2 4 2 4 7 5" xfId="19005" xr:uid="{C7DF13C8-1BAB-4C52-A053-404ABE42A055}"/>
    <cellStyle name="Normal 2 4 2 4 8" xfId="2465" xr:uid="{00000000-0005-0000-0000-0000830F0000}"/>
    <cellStyle name="Normal 2 4 2 4 8 2" xfId="6749" xr:uid="{00000000-0005-0000-0000-0000840F0000}"/>
    <cellStyle name="Normal 2 4 2 4 8 2 2" xfId="15191" xr:uid="{E3C665AB-0A02-4BC9-BFC5-AC43EAA09884}"/>
    <cellStyle name="Normal 2 4 2 4 8 2 3" xfId="23637" xr:uid="{5C9730FE-465C-4A88-86A6-575A874E30FA}"/>
    <cellStyle name="Normal 2 4 2 4 8 3" xfId="10973" xr:uid="{EFF7DD50-51CF-4601-BEC8-3E81992F94DB}"/>
    <cellStyle name="Normal 2 4 2 4 8 4" xfId="19418" xr:uid="{55938342-EAF2-472F-8DF8-4B4B3C3616EC}"/>
    <cellStyle name="Normal 2 4 2 4 9" xfId="4683" xr:uid="{00000000-0005-0000-0000-0000850F0000}"/>
    <cellStyle name="Normal 2 4 2 4 9 2" xfId="13125" xr:uid="{AD04E31F-7E21-4CAA-81BB-AE44BD3296C7}"/>
    <cellStyle name="Normal 2 4 2 4 9 3" xfId="21571" xr:uid="{4A28FB93-30E6-4B1D-AB12-540427A054E1}"/>
    <cellStyle name="Normal 2 4 2 5" xfId="293" xr:uid="{00000000-0005-0000-0000-0000860F0000}"/>
    <cellStyle name="Normal 2 4 2 5 10" xfId="17355" xr:uid="{98473B9C-0DB8-4EA6-8FD4-2C4840C65B4A}"/>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2E809D08-56A5-4711-944C-E686248D2CD1}"/>
    <cellStyle name="Normal 2 4 2 5 2 2 2 2 3" xfId="24135" xr:uid="{1D683C17-1374-4ED3-846D-6CDB517D656C}"/>
    <cellStyle name="Normal 2 4 2 5 2 2 2 3" xfId="11471" xr:uid="{C4ECDA46-DBC2-43B3-BDE9-D23040AE7410}"/>
    <cellStyle name="Normal 2 4 2 5 2 2 2 4" xfId="19918" xr:uid="{5A6F1711-146C-4EA8-8B4D-04909973AB1D}"/>
    <cellStyle name="Normal 2 4 2 5 2 2 3" xfId="5102" xr:uid="{00000000-0005-0000-0000-00008B0F0000}"/>
    <cellStyle name="Normal 2 4 2 5 2 2 3 2" xfId="13544" xr:uid="{4D9E4F84-152D-4463-A68B-517D6A474BD6}"/>
    <cellStyle name="Normal 2 4 2 5 2 2 3 3" xfId="21990" xr:uid="{731F342A-2266-4235-AB76-9323FC5B848B}"/>
    <cellStyle name="Normal 2 4 2 5 2 2 4" xfId="9326" xr:uid="{4985CDA0-F7EC-4DC2-BCF2-48A241F7F93D}"/>
    <cellStyle name="Normal 2 4 2 5 2 2 5" xfId="17771" xr:uid="{F95B4B47-2207-4402-8690-22344A28B645}"/>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3A8E72C0-EAA8-4CCD-BB76-3CC6523DFD0D}"/>
    <cellStyle name="Normal 2 4 2 5 2 3 2 2 3" xfId="24548" xr:uid="{A5959C67-07B7-4ACB-A323-7F427DE98C04}"/>
    <cellStyle name="Normal 2 4 2 5 2 3 2 3" xfId="11884" xr:uid="{EBAD3151-8168-4689-9EE4-859E80E26462}"/>
    <cellStyle name="Normal 2 4 2 5 2 3 2 4" xfId="20331" xr:uid="{59BB3241-B723-4AE0-A961-BDB934D85FD3}"/>
    <cellStyle name="Normal 2 4 2 5 2 3 3" xfId="5515" xr:uid="{00000000-0005-0000-0000-00008F0F0000}"/>
    <cellStyle name="Normal 2 4 2 5 2 3 3 2" xfId="13957" xr:uid="{757E934B-29EA-475B-9851-18D1D5FDA705}"/>
    <cellStyle name="Normal 2 4 2 5 2 3 3 3" xfId="22403" xr:uid="{DC10AC41-1060-4B93-BDE2-69CE1AAAEF7C}"/>
    <cellStyle name="Normal 2 4 2 5 2 3 4" xfId="9739" xr:uid="{75A30A93-1A2F-4DB0-83E7-0B16297A70F3}"/>
    <cellStyle name="Normal 2 4 2 5 2 3 5" xfId="18184" xr:uid="{207538F1-8760-4750-869D-D23D38CE9B1B}"/>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6B1456F2-992D-42CA-A287-78E735CBBCB7}"/>
    <cellStyle name="Normal 2 4 2 5 2 4 2 2 3" xfId="24961" xr:uid="{D1A5228F-8DEF-494F-B395-94137FCAF0EB}"/>
    <cellStyle name="Normal 2 4 2 5 2 4 2 3" xfId="12297" xr:uid="{2A75D6ED-A516-4EEE-B434-F66D1DAB672B}"/>
    <cellStyle name="Normal 2 4 2 5 2 4 2 4" xfId="20744" xr:uid="{631AB924-BFC2-4369-94F3-384C41243E61}"/>
    <cellStyle name="Normal 2 4 2 5 2 4 3" xfId="5928" xr:uid="{00000000-0005-0000-0000-0000930F0000}"/>
    <cellStyle name="Normal 2 4 2 5 2 4 3 2" xfId="14370" xr:uid="{5D815357-0BFE-497C-8C86-50E57A887F63}"/>
    <cellStyle name="Normal 2 4 2 5 2 4 3 3" xfId="22816" xr:uid="{9B5F3BC6-E64B-4EFF-AD09-1EB9A11E6430}"/>
    <cellStyle name="Normal 2 4 2 5 2 4 4" xfId="10152" xr:uid="{010AC030-CD4A-4CDD-90F6-1841E3997E47}"/>
    <cellStyle name="Normal 2 4 2 5 2 4 5" xfId="18597" xr:uid="{1A329917-C526-442F-8282-BA86F05F5DED}"/>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8B621432-8866-4648-86BD-9496F883C30C}"/>
    <cellStyle name="Normal 2 4 2 5 2 5 2 2 3" xfId="25374" xr:uid="{B52807DA-74A4-425E-9944-9C2D9F879B43}"/>
    <cellStyle name="Normal 2 4 2 5 2 5 2 3" xfId="12710" xr:uid="{3A678941-5FB2-4F63-AFDB-071EFE379802}"/>
    <cellStyle name="Normal 2 4 2 5 2 5 2 4" xfId="21157" xr:uid="{8EA5DD82-CDBB-4203-B483-AA051B96CB52}"/>
    <cellStyle name="Normal 2 4 2 5 2 5 3" xfId="6341" xr:uid="{00000000-0005-0000-0000-0000970F0000}"/>
    <cellStyle name="Normal 2 4 2 5 2 5 3 2" xfId="14783" xr:uid="{E75F428F-7AAB-4D1A-8E76-9DEEDB9B0739}"/>
    <cellStyle name="Normal 2 4 2 5 2 5 3 3" xfId="23229" xr:uid="{F864EB68-A76C-400F-A83A-5AC0270E43C4}"/>
    <cellStyle name="Normal 2 4 2 5 2 5 4" xfId="10565" xr:uid="{A7E6D4F7-6627-4B51-850E-6B1962B276EE}"/>
    <cellStyle name="Normal 2 4 2 5 2 5 5" xfId="19010" xr:uid="{9BD1F181-E9DC-4C01-A99E-2ABF26E056D2}"/>
    <cellStyle name="Normal 2 4 2 5 2 6" xfId="2470" xr:uid="{00000000-0005-0000-0000-0000980F0000}"/>
    <cellStyle name="Normal 2 4 2 5 2 6 2" xfId="6754" xr:uid="{00000000-0005-0000-0000-0000990F0000}"/>
    <cellStyle name="Normal 2 4 2 5 2 6 2 2" xfId="15196" xr:uid="{812C5DB9-8682-4D36-AB9D-52AE93EE5CA6}"/>
    <cellStyle name="Normal 2 4 2 5 2 6 2 3" xfId="23642" xr:uid="{D4DD0C04-97F8-4A86-AC94-7EFFB31BBF48}"/>
    <cellStyle name="Normal 2 4 2 5 2 6 3" xfId="10978" xr:uid="{1F29A40A-5BBA-4F09-A3F5-AEF71B7D91A1}"/>
    <cellStyle name="Normal 2 4 2 5 2 6 4" xfId="19423" xr:uid="{B2C15063-A3E0-4C37-9BD3-18E812E1112F}"/>
    <cellStyle name="Normal 2 4 2 5 2 7" xfId="4688" xr:uid="{00000000-0005-0000-0000-00009A0F0000}"/>
    <cellStyle name="Normal 2 4 2 5 2 7 2" xfId="13130" xr:uid="{641C6C17-34DF-457B-BA71-A9C75CA7EDA0}"/>
    <cellStyle name="Normal 2 4 2 5 2 7 3" xfId="21576" xr:uid="{00F3B30C-384B-4D52-8E03-A5B42EE8746C}"/>
    <cellStyle name="Normal 2 4 2 5 2 8" xfId="8912" xr:uid="{1B039F04-CB47-4B20-A8A0-BF55A59E09EA}"/>
    <cellStyle name="Normal 2 4 2 5 2 9" xfId="17356" xr:uid="{346085B6-3381-4E38-9347-D9A5C6336262}"/>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76198378-185D-4982-9535-A634555C04AC}"/>
    <cellStyle name="Normal 2 4 2 5 3 2 2 3" xfId="24134" xr:uid="{6BADB1B2-68B3-4A71-B309-40FB8FD736EC}"/>
    <cellStyle name="Normal 2 4 2 5 3 2 3" xfId="11470" xr:uid="{80D5A541-B47F-4F04-893C-1C126DAC1F9C}"/>
    <cellStyle name="Normal 2 4 2 5 3 2 4" xfId="19917" xr:uid="{27AFDAC9-2859-45E8-950B-3D8F912FF809}"/>
    <cellStyle name="Normal 2 4 2 5 3 3" xfId="5101" xr:uid="{00000000-0005-0000-0000-00009E0F0000}"/>
    <cellStyle name="Normal 2 4 2 5 3 3 2" xfId="13543" xr:uid="{205D4BDE-2E17-422E-B2CE-BCDB5DDE4D5A}"/>
    <cellStyle name="Normal 2 4 2 5 3 3 3" xfId="21989" xr:uid="{63F7DF02-ADD5-4CF5-9C71-DC8F96562CF2}"/>
    <cellStyle name="Normal 2 4 2 5 3 4" xfId="9325" xr:uid="{DA8D0814-F38D-4062-B049-DC399FD4D50C}"/>
    <cellStyle name="Normal 2 4 2 5 3 5" xfId="17770" xr:uid="{B4A5B441-1498-439C-9C56-4E7D16350B44}"/>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6827EA8B-B48F-4B98-A75F-F46F633BCCBB}"/>
    <cellStyle name="Normal 2 4 2 5 4 2 2 3" xfId="24547" xr:uid="{6CF3EEF3-F0D7-4AAB-8835-37F07113053C}"/>
    <cellStyle name="Normal 2 4 2 5 4 2 3" xfId="11883" xr:uid="{515959D2-65A2-4457-96B2-FF2885077122}"/>
    <cellStyle name="Normal 2 4 2 5 4 2 4" xfId="20330" xr:uid="{AB45F450-FDAE-4A56-8A39-37AC4E115718}"/>
    <cellStyle name="Normal 2 4 2 5 4 3" xfId="5514" xr:uid="{00000000-0005-0000-0000-0000A20F0000}"/>
    <cellStyle name="Normal 2 4 2 5 4 3 2" xfId="13956" xr:uid="{320CF574-1DB9-4DBB-A252-45D1A6B18CB5}"/>
    <cellStyle name="Normal 2 4 2 5 4 3 3" xfId="22402" xr:uid="{BC4546AC-5A82-4797-9CBD-2F4D24CD4E96}"/>
    <cellStyle name="Normal 2 4 2 5 4 4" xfId="9738" xr:uid="{685B78DA-0752-4824-A94A-532085509843}"/>
    <cellStyle name="Normal 2 4 2 5 4 5" xfId="18183" xr:uid="{1185A334-4681-4FDA-B228-B14CBA015493}"/>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A4D1479E-1900-4C44-97C8-45A822437F2F}"/>
    <cellStyle name="Normal 2 4 2 5 5 2 2 3" xfId="24960" xr:uid="{EBD44FD1-8B39-4747-B803-96FB4F153977}"/>
    <cellStyle name="Normal 2 4 2 5 5 2 3" xfId="12296" xr:uid="{22D1A7BA-6558-4F66-9337-3FC8269847F6}"/>
    <cellStyle name="Normal 2 4 2 5 5 2 4" xfId="20743" xr:uid="{D2CC9B87-1D3A-4DD2-B06A-246621EAA642}"/>
    <cellStyle name="Normal 2 4 2 5 5 3" xfId="5927" xr:uid="{00000000-0005-0000-0000-0000A60F0000}"/>
    <cellStyle name="Normal 2 4 2 5 5 3 2" xfId="14369" xr:uid="{F2DA0301-FCB3-4BB0-A35D-976469660890}"/>
    <cellStyle name="Normal 2 4 2 5 5 3 3" xfId="22815" xr:uid="{06346FA1-0C7D-4FB4-A7FD-4920DAF53002}"/>
    <cellStyle name="Normal 2 4 2 5 5 4" xfId="10151" xr:uid="{5F02B70A-2710-4287-977D-19498BB44FC4}"/>
    <cellStyle name="Normal 2 4 2 5 5 5" xfId="18596" xr:uid="{4BDEF43C-8D55-4555-9A84-F90F6102524B}"/>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3F352B60-5440-4306-9E82-1062DF9AA2E7}"/>
    <cellStyle name="Normal 2 4 2 5 6 2 2 3" xfId="25373" xr:uid="{F3F52CCB-F124-40D6-ABDB-E2BD3B929CEF}"/>
    <cellStyle name="Normal 2 4 2 5 6 2 3" xfId="12709" xr:uid="{D9965544-D0B8-4238-883E-8001E60448E5}"/>
    <cellStyle name="Normal 2 4 2 5 6 2 4" xfId="21156" xr:uid="{CCFEB735-AA1E-4F69-AE93-F938E30C4585}"/>
    <cellStyle name="Normal 2 4 2 5 6 3" xfId="6340" xr:uid="{00000000-0005-0000-0000-0000AA0F0000}"/>
    <cellStyle name="Normal 2 4 2 5 6 3 2" xfId="14782" xr:uid="{2A266E7F-5704-4C78-A1D7-04E8DF9C8EA1}"/>
    <cellStyle name="Normal 2 4 2 5 6 3 3" xfId="23228" xr:uid="{1514D26C-FEDB-43F7-864B-24B6CAFB3297}"/>
    <cellStyle name="Normal 2 4 2 5 6 4" xfId="10564" xr:uid="{1C491492-BC7B-4CF4-86FF-7CC6F37AD686}"/>
    <cellStyle name="Normal 2 4 2 5 6 5" xfId="19009" xr:uid="{D4A8F3AD-06D8-459E-88F8-8EAA84F92CB3}"/>
    <cellStyle name="Normal 2 4 2 5 7" xfId="2469" xr:uid="{00000000-0005-0000-0000-0000AB0F0000}"/>
    <cellStyle name="Normal 2 4 2 5 7 2" xfId="6753" xr:uid="{00000000-0005-0000-0000-0000AC0F0000}"/>
    <cellStyle name="Normal 2 4 2 5 7 2 2" xfId="15195" xr:uid="{1BE51E55-C7C1-4AB8-BA51-CF551C023B7F}"/>
    <cellStyle name="Normal 2 4 2 5 7 2 3" xfId="23641" xr:uid="{95BF8474-3423-4081-A5FE-4E9A26B16C75}"/>
    <cellStyle name="Normal 2 4 2 5 7 3" xfId="10977" xr:uid="{9AD65686-4C26-4F5C-956A-021551DFEB96}"/>
    <cellStyle name="Normal 2 4 2 5 7 4" xfId="19422" xr:uid="{E2BBE0A5-84E0-4CC9-A698-00725C70278D}"/>
    <cellStyle name="Normal 2 4 2 5 8" xfId="4687" xr:uid="{00000000-0005-0000-0000-0000AD0F0000}"/>
    <cellStyle name="Normal 2 4 2 5 8 2" xfId="13129" xr:uid="{B8B54E3B-C226-4142-81A9-A36D4F58524C}"/>
    <cellStyle name="Normal 2 4 2 5 8 3" xfId="21575" xr:uid="{9D4B852F-34FC-4B12-B313-FD16E6D2A942}"/>
    <cellStyle name="Normal 2 4 2 5 9" xfId="8911" xr:uid="{86F16AC3-BAEE-45F0-BEA5-26AF88264D5F}"/>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5F019119-A085-4E30-B7DB-5E9E357E1E5B}"/>
    <cellStyle name="Normal 2 4 2 6 2 2 2 3" xfId="24136" xr:uid="{FD7DC9EE-DDA5-4B06-BFA6-4B9C9E0CEC71}"/>
    <cellStyle name="Normal 2 4 2 6 2 2 3" xfId="11472" xr:uid="{210B51BA-617B-4294-88CC-39E64E8873E5}"/>
    <cellStyle name="Normal 2 4 2 6 2 2 4" xfId="19919" xr:uid="{E99742EB-BD44-4ABA-A426-DF45B7059EA1}"/>
    <cellStyle name="Normal 2 4 2 6 2 3" xfId="5103" xr:uid="{00000000-0005-0000-0000-0000B20F0000}"/>
    <cellStyle name="Normal 2 4 2 6 2 3 2" xfId="13545" xr:uid="{E4BCA901-8242-4697-8DBC-C39E941EFE93}"/>
    <cellStyle name="Normal 2 4 2 6 2 3 3" xfId="21991" xr:uid="{E05FE8A0-AA13-4918-8181-B313F9DA352F}"/>
    <cellStyle name="Normal 2 4 2 6 2 4" xfId="9327" xr:uid="{EF4CDF44-859D-4CD0-A929-833D201958A4}"/>
    <cellStyle name="Normal 2 4 2 6 2 5" xfId="17772" xr:uid="{4BA316A1-B41E-47EF-82F3-700EBB8D9497}"/>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F55D6C54-B568-4B8F-BA54-1953D53015F3}"/>
    <cellStyle name="Normal 2 4 2 6 3 2 2 3" xfId="24549" xr:uid="{5B391E98-A54E-4DFC-9241-465EC19018B3}"/>
    <cellStyle name="Normal 2 4 2 6 3 2 3" xfId="11885" xr:uid="{63CB4C8B-69A5-460B-988D-1C9A4D9EAC64}"/>
    <cellStyle name="Normal 2 4 2 6 3 2 4" xfId="20332" xr:uid="{2D93F877-9F46-4A6A-B377-773F18A71ED1}"/>
    <cellStyle name="Normal 2 4 2 6 3 3" xfId="5516" xr:uid="{00000000-0005-0000-0000-0000B60F0000}"/>
    <cellStyle name="Normal 2 4 2 6 3 3 2" xfId="13958" xr:uid="{FD424239-D331-425C-9871-90DB4EEE0314}"/>
    <cellStyle name="Normal 2 4 2 6 3 3 3" xfId="22404" xr:uid="{4DA90008-C1B0-4C57-AA3C-B6A7D4CA034F}"/>
    <cellStyle name="Normal 2 4 2 6 3 4" xfId="9740" xr:uid="{B870FBCF-6FE2-4EAE-AE63-4FB66801F966}"/>
    <cellStyle name="Normal 2 4 2 6 3 5" xfId="18185" xr:uid="{9B97D392-52DF-4AD8-81B2-42E8D0CAC459}"/>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CE610845-EC8A-4891-B42A-1343778C49D9}"/>
    <cellStyle name="Normal 2 4 2 6 4 2 2 3" xfId="24962" xr:uid="{7E2F9EC6-84F4-47FC-9EF2-FE77C88B1CB1}"/>
    <cellStyle name="Normal 2 4 2 6 4 2 3" xfId="12298" xr:uid="{2821DB15-FF72-4413-A992-32EB65CEB362}"/>
    <cellStyle name="Normal 2 4 2 6 4 2 4" xfId="20745" xr:uid="{FB8BFFF2-71E7-4D0A-9F8C-ABCD9F6FFD59}"/>
    <cellStyle name="Normal 2 4 2 6 4 3" xfId="5929" xr:uid="{00000000-0005-0000-0000-0000BA0F0000}"/>
    <cellStyle name="Normal 2 4 2 6 4 3 2" xfId="14371" xr:uid="{9A4E5F1E-49E4-4F18-95B6-6871DD9630A6}"/>
    <cellStyle name="Normal 2 4 2 6 4 3 3" xfId="22817" xr:uid="{85B561E0-A1E4-41ED-86B1-DEFAA66381AD}"/>
    <cellStyle name="Normal 2 4 2 6 4 4" xfId="10153" xr:uid="{97FDC46E-B0E7-4970-9529-E973144E351B}"/>
    <cellStyle name="Normal 2 4 2 6 4 5" xfId="18598" xr:uid="{C4124282-028B-4E99-A292-A318ECFEB202}"/>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72784F9C-F823-4C65-B40C-B0A92FDD42DD}"/>
    <cellStyle name="Normal 2 4 2 6 5 2 2 3" xfId="25375" xr:uid="{879B6831-F918-4063-B676-EB645B4DC3ED}"/>
    <cellStyle name="Normal 2 4 2 6 5 2 3" xfId="12711" xr:uid="{F4F50619-54F2-431F-95B1-0738C68763F5}"/>
    <cellStyle name="Normal 2 4 2 6 5 2 4" xfId="21158" xr:uid="{02ED9366-97BE-48CC-B042-615C6CED0526}"/>
    <cellStyle name="Normal 2 4 2 6 5 3" xfId="6342" xr:uid="{00000000-0005-0000-0000-0000BE0F0000}"/>
    <cellStyle name="Normal 2 4 2 6 5 3 2" xfId="14784" xr:uid="{C89A59F1-6761-422A-B743-1E0C95D6B8BA}"/>
    <cellStyle name="Normal 2 4 2 6 5 3 3" xfId="23230" xr:uid="{1B015CE1-BB6B-43A0-80B5-4E756A39929D}"/>
    <cellStyle name="Normal 2 4 2 6 5 4" xfId="10566" xr:uid="{D883F6A7-461F-4002-A85C-5EBAA41213F6}"/>
    <cellStyle name="Normal 2 4 2 6 5 5" xfId="19011" xr:uid="{5115F211-6E30-4837-9305-DA9ACD3EEE7A}"/>
    <cellStyle name="Normal 2 4 2 6 6" xfId="2471" xr:uid="{00000000-0005-0000-0000-0000BF0F0000}"/>
    <cellStyle name="Normal 2 4 2 6 6 2" xfId="6755" xr:uid="{00000000-0005-0000-0000-0000C00F0000}"/>
    <cellStyle name="Normal 2 4 2 6 6 2 2" xfId="15197" xr:uid="{A4263C64-AE49-49E1-8F01-CFCBE6BF3D3C}"/>
    <cellStyle name="Normal 2 4 2 6 6 2 3" xfId="23643" xr:uid="{F29B8904-2B29-4101-A029-F19CB9619479}"/>
    <cellStyle name="Normal 2 4 2 6 6 3" xfId="10979" xr:uid="{2EC18242-147B-416B-B1C2-879DFB1A71B0}"/>
    <cellStyle name="Normal 2 4 2 6 6 4" xfId="19424" xr:uid="{5339C6B3-5865-453D-AE96-C0DFBACB95B4}"/>
    <cellStyle name="Normal 2 4 2 6 7" xfId="4689" xr:uid="{00000000-0005-0000-0000-0000C10F0000}"/>
    <cellStyle name="Normal 2 4 2 6 7 2" xfId="13131" xr:uid="{E44FCAC6-4691-4496-80A3-FD2012BC7C3E}"/>
    <cellStyle name="Normal 2 4 2 6 7 3" xfId="21577" xr:uid="{1EC25083-7E3E-4DC2-8E2A-EF8C5646A704}"/>
    <cellStyle name="Normal 2 4 2 6 8" xfId="8913" xr:uid="{C04E1496-6F8A-40D5-ADE3-8CA9EE628EAB}"/>
    <cellStyle name="Normal 2 4 2 6 9" xfId="17357" xr:uid="{195DA600-860C-4D5A-8953-7E5924F5C089}"/>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52B163ED-C4D6-496E-BC64-B50F3A22A36B}"/>
    <cellStyle name="Normal 2 4 2 7 2 2 3" xfId="24121" xr:uid="{15659FDC-2803-43BB-9948-39085FD49038}"/>
    <cellStyle name="Normal 2 4 2 7 2 3" xfId="11457" xr:uid="{E0A03A8B-7AB0-4F13-AF93-30F78974C2EB}"/>
    <cellStyle name="Normal 2 4 2 7 2 4" xfId="19904" xr:uid="{5FDF3AF7-31F4-4A61-A332-3F9583095100}"/>
    <cellStyle name="Normal 2 4 2 7 3" xfId="5088" xr:uid="{00000000-0005-0000-0000-0000C50F0000}"/>
    <cellStyle name="Normal 2 4 2 7 3 2" xfId="13530" xr:uid="{A6858691-61C1-4000-9AA4-94C8865EA59A}"/>
    <cellStyle name="Normal 2 4 2 7 3 3" xfId="21976" xr:uid="{E69CE477-7631-4D9F-AC2D-580CA432AF4D}"/>
    <cellStyle name="Normal 2 4 2 7 4" xfId="9312" xr:uid="{E124B953-F225-474F-92C5-9AD8EAB58B0A}"/>
    <cellStyle name="Normal 2 4 2 7 5" xfId="17757" xr:uid="{1D8CCA75-04D9-496E-986C-2F13337F925B}"/>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EA73C859-F7BD-469C-A007-64322C13A161}"/>
    <cellStyle name="Normal 2 4 2 8 2 2 3" xfId="24534" xr:uid="{CE706261-A370-4124-B592-769DE09B044B}"/>
    <cellStyle name="Normal 2 4 2 8 2 3" xfId="11870" xr:uid="{05FDCBA4-3CD5-4D8A-9415-F1520A7E74E6}"/>
    <cellStyle name="Normal 2 4 2 8 2 4" xfId="20317" xr:uid="{9FD4F235-198C-465B-BC3E-932E38CC3EBF}"/>
    <cellStyle name="Normal 2 4 2 8 3" xfId="5501" xr:uid="{00000000-0005-0000-0000-0000C90F0000}"/>
    <cellStyle name="Normal 2 4 2 8 3 2" xfId="13943" xr:uid="{FA52C503-0373-43B8-8AF4-5BCC887AFD84}"/>
    <cellStyle name="Normal 2 4 2 8 3 3" xfId="22389" xr:uid="{98F31F40-3145-4550-8C96-7EF0E213FF07}"/>
    <cellStyle name="Normal 2 4 2 8 4" xfId="9725" xr:uid="{5EF4960F-CFA9-4D44-A714-0838A760A40D}"/>
    <cellStyle name="Normal 2 4 2 8 5" xfId="18170" xr:uid="{11204950-FA94-4F13-8CA3-7AF7ACAFEB06}"/>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4552BCE9-808A-4E12-AA62-267A30FACAB2}"/>
    <cellStyle name="Normal 2 4 2 9 2 2 3" xfId="24947" xr:uid="{BA187E65-48D1-4196-B7D7-D4E3A6FF03DC}"/>
    <cellStyle name="Normal 2 4 2 9 2 3" xfId="12283" xr:uid="{6BBC1BA9-BA11-4EF8-A455-859D7BCCAD5D}"/>
    <cellStyle name="Normal 2 4 2 9 2 4" xfId="20730" xr:uid="{02F9351C-630F-47FD-B84D-CD38FBD5A5DC}"/>
    <cellStyle name="Normal 2 4 2 9 3" xfId="5914" xr:uid="{00000000-0005-0000-0000-0000CD0F0000}"/>
    <cellStyle name="Normal 2 4 2 9 3 2" xfId="14356" xr:uid="{78DE062C-D439-4970-A6E1-CAF10D4BFCBD}"/>
    <cellStyle name="Normal 2 4 2 9 3 3" xfId="22802" xr:uid="{FD5DB2A6-467B-4F44-8FAB-5E7D5B7C5E5B}"/>
    <cellStyle name="Normal 2 4 2 9 4" xfId="10138" xr:uid="{86ACD137-E2C8-4029-8CDB-62F8AEFF1A09}"/>
    <cellStyle name="Normal 2 4 2 9 5" xfId="18583" xr:uid="{41D88B83-8F4F-4B9C-A27B-EFE5B6B4AD9B}"/>
    <cellStyle name="Normal 2 4 3" xfId="296" xr:uid="{00000000-0005-0000-0000-0000CE0F0000}"/>
    <cellStyle name="Normal 2 4 3 10" xfId="8914" xr:uid="{BB85072F-E3C2-4BF7-8372-302FC2889808}"/>
    <cellStyle name="Normal 2 4 3 11" xfId="17358" xr:uid="{4318BDC0-BDCE-491D-B9DF-15D3048581B1}"/>
    <cellStyle name="Normal 2 4 3 2" xfId="297" xr:uid="{00000000-0005-0000-0000-0000CF0F0000}"/>
    <cellStyle name="Normal 2 4 3 3" xfId="298" xr:uid="{00000000-0005-0000-0000-0000D00F0000}"/>
    <cellStyle name="Normal 2 4 3 3 10" xfId="8915" xr:uid="{A53241BD-62B5-416C-BEF3-9256E4C786EE}"/>
    <cellStyle name="Normal 2 4 3 3 11" xfId="17359" xr:uid="{805FBA2C-E26E-4CC3-9EFE-70C3A9EF02FC}"/>
    <cellStyle name="Normal 2 4 3 3 2" xfId="299" xr:uid="{00000000-0005-0000-0000-0000D10F0000}"/>
    <cellStyle name="Normal 2 4 3 3 2 10" xfId="17360" xr:uid="{A5D1A474-8BAF-425C-B4E5-308CC382DB53}"/>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9815218C-7C08-4B07-AECB-4CC6CF4715F0}"/>
    <cellStyle name="Normal 2 4 3 3 2 2 2 2 2 3" xfId="24140" xr:uid="{F592A3C6-015D-4802-978D-B51800202A1E}"/>
    <cellStyle name="Normal 2 4 3 3 2 2 2 2 3" xfId="11476" xr:uid="{868B9350-E681-42B8-9562-EFA810EF0EB8}"/>
    <cellStyle name="Normal 2 4 3 3 2 2 2 2 4" xfId="19923" xr:uid="{93AA2B39-8117-45C5-940C-92474EDF7423}"/>
    <cellStyle name="Normal 2 4 3 3 2 2 2 3" xfId="5107" xr:uid="{00000000-0005-0000-0000-0000D60F0000}"/>
    <cellStyle name="Normal 2 4 3 3 2 2 2 3 2" xfId="13549" xr:uid="{E31C33AF-565F-4D50-92A7-89F62D5B55DD}"/>
    <cellStyle name="Normal 2 4 3 3 2 2 2 3 3" xfId="21995" xr:uid="{C3F07ADC-0372-42B1-B84D-27DEDC0277AE}"/>
    <cellStyle name="Normal 2 4 3 3 2 2 2 4" xfId="9331" xr:uid="{C70C90AD-2E8B-49B3-ACA4-DEEFD59D6F14}"/>
    <cellStyle name="Normal 2 4 3 3 2 2 2 5" xfId="17776" xr:uid="{3C6FA0A2-8E32-4E9F-8015-4F24690BD1FC}"/>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0A74E3C3-DF35-48CF-8567-888FDF321292}"/>
    <cellStyle name="Normal 2 4 3 3 2 2 3 2 2 3" xfId="24553" xr:uid="{416B806A-854D-4018-8E66-6EC2096BFE83}"/>
    <cellStyle name="Normal 2 4 3 3 2 2 3 2 3" xfId="11889" xr:uid="{26D473AC-63AA-47D0-9F00-1732BD85A862}"/>
    <cellStyle name="Normal 2 4 3 3 2 2 3 2 4" xfId="20336" xr:uid="{5EF52280-9A5C-48AF-A0BA-2EC40DC369C7}"/>
    <cellStyle name="Normal 2 4 3 3 2 2 3 3" xfId="5520" xr:uid="{00000000-0005-0000-0000-0000DA0F0000}"/>
    <cellStyle name="Normal 2 4 3 3 2 2 3 3 2" xfId="13962" xr:uid="{C4EF5FE2-D1EC-4283-9AD0-E0BBF60EADAE}"/>
    <cellStyle name="Normal 2 4 3 3 2 2 3 3 3" xfId="22408" xr:uid="{4B16D3F2-66CC-4627-B915-11CAEDEB8E14}"/>
    <cellStyle name="Normal 2 4 3 3 2 2 3 4" xfId="9744" xr:uid="{5273CE2F-6528-4FE1-81E6-5012DAF9F0CA}"/>
    <cellStyle name="Normal 2 4 3 3 2 2 3 5" xfId="18189" xr:uid="{D1FC5351-5BAA-4892-87AE-A7D9701E5319}"/>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635EE1E7-14C6-4F92-8D2B-CBA920A1FB06}"/>
    <cellStyle name="Normal 2 4 3 3 2 2 4 2 2 3" xfId="24966" xr:uid="{593D77D2-E37D-441C-81D8-E700C0E2BE3E}"/>
    <cellStyle name="Normal 2 4 3 3 2 2 4 2 3" xfId="12302" xr:uid="{87FADBDB-B6EE-4DD3-B107-0853296F0F3A}"/>
    <cellStyle name="Normal 2 4 3 3 2 2 4 2 4" xfId="20749" xr:uid="{D4B4E102-3666-4FD0-96B1-C6A8B096F7C4}"/>
    <cellStyle name="Normal 2 4 3 3 2 2 4 3" xfId="5933" xr:uid="{00000000-0005-0000-0000-0000DE0F0000}"/>
    <cellStyle name="Normal 2 4 3 3 2 2 4 3 2" xfId="14375" xr:uid="{B5E41120-87DC-405B-AB57-676BCC0B3E7B}"/>
    <cellStyle name="Normal 2 4 3 3 2 2 4 3 3" xfId="22821" xr:uid="{C57FC4F2-D25F-4027-9EAE-AE3F610EF487}"/>
    <cellStyle name="Normal 2 4 3 3 2 2 4 4" xfId="10157" xr:uid="{E0BEB737-4772-4F90-A08E-A137E91B0640}"/>
    <cellStyle name="Normal 2 4 3 3 2 2 4 5" xfId="18602" xr:uid="{153D93F3-B3B2-4CB1-BE0F-44128950B638}"/>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534E6FD8-13A9-4EE3-807A-A77665BF79B9}"/>
    <cellStyle name="Normal 2 4 3 3 2 2 5 2 2 3" xfId="25379" xr:uid="{1E15F87B-A431-402A-87B6-8F0BD87F163A}"/>
    <cellStyle name="Normal 2 4 3 3 2 2 5 2 3" xfId="12715" xr:uid="{4F629E3D-D85C-44DD-B4C5-D85F74CE745C}"/>
    <cellStyle name="Normal 2 4 3 3 2 2 5 2 4" xfId="21162" xr:uid="{3B524E54-133F-4479-BF78-010E8B1E443C}"/>
    <cellStyle name="Normal 2 4 3 3 2 2 5 3" xfId="6346" xr:uid="{00000000-0005-0000-0000-0000E20F0000}"/>
    <cellStyle name="Normal 2 4 3 3 2 2 5 3 2" xfId="14788" xr:uid="{1DE47356-5717-4181-BB48-9F9A9898612E}"/>
    <cellStyle name="Normal 2 4 3 3 2 2 5 3 3" xfId="23234" xr:uid="{BCEDD219-865D-40C4-A653-D7A723F62D85}"/>
    <cellStyle name="Normal 2 4 3 3 2 2 5 4" xfId="10570" xr:uid="{0AE42421-FFC2-4420-A029-E180C40AC01C}"/>
    <cellStyle name="Normal 2 4 3 3 2 2 5 5" xfId="19015" xr:uid="{B921AB70-D2C4-40D8-B209-BF7E5F43971C}"/>
    <cellStyle name="Normal 2 4 3 3 2 2 6" xfId="2475" xr:uid="{00000000-0005-0000-0000-0000E30F0000}"/>
    <cellStyle name="Normal 2 4 3 3 2 2 6 2" xfId="6759" xr:uid="{00000000-0005-0000-0000-0000E40F0000}"/>
    <cellStyle name="Normal 2 4 3 3 2 2 6 2 2" xfId="15201" xr:uid="{FBB18DD9-DBAA-4269-8185-307EC38085C3}"/>
    <cellStyle name="Normal 2 4 3 3 2 2 6 2 3" xfId="23647" xr:uid="{EF82BE96-3553-4546-818E-4E774E74AD46}"/>
    <cellStyle name="Normal 2 4 3 3 2 2 6 3" xfId="10983" xr:uid="{EA6C3A5A-C1BE-4F14-B2C0-C6BA7FC06B32}"/>
    <cellStyle name="Normal 2 4 3 3 2 2 6 4" xfId="19428" xr:uid="{440109D3-2E3E-451C-AEE2-1FD71BAC67D9}"/>
    <cellStyle name="Normal 2 4 3 3 2 2 7" xfId="4693" xr:uid="{00000000-0005-0000-0000-0000E50F0000}"/>
    <cellStyle name="Normal 2 4 3 3 2 2 7 2" xfId="13135" xr:uid="{FDF83757-F7D3-4521-81A5-5C94736DCC22}"/>
    <cellStyle name="Normal 2 4 3 3 2 2 7 3" xfId="21581" xr:uid="{664B228E-CB62-4B2E-AF7F-A5B8C35888E6}"/>
    <cellStyle name="Normal 2 4 3 3 2 2 8" xfId="8917" xr:uid="{5CE5AA71-9218-467E-B776-5A26BF3DBD42}"/>
    <cellStyle name="Normal 2 4 3 3 2 2 9" xfId="17361" xr:uid="{F449D651-2AE1-4EB6-95A7-3CE7AA973519}"/>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3BEA3B42-E237-4388-9E89-F3FF8595B854}"/>
    <cellStyle name="Normal 2 4 3 3 2 3 2 2 3" xfId="24139" xr:uid="{188EE80E-9402-453D-8BB3-0970E78CDA79}"/>
    <cellStyle name="Normal 2 4 3 3 2 3 2 3" xfId="11475" xr:uid="{3EA671EB-5898-4893-9E5B-7F9C8D9FC133}"/>
    <cellStyle name="Normal 2 4 3 3 2 3 2 4" xfId="19922" xr:uid="{F7A0F8AF-0F88-469E-92D9-AD4217F4F375}"/>
    <cellStyle name="Normal 2 4 3 3 2 3 3" xfId="5106" xr:uid="{00000000-0005-0000-0000-0000E90F0000}"/>
    <cellStyle name="Normal 2 4 3 3 2 3 3 2" xfId="13548" xr:uid="{7DAF33A5-7BF9-46EB-9EF3-D01F2F685B0D}"/>
    <cellStyle name="Normal 2 4 3 3 2 3 3 3" xfId="21994" xr:uid="{524A7350-943A-4B92-9022-63EAA2FF2609}"/>
    <cellStyle name="Normal 2 4 3 3 2 3 4" xfId="9330" xr:uid="{BC42D664-01AF-4166-A8F4-E90FF83595BA}"/>
    <cellStyle name="Normal 2 4 3 3 2 3 5" xfId="17775" xr:uid="{1E4D9E0D-5A00-43C4-A1CD-8A90D69EA8EF}"/>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2571E646-DCDC-4247-B777-E34F03D072AB}"/>
    <cellStyle name="Normal 2 4 3 3 2 4 2 2 3" xfId="24552" xr:uid="{710F83C7-88FB-4138-88A2-AFFCB302A4AE}"/>
    <cellStyle name="Normal 2 4 3 3 2 4 2 3" xfId="11888" xr:uid="{023C986E-6705-4C5B-90E8-58E608605668}"/>
    <cellStyle name="Normal 2 4 3 3 2 4 2 4" xfId="20335" xr:uid="{25F446AB-FA98-47EC-A83F-BC22C8A772A8}"/>
    <cellStyle name="Normal 2 4 3 3 2 4 3" xfId="5519" xr:uid="{00000000-0005-0000-0000-0000ED0F0000}"/>
    <cellStyle name="Normal 2 4 3 3 2 4 3 2" xfId="13961" xr:uid="{155DBB3F-4CEE-4ADA-B9C0-376EBD7B2BDE}"/>
    <cellStyle name="Normal 2 4 3 3 2 4 3 3" xfId="22407" xr:uid="{33455F71-025E-4D7A-8C74-2DC016630D75}"/>
    <cellStyle name="Normal 2 4 3 3 2 4 4" xfId="9743" xr:uid="{AD723A76-F991-4517-AF6C-A1F331CDE5C6}"/>
    <cellStyle name="Normal 2 4 3 3 2 4 5" xfId="18188" xr:uid="{C0C9BBB6-DCC2-4726-9274-EE86733DA353}"/>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4D30A52D-6249-41E2-90A7-C5ABE5ED43AE}"/>
    <cellStyle name="Normal 2 4 3 3 2 5 2 2 3" xfId="24965" xr:uid="{A8D357CC-9578-4E51-AAD8-D823849F652D}"/>
    <cellStyle name="Normal 2 4 3 3 2 5 2 3" xfId="12301" xr:uid="{CB1EAC9A-2616-41BB-A088-F7BEEC490CB5}"/>
    <cellStyle name="Normal 2 4 3 3 2 5 2 4" xfId="20748" xr:uid="{09BF03F4-C447-458D-9C09-18A70BA67924}"/>
    <cellStyle name="Normal 2 4 3 3 2 5 3" xfId="5932" xr:uid="{00000000-0005-0000-0000-0000F10F0000}"/>
    <cellStyle name="Normal 2 4 3 3 2 5 3 2" xfId="14374" xr:uid="{3B7BC2F2-7E4D-4E49-9F6C-AC5201DCD036}"/>
    <cellStyle name="Normal 2 4 3 3 2 5 3 3" xfId="22820" xr:uid="{04BA883F-7FD7-4617-A338-597A4D2F1694}"/>
    <cellStyle name="Normal 2 4 3 3 2 5 4" xfId="10156" xr:uid="{74D149D4-6961-4897-8633-A267DF4D52BA}"/>
    <cellStyle name="Normal 2 4 3 3 2 5 5" xfId="18601" xr:uid="{CC95E8CF-3CD5-4D58-8AD4-BB619B312DD1}"/>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B646A8E8-10AF-48A9-A64B-9BCAF37EFB2F}"/>
    <cellStyle name="Normal 2 4 3 3 2 6 2 2 3" xfId="25378" xr:uid="{BEA3EE25-DCD4-4E4C-9549-421AA335F95C}"/>
    <cellStyle name="Normal 2 4 3 3 2 6 2 3" xfId="12714" xr:uid="{14912021-9AD8-47E2-A87E-417A324BE1EF}"/>
    <cellStyle name="Normal 2 4 3 3 2 6 2 4" xfId="21161" xr:uid="{5B357D58-F603-4083-99E4-BF9FF90B298E}"/>
    <cellStyle name="Normal 2 4 3 3 2 6 3" xfId="6345" xr:uid="{00000000-0005-0000-0000-0000F50F0000}"/>
    <cellStyle name="Normal 2 4 3 3 2 6 3 2" xfId="14787" xr:uid="{8316F415-F17E-4FB1-9DE5-0132CD8C6C1A}"/>
    <cellStyle name="Normal 2 4 3 3 2 6 3 3" xfId="23233" xr:uid="{7CBB2A84-27DF-40EF-BCC4-1DD93AA832A5}"/>
    <cellStyle name="Normal 2 4 3 3 2 6 4" xfId="10569" xr:uid="{10561ED3-DC51-4ED9-B5C8-B319ECB51D51}"/>
    <cellStyle name="Normal 2 4 3 3 2 6 5" xfId="19014" xr:uid="{413F0C3A-DF6B-41B3-BAE3-75A2175C3E5D}"/>
    <cellStyle name="Normal 2 4 3 3 2 7" xfId="2474" xr:uid="{00000000-0005-0000-0000-0000F60F0000}"/>
    <cellStyle name="Normal 2 4 3 3 2 7 2" xfId="6758" xr:uid="{00000000-0005-0000-0000-0000F70F0000}"/>
    <cellStyle name="Normal 2 4 3 3 2 7 2 2" xfId="15200" xr:uid="{CC36CE0B-ECC1-4FA3-B97B-64C42DDCD9CA}"/>
    <cellStyle name="Normal 2 4 3 3 2 7 2 3" xfId="23646" xr:uid="{4FECCAE0-E48F-4CC1-8FA6-9B8EFDE322E4}"/>
    <cellStyle name="Normal 2 4 3 3 2 7 3" xfId="10982" xr:uid="{B8C63532-EA5B-4578-9835-8443542AFD7D}"/>
    <cellStyle name="Normal 2 4 3 3 2 7 4" xfId="19427" xr:uid="{ADDF662C-08E7-4012-AD32-E27B122D3F60}"/>
    <cellStyle name="Normal 2 4 3 3 2 8" xfId="4692" xr:uid="{00000000-0005-0000-0000-0000F80F0000}"/>
    <cellStyle name="Normal 2 4 3 3 2 8 2" xfId="13134" xr:uid="{77CA16F1-DFF5-4D73-91CA-C8A84BB8A7C3}"/>
    <cellStyle name="Normal 2 4 3 3 2 8 3" xfId="21580" xr:uid="{7957D428-F702-4625-93E8-D89B12899376}"/>
    <cellStyle name="Normal 2 4 3 3 2 9" xfId="8916" xr:uid="{D7613C90-03CA-4A81-9789-5C9FB7DAD931}"/>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0EB8C22E-FD06-41B4-A5D4-CFD98DD05399}"/>
    <cellStyle name="Normal 2 4 3 3 3 2 2 2 3" xfId="24141" xr:uid="{F90D74DA-F747-4301-9723-A48CFC9D1EB7}"/>
    <cellStyle name="Normal 2 4 3 3 3 2 2 3" xfId="11477" xr:uid="{EB38C097-D4DE-493F-8101-0AEB5A11BB22}"/>
    <cellStyle name="Normal 2 4 3 3 3 2 2 4" xfId="19924" xr:uid="{B7B7A31E-86A4-4E79-89CB-517490309943}"/>
    <cellStyle name="Normal 2 4 3 3 3 2 3" xfId="5108" xr:uid="{00000000-0005-0000-0000-0000FD0F0000}"/>
    <cellStyle name="Normal 2 4 3 3 3 2 3 2" xfId="13550" xr:uid="{68F820BB-0374-4F38-A07B-D2A5BAE9EB1B}"/>
    <cellStyle name="Normal 2 4 3 3 3 2 3 3" xfId="21996" xr:uid="{EB15A65D-DC95-49D4-9F27-1EE3F1710E11}"/>
    <cellStyle name="Normal 2 4 3 3 3 2 4" xfId="9332" xr:uid="{A5F53C58-4AC8-4C47-A81B-F0509AAA9D81}"/>
    <cellStyle name="Normal 2 4 3 3 3 2 5" xfId="17777" xr:uid="{8EF12472-93BD-4AB5-96A0-D4DD1A302343}"/>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1C28F391-9786-4B24-BA59-5F0B4D955577}"/>
    <cellStyle name="Normal 2 4 3 3 3 3 2 2 3" xfId="24554" xr:uid="{5190E54D-2C9A-4046-AF7C-12975405D19A}"/>
    <cellStyle name="Normal 2 4 3 3 3 3 2 3" xfId="11890" xr:uid="{CC0A7D15-C6DA-413B-9454-0ECD094D1E7F}"/>
    <cellStyle name="Normal 2 4 3 3 3 3 2 4" xfId="20337" xr:uid="{7A6A269E-663F-4A25-90E6-3CB2775391BF}"/>
    <cellStyle name="Normal 2 4 3 3 3 3 3" xfId="5521" xr:uid="{00000000-0005-0000-0000-000001100000}"/>
    <cellStyle name="Normal 2 4 3 3 3 3 3 2" xfId="13963" xr:uid="{5AA1AB44-18CF-4528-A361-19A482740DFA}"/>
    <cellStyle name="Normal 2 4 3 3 3 3 3 3" xfId="22409" xr:uid="{E483CCAB-5342-43AF-A521-7129980FD77D}"/>
    <cellStyle name="Normal 2 4 3 3 3 3 4" xfId="9745" xr:uid="{BBDF5666-850F-467D-ADD0-79CDC267DD22}"/>
    <cellStyle name="Normal 2 4 3 3 3 3 5" xfId="18190" xr:uid="{019C01D7-9175-497F-BFEE-A1A4B29BC107}"/>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E99A858F-194C-48BA-8D71-2055CA41C73A}"/>
    <cellStyle name="Normal 2 4 3 3 3 4 2 2 3" xfId="24967" xr:uid="{B8F8FC2C-FFBC-4B78-8F95-5EB13FFBB5F0}"/>
    <cellStyle name="Normal 2 4 3 3 3 4 2 3" xfId="12303" xr:uid="{BB4BA3EF-9ADD-4A16-8184-3E09FD432A97}"/>
    <cellStyle name="Normal 2 4 3 3 3 4 2 4" xfId="20750" xr:uid="{F65BE235-7473-4EE8-996B-83513E2E5850}"/>
    <cellStyle name="Normal 2 4 3 3 3 4 3" xfId="5934" xr:uid="{00000000-0005-0000-0000-000005100000}"/>
    <cellStyle name="Normal 2 4 3 3 3 4 3 2" xfId="14376" xr:uid="{A27FD141-6996-4717-BB98-511D228E9F16}"/>
    <cellStyle name="Normal 2 4 3 3 3 4 3 3" xfId="22822" xr:uid="{7F40D851-6916-4723-81C1-3E69CF93F375}"/>
    <cellStyle name="Normal 2 4 3 3 3 4 4" xfId="10158" xr:uid="{36F1F2D7-32D1-41B1-881D-54A87A0E5474}"/>
    <cellStyle name="Normal 2 4 3 3 3 4 5" xfId="18603" xr:uid="{67363ED9-A5A0-4276-96D0-7CCFB4F086B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ECA7EF58-8D95-4DD1-922B-F7F6705D7209}"/>
    <cellStyle name="Normal 2 4 3 3 3 5 2 2 3" xfId="25380" xr:uid="{D254DC56-CB42-4437-9AA7-6C0089F94BBD}"/>
    <cellStyle name="Normal 2 4 3 3 3 5 2 3" xfId="12716" xr:uid="{4A618AB5-8608-4D54-8FC5-0CE5B3940545}"/>
    <cellStyle name="Normal 2 4 3 3 3 5 2 4" xfId="21163" xr:uid="{C11E005F-2DDF-4162-841B-EADD8AF31E34}"/>
    <cellStyle name="Normal 2 4 3 3 3 5 3" xfId="6347" xr:uid="{00000000-0005-0000-0000-000009100000}"/>
    <cellStyle name="Normal 2 4 3 3 3 5 3 2" xfId="14789" xr:uid="{B59FBC95-332F-46D2-97CE-1FEA50C74614}"/>
    <cellStyle name="Normal 2 4 3 3 3 5 3 3" xfId="23235" xr:uid="{0EC3BB38-3792-413A-866C-C406F0D82E05}"/>
    <cellStyle name="Normal 2 4 3 3 3 5 4" xfId="10571" xr:uid="{B7ECF22F-4FEB-46D1-BDDE-9043361FD776}"/>
    <cellStyle name="Normal 2 4 3 3 3 5 5" xfId="19016" xr:uid="{8146B9D0-753B-4D1A-B688-C9CBE12A99DA}"/>
    <cellStyle name="Normal 2 4 3 3 3 6" xfId="2476" xr:uid="{00000000-0005-0000-0000-00000A100000}"/>
    <cellStyle name="Normal 2 4 3 3 3 6 2" xfId="6760" xr:uid="{00000000-0005-0000-0000-00000B100000}"/>
    <cellStyle name="Normal 2 4 3 3 3 6 2 2" xfId="15202" xr:uid="{79BECA53-D00D-4034-AA34-CED505D48E80}"/>
    <cellStyle name="Normal 2 4 3 3 3 6 2 3" xfId="23648" xr:uid="{7F51E8B8-B3D8-4484-9761-99C5390354C9}"/>
    <cellStyle name="Normal 2 4 3 3 3 6 3" xfId="10984" xr:uid="{A999D942-8C79-4125-9596-B2AE7E76AF2F}"/>
    <cellStyle name="Normal 2 4 3 3 3 6 4" xfId="19429" xr:uid="{7A2B555A-3D77-410F-B81E-7E023575DC0B}"/>
    <cellStyle name="Normal 2 4 3 3 3 7" xfId="4694" xr:uid="{00000000-0005-0000-0000-00000C100000}"/>
    <cellStyle name="Normal 2 4 3 3 3 7 2" xfId="13136" xr:uid="{DEBD0A0E-80F0-4233-B161-35AE5B407F3D}"/>
    <cellStyle name="Normal 2 4 3 3 3 7 3" xfId="21582" xr:uid="{86711959-3549-4B8D-878B-FE8C1E002EC7}"/>
    <cellStyle name="Normal 2 4 3 3 3 8" xfId="8918" xr:uid="{4AA4142D-DC76-417E-86FF-19BB2697E4B5}"/>
    <cellStyle name="Normal 2 4 3 3 3 9" xfId="17362" xr:uid="{44FC3339-0CC7-429C-B06B-6FDC07D25F4B}"/>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80152814-59EE-4647-B081-10CBA4E3FE3A}"/>
    <cellStyle name="Normal 2 4 3 3 4 2 2 3" xfId="24138" xr:uid="{BE153375-AAAB-4DF2-A367-FF2AEA0336C1}"/>
    <cellStyle name="Normal 2 4 3 3 4 2 3" xfId="11474" xr:uid="{F566A3D0-C16E-49F1-A35C-265716D21E07}"/>
    <cellStyle name="Normal 2 4 3 3 4 2 4" xfId="19921" xr:uid="{D62B3EB1-4B85-4FE1-AD4C-2C8654C433B3}"/>
    <cellStyle name="Normal 2 4 3 3 4 3" xfId="5105" xr:uid="{00000000-0005-0000-0000-000010100000}"/>
    <cellStyle name="Normal 2 4 3 3 4 3 2" xfId="13547" xr:uid="{6C3D6048-77CA-4EBE-92F3-AAE3FE56F864}"/>
    <cellStyle name="Normal 2 4 3 3 4 3 3" xfId="21993" xr:uid="{AAE23865-8F13-4AB1-8CD3-B064B2855B66}"/>
    <cellStyle name="Normal 2 4 3 3 4 4" xfId="9329" xr:uid="{93195EE4-ACA5-443D-A274-BD3EAAD3483D}"/>
    <cellStyle name="Normal 2 4 3 3 4 5" xfId="17774" xr:uid="{6F62F83F-A97A-4D09-9E43-C9ED5E4C4444}"/>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23968D21-DDBB-4032-9089-3A61DA64A803}"/>
    <cellStyle name="Normal 2 4 3 3 5 2 2 3" xfId="24551" xr:uid="{B7307C6B-7C1A-4636-BA3D-6CB43CBD34DE}"/>
    <cellStyle name="Normal 2 4 3 3 5 2 3" xfId="11887" xr:uid="{EA69AA1D-6495-44F2-9002-5E96587E8126}"/>
    <cellStyle name="Normal 2 4 3 3 5 2 4" xfId="20334" xr:uid="{09CC3C3A-A642-47F4-968B-AD348BC6D9CE}"/>
    <cellStyle name="Normal 2 4 3 3 5 3" xfId="5518" xr:uid="{00000000-0005-0000-0000-000014100000}"/>
    <cellStyle name="Normal 2 4 3 3 5 3 2" xfId="13960" xr:uid="{21708B56-712F-4EAC-AFD8-46C77B633104}"/>
    <cellStyle name="Normal 2 4 3 3 5 3 3" xfId="22406" xr:uid="{F7E70A1B-E37C-4EDA-BDDE-1B1AE68FA766}"/>
    <cellStyle name="Normal 2 4 3 3 5 4" xfId="9742" xr:uid="{8E0D47C5-BE9D-4027-A11D-1BB4EFCF04B3}"/>
    <cellStyle name="Normal 2 4 3 3 5 5" xfId="18187" xr:uid="{5C3972CF-FB65-492F-8B92-7260646DE80E}"/>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3446E6E4-5CFC-4351-897F-43BBFAB675B7}"/>
    <cellStyle name="Normal 2 4 3 3 6 2 2 3" xfId="24964" xr:uid="{E6383B57-6C0A-40D6-AEC9-72056DFCF09B}"/>
    <cellStyle name="Normal 2 4 3 3 6 2 3" xfId="12300" xr:uid="{C6D8DA46-73F0-4BDD-BFA9-8E3471345765}"/>
    <cellStyle name="Normal 2 4 3 3 6 2 4" xfId="20747" xr:uid="{0A0F740D-336D-4875-8090-B29BA492A8E5}"/>
    <cellStyle name="Normal 2 4 3 3 6 3" xfId="5931" xr:uid="{00000000-0005-0000-0000-000018100000}"/>
    <cellStyle name="Normal 2 4 3 3 6 3 2" xfId="14373" xr:uid="{4F21470F-7C8A-468A-A895-343234DE880B}"/>
    <cellStyle name="Normal 2 4 3 3 6 3 3" xfId="22819" xr:uid="{5798C512-2C8D-4CC0-B134-53A5AE1A7501}"/>
    <cellStyle name="Normal 2 4 3 3 6 4" xfId="10155" xr:uid="{EB8133B0-F7A1-45AC-BA15-BE557A48C5F2}"/>
    <cellStyle name="Normal 2 4 3 3 6 5" xfId="18600" xr:uid="{6E32CA45-3B14-4337-A993-178B3824FFC5}"/>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81CD8742-1E43-4A40-AE95-5544DC5646CB}"/>
    <cellStyle name="Normal 2 4 3 3 7 2 2 3" xfId="25377" xr:uid="{88706F0E-CBD8-4D49-ADDA-18D89DF1A9A3}"/>
    <cellStyle name="Normal 2 4 3 3 7 2 3" xfId="12713" xr:uid="{AB0B4BAD-EEA5-4C02-8CB4-73EFCB8A00AA}"/>
    <cellStyle name="Normal 2 4 3 3 7 2 4" xfId="21160" xr:uid="{76EA6FCA-A9C5-49B4-86B7-999B14891AA9}"/>
    <cellStyle name="Normal 2 4 3 3 7 3" xfId="6344" xr:uid="{00000000-0005-0000-0000-00001C100000}"/>
    <cellStyle name="Normal 2 4 3 3 7 3 2" xfId="14786" xr:uid="{9EEADFC4-90E4-4607-9E7F-867B381C77CE}"/>
    <cellStyle name="Normal 2 4 3 3 7 3 3" xfId="23232" xr:uid="{F5A42227-994C-4306-9BD4-45C6A808DB43}"/>
    <cellStyle name="Normal 2 4 3 3 7 4" xfId="10568" xr:uid="{347B14A2-6533-41A2-9403-195DE889CE5E}"/>
    <cellStyle name="Normal 2 4 3 3 7 5" xfId="19013" xr:uid="{F0D194B5-1304-4E9C-901D-406846DA20B6}"/>
    <cellStyle name="Normal 2 4 3 3 8" xfId="2473" xr:uid="{00000000-0005-0000-0000-00001D100000}"/>
    <cellStyle name="Normal 2 4 3 3 8 2" xfId="6757" xr:uid="{00000000-0005-0000-0000-00001E100000}"/>
    <cellStyle name="Normal 2 4 3 3 8 2 2" xfId="15199" xr:uid="{A433C50D-44D6-4047-8012-6A2F5636AD12}"/>
    <cellStyle name="Normal 2 4 3 3 8 2 3" xfId="23645" xr:uid="{24253D6D-0A0D-4578-B594-D0FC74FB9FF5}"/>
    <cellStyle name="Normal 2 4 3 3 8 3" xfId="10981" xr:uid="{CFF21957-D237-41D7-AAA6-9FF0CB1390EE}"/>
    <cellStyle name="Normal 2 4 3 3 8 4" xfId="19426" xr:uid="{6D2F8CAB-471A-43A7-BCAD-DFF1C55B3059}"/>
    <cellStyle name="Normal 2 4 3 3 9" xfId="4691" xr:uid="{00000000-0005-0000-0000-00001F100000}"/>
    <cellStyle name="Normal 2 4 3 3 9 2" xfId="13133" xr:uid="{204668FD-5825-4FB2-9B6B-1653E7B8CF08}"/>
    <cellStyle name="Normal 2 4 3 3 9 3" xfId="21579" xr:uid="{3D837C34-8628-4CB8-8E4A-DC042604F5D1}"/>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DDD028FF-FCC9-47E8-B758-99394CD59EF3}"/>
    <cellStyle name="Normal 2 4 3 4 2 2 3" xfId="24137" xr:uid="{6B4131A7-C0EC-4772-B56E-5DF9DA01FAFD}"/>
    <cellStyle name="Normal 2 4 3 4 2 3" xfId="11473" xr:uid="{BFDB5B2C-7B02-482C-89A0-F02402D9540B}"/>
    <cellStyle name="Normal 2 4 3 4 2 4" xfId="19920" xr:uid="{7179D678-22C5-4C52-AE8B-72CCCCA5B7BF}"/>
    <cellStyle name="Normal 2 4 3 4 3" xfId="5104" xr:uid="{00000000-0005-0000-0000-000023100000}"/>
    <cellStyle name="Normal 2 4 3 4 3 2" xfId="13546" xr:uid="{C4CDAFA0-841B-4FCF-BBCD-CA5A92551A7F}"/>
    <cellStyle name="Normal 2 4 3 4 3 3" xfId="21992" xr:uid="{D0B054BC-BDFD-4881-8D3B-80C3623DB806}"/>
    <cellStyle name="Normal 2 4 3 4 4" xfId="9328" xr:uid="{C35AB23F-78A2-43E9-8A45-739DDDCFF974}"/>
    <cellStyle name="Normal 2 4 3 4 5" xfId="17773" xr:uid="{7A1A9B6D-6835-4061-BD16-790EF3E6F3AB}"/>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35617009-70BA-4026-A4E7-0C7F8B119F1F}"/>
    <cellStyle name="Normal 2 4 3 5 2 2 3" xfId="24550" xr:uid="{4B2A5715-0D0E-4DF7-B4BF-A5392C6C5C35}"/>
    <cellStyle name="Normal 2 4 3 5 2 3" xfId="11886" xr:uid="{58D85F23-E8ED-4694-A8D6-0E289212D427}"/>
    <cellStyle name="Normal 2 4 3 5 2 4" xfId="20333" xr:uid="{1057E1A9-8BF3-49CD-8ABE-7FC15B8C2645}"/>
    <cellStyle name="Normal 2 4 3 5 3" xfId="5517" xr:uid="{00000000-0005-0000-0000-000027100000}"/>
    <cellStyle name="Normal 2 4 3 5 3 2" xfId="13959" xr:uid="{E6256F6B-2FF5-4E96-AAD9-05440004E1BE}"/>
    <cellStyle name="Normal 2 4 3 5 3 3" xfId="22405" xr:uid="{A39C42E6-2B1C-4DBC-8E77-49E04AF0661D}"/>
    <cellStyle name="Normal 2 4 3 5 4" xfId="9741" xr:uid="{D28F14D9-004C-4A9D-A720-B5A20DD0AAD5}"/>
    <cellStyle name="Normal 2 4 3 5 5" xfId="18186" xr:uid="{0BBCED8F-C4EB-4687-AE2E-67292AFB359B}"/>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94052270-60A3-477A-9B0C-4B4DAF53131A}"/>
    <cellStyle name="Normal 2 4 3 6 2 2 3" xfId="24963" xr:uid="{CDB89FC3-BA21-4B6B-A87E-9B8791B02EDF}"/>
    <cellStyle name="Normal 2 4 3 6 2 3" xfId="12299" xr:uid="{21CC5C11-7C7C-4B59-A22C-C2BEC2137B7C}"/>
    <cellStyle name="Normal 2 4 3 6 2 4" xfId="20746" xr:uid="{5B5FC5D5-EB66-43B0-B3AF-08D3A13F0AF1}"/>
    <cellStyle name="Normal 2 4 3 6 3" xfId="5930" xr:uid="{00000000-0005-0000-0000-00002B100000}"/>
    <cellStyle name="Normal 2 4 3 6 3 2" xfId="14372" xr:uid="{EAA31864-7B56-49EF-8DF2-F61744694EBE}"/>
    <cellStyle name="Normal 2 4 3 6 3 3" xfId="22818" xr:uid="{3CFF5249-D4B4-4625-8705-32306208F81C}"/>
    <cellStyle name="Normal 2 4 3 6 4" xfId="10154" xr:uid="{ECAD5EBD-44F1-45F4-863F-5E9D652018EE}"/>
    <cellStyle name="Normal 2 4 3 6 5" xfId="18599" xr:uid="{A8926916-4522-45AD-9795-E161C35A0881}"/>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D51A0C63-1ECC-45B6-BAA3-CB24CEA92F1B}"/>
    <cellStyle name="Normal 2 4 3 7 2 2 3" xfId="25376" xr:uid="{D58A515D-541B-454A-921C-1F8B29CBA36C}"/>
    <cellStyle name="Normal 2 4 3 7 2 3" xfId="12712" xr:uid="{E735C0E3-083B-4ED2-B103-CE9A9C25CC7E}"/>
    <cellStyle name="Normal 2 4 3 7 2 4" xfId="21159" xr:uid="{F78B68A3-65A7-4BDE-85F2-101A79424040}"/>
    <cellStyle name="Normal 2 4 3 7 3" xfId="6343" xr:uid="{00000000-0005-0000-0000-00002F100000}"/>
    <cellStyle name="Normal 2 4 3 7 3 2" xfId="14785" xr:uid="{47218E41-5402-4B8B-A854-AF4871B98E75}"/>
    <cellStyle name="Normal 2 4 3 7 3 3" xfId="23231" xr:uid="{1EBBA615-FA7C-4314-9523-A6E8FE1CD28C}"/>
    <cellStyle name="Normal 2 4 3 7 4" xfId="10567" xr:uid="{1FA58076-5AD4-4D28-B961-38C9A6E58F21}"/>
    <cellStyle name="Normal 2 4 3 7 5" xfId="19012" xr:uid="{8FB874C9-ADD8-4B2B-8C02-2857E00A11D1}"/>
    <cellStyle name="Normal 2 4 3 8" xfId="2472" xr:uid="{00000000-0005-0000-0000-000030100000}"/>
    <cellStyle name="Normal 2 4 3 8 2" xfId="6756" xr:uid="{00000000-0005-0000-0000-000031100000}"/>
    <cellStyle name="Normal 2 4 3 8 2 2" xfId="15198" xr:uid="{95AE81F2-3E46-4803-84DD-CABAC7D3B0B8}"/>
    <cellStyle name="Normal 2 4 3 8 2 3" xfId="23644" xr:uid="{0A1596E0-7855-4228-BFE9-569EA6B72716}"/>
    <cellStyle name="Normal 2 4 3 8 3" xfId="10980" xr:uid="{52CF1AEF-F8D1-47B9-8B55-B200A5CD1E8E}"/>
    <cellStyle name="Normal 2 4 3 8 4" xfId="19425" xr:uid="{2AE744D2-9777-4EF2-ADCC-B44448D4DE98}"/>
    <cellStyle name="Normal 2 4 3 9" xfId="4690" xr:uid="{00000000-0005-0000-0000-000032100000}"/>
    <cellStyle name="Normal 2 4 3 9 2" xfId="13132" xr:uid="{0FC3ACB0-82A5-4159-A1D6-2FEB98864E84}"/>
    <cellStyle name="Normal 2 4 3 9 3" xfId="21578" xr:uid="{E14A38D1-F598-4C7A-B6F2-5A13BF091081}"/>
    <cellStyle name="Normal 2 4 4" xfId="302" xr:uid="{00000000-0005-0000-0000-000033100000}"/>
    <cellStyle name="Normal 2 4 5" xfId="303" xr:uid="{00000000-0005-0000-0000-000034100000}"/>
    <cellStyle name="Normal 2 4 5 10" xfId="4695" xr:uid="{00000000-0005-0000-0000-000035100000}"/>
    <cellStyle name="Normal 2 4 5 10 2" xfId="13137" xr:uid="{5579322F-13F0-46FF-8B9E-59BDF211EDFF}"/>
    <cellStyle name="Normal 2 4 5 10 3" xfId="21583" xr:uid="{4239966C-F7B1-4514-B4A5-E1FC2879EBF6}"/>
    <cellStyle name="Normal 2 4 5 11" xfId="8919" xr:uid="{8C1E7D77-9AAC-482A-96BF-5FC16377CD10}"/>
    <cellStyle name="Normal 2 4 5 12" xfId="17363" xr:uid="{2F00C464-65FA-4AFE-9736-2EE9F82E2713}"/>
    <cellStyle name="Normal 2 4 5 2" xfId="304" xr:uid="{00000000-0005-0000-0000-000036100000}"/>
    <cellStyle name="Normal 2 4 5 2 10" xfId="8920" xr:uid="{2FAFECE4-A4EC-42B5-B7F4-E1C8A18A41DD}"/>
    <cellStyle name="Normal 2 4 5 2 11" xfId="17364" xr:uid="{749641FC-0915-4758-992B-0582AFF32F87}"/>
    <cellStyle name="Normal 2 4 5 2 2" xfId="305" xr:uid="{00000000-0005-0000-0000-000037100000}"/>
    <cellStyle name="Normal 2 4 5 2 2 10" xfId="17365" xr:uid="{C7A8BC57-CFD3-4286-83BA-5293272C1874}"/>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161018C9-0DCF-4235-B5BD-7E604062F0DD}"/>
    <cellStyle name="Normal 2 4 5 2 2 2 2 2 2 3" xfId="24145" xr:uid="{F77897E8-B087-4373-9FE0-8BD3B5B8553C}"/>
    <cellStyle name="Normal 2 4 5 2 2 2 2 2 3" xfId="11481" xr:uid="{810CD53A-1874-4EC1-82FD-0C574E75081D}"/>
    <cellStyle name="Normal 2 4 5 2 2 2 2 2 4" xfId="19928" xr:uid="{73088EB0-7D31-4977-B184-ECB1D003FEC4}"/>
    <cellStyle name="Normal 2 4 5 2 2 2 2 3" xfId="5112" xr:uid="{00000000-0005-0000-0000-00003C100000}"/>
    <cellStyle name="Normal 2 4 5 2 2 2 2 3 2" xfId="13554" xr:uid="{9BE6E2A3-2729-4574-8DE6-68A2BC8E98AA}"/>
    <cellStyle name="Normal 2 4 5 2 2 2 2 3 3" xfId="22000" xr:uid="{153B0315-AFCD-4B6D-8B73-9355CA58C413}"/>
    <cellStyle name="Normal 2 4 5 2 2 2 2 4" xfId="9336" xr:uid="{314AB66F-C93C-40E0-9A36-15FC9DF97F71}"/>
    <cellStyle name="Normal 2 4 5 2 2 2 2 5" xfId="17781" xr:uid="{71858365-8864-42D6-834E-145212897478}"/>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045B7BCE-CC76-49BA-A9C8-ED7E168236BD}"/>
    <cellStyle name="Normal 2 4 5 2 2 2 3 2 2 3" xfId="24558" xr:uid="{D9C1D91B-EE6F-4BD4-8055-32B0A0BC00FA}"/>
    <cellStyle name="Normal 2 4 5 2 2 2 3 2 3" xfId="11894" xr:uid="{046A1A88-4C44-4D7A-8192-65A2BA4CF796}"/>
    <cellStyle name="Normal 2 4 5 2 2 2 3 2 4" xfId="20341" xr:uid="{C9569884-878B-488B-A232-AE8ED23AAA38}"/>
    <cellStyle name="Normal 2 4 5 2 2 2 3 3" xfId="5525" xr:uid="{00000000-0005-0000-0000-000040100000}"/>
    <cellStyle name="Normal 2 4 5 2 2 2 3 3 2" xfId="13967" xr:uid="{ED85D599-5359-4FE6-ABA5-0F3A8AE9A053}"/>
    <cellStyle name="Normal 2 4 5 2 2 2 3 3 3" xfId="22413" xr:uid="{6D5B60CC-6FB0-4396-AB65-3442FED5784E}"/>
    <cellStyle name="Normal 2 4 5 2 2 2 3 4" xfId="9749" xr:uid="{F5232192-4EB1-4B29-8FDB-89076CD6C526}"/>
    <cellStyle name="Normal 2 4 5 2 2 2 3 5" xfId="18194" xr:uid="{47AA158D-FAED-4533-A525-B496A7FD7C1A}"/>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215ECBD6-B22D-4651-84CF-93F99E4E3B1A}"/>
    <cellStyle name="Normal 2 4 5 2 2 2 4 2 2 3" xfId="24971" xr:uid="{AF03A09C-F8B3-4109-8F72-E670ABAA13DC}"/>
    <cellStyle name="Normal 2 4 5 2 2 2 4 2 3" xfId="12307" xr:uid="{ECD62B2D-EF47-47F9-8DF9-8B01388C1A6A}"/>
    <cellStyle name="Normal 2 4 5 2 2 2 4 2 4" xfId="20754" xr:uid="{B20ED584-2AFA-41D4-BB54-5D2D1314BCED}"/>
    <cellStyle name="Normal 2 4 5 2 2 2 4 3" xfId="5938" xr:uid="{00000000-0005-0000-0000-000044100000}"/>
    <cellStyle name="Normal 2 4 5 2 2 2 4 3 2" xfId="14380" xr:uid="{AF76F08B-30F1-418A-B3F6-85FABFB508E2}"/>
    <cellStyle name="Normal 2 4 5 2 2 2 4 3 3" xfId="22826" xr:uid="{D00A34B7-3539-4AE0-B4D0-0266DF95DE82}"/>
    <cellStyle name="Normal 2 4 5 2 2 2 4 4" xfId="10162" xr:uid="{C407F7CA-C19C-48BB-8CCC-E6414DC5C5D8}"/>
    <cellStyle name="Normal 2 4 5 2 2 2 4 5" xfId="18607" xr:uid="{18F0ABB3-CEC3-49A8-82F3-C1EA697500BC}"/>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4E0E6997-E48F-4DDC-8B33-C8E30D68F415}"/>
    <cellStyle name="Normal 2 4 5 2 2 2 5 2 2 3" xfId="25384" xr:uid="{F140359A-C291-4444-A941-EAEBADAF5166}"/>
    <cellStyle name="Normal 2 4 5 2 2 2 5 2 3" xfId="12720" xr:uid="{90A3F5F0-EEB2-410E-914D-DA4850B01BFE}"/>
    <cellStyle name="Normal 2 4 5 2 2 2 5 2 4" xfId="21167" xr:uid="{7B5123BA-39FF-4230-891B-4206802E234B}"/>
    <cellStyle name="Normal 2 4 5 2 2 2 5 3" xfId="6351" xr:uid="{00000000-0005-0000-0000-000048100000}"/>
    <cellStyle name="Normal 2 4 5 2 2 2 5 3 2" xfId="14793" xr:uid="{45ABE016-1E7E-4573-AD2E-C7916926E7FC}"/>
    <cellStyle name="Normal 2 4 5 2 2 2 5 3 3" xfId="23239" xr:uid="{61F695F2-7206-43D7-B19C-F448225B8F1C}"/>
    <cellStyle name="Normal 2 4 5 2 2 2 5 4" xfId="10575" xr:uid="{569B738B-5F9A-4DB5-8726-1EE0CA5696E7}"/>
    <cellStyle name="Normal 2 4 5 2 2 2 5 5" xfId="19020" xr:uid="{A96633E0-D927-4F5C-8300-C5A1C9A0EB59}"/>
    <cellStyle name="Normal 2 4 5 2 2 2 6" xfId="2480" xr:uid="{00000000-0005-0000-0000-000049100000}"/>
    <cellStyle name="Normal 2 4 5 2 2 2 6 2" xfId="6764" xr:uid="{00000000-0005-0000-0000-00004A100000}"/>
    <cellStyle name="Normal 2 4 5 2 2 2 6 2 2" xfId="15206" xr:uid="{741683B7-BD9B-47D2-9160-B00C519850D9}"/>
    <cellStyle name="Normal 2 4 5 2 2 2 6 2 3" xfId="23652" xr:uid="{6F2DE9A0-9B93-4FC7-BD55-2AC7A11E7927}"/>
    <cellStyle name="Normal 2 4 5 2 2 2 6 3" xfId="10988" xr:uid="{8D325AB5-73A0-4239-BA78-870DD30823FC}"/>
    <cellStyle name="Normal 2 4 5 2 2 2 6 4" xfId="19433" xr:uid="{26997DD9-A70F-4423-8A70-A592FCC47C64}"/>
    <cellStyle name="Normal 2 4 5 2 2 2 7" xfId="4698" xr:uid="{00000000-0005-0000-0000-00004B100000}"/>
    <cellStyle name="Normal 2 4 5 2 2 2 7 2" xfId="13140" xr:uid="{9B060333-994C-48D9-8C14-DB175FB86E97}"/>
    <cellStyle name="Normal 2 4 5 2 2 2 7 3" xfId="21586" xr:uid="{EB0C542C-1A0D-46F8-BCCC-84C70D6F827A}"/>
    <cellStyle name="Normal 2 4 5 2 2 2 8" xfId="8922" xr:uid="{9F22D777-B59D-4CBC-A8D7-7F5A2BE62EE8}"/>
    <cellStyle name="Normal 2 4 5 2 2 2 9" xfId="17366" xr:uid="{77217461-2E07-4D64-89A5-42BBC9FB3D25}"/>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147445B9-AF4A-49B1-8CC1-77B444492D51}"/>
    <cellStyle name="Normal 2 4 5 2 2 3 2 2 3" xfId="24144" xr:uid="{35FEB7C4-CFB4-407B-9659-5FD79DF4CDF1}"/>
    <cellStyle name="Normal 2 4 5 2 2 3 2 3" xfId="11480" xr:uid="{63DA43DF-192E-4104-94B8-B1C5993D0F43}"/>
    <cellStyle name="Normal 2 4 5 2 2 3 2 4" xfId="19927" xr:uid="{A5EA5EED-5E96-45E3-8A7F-C0D4117021E0}"/>
    <cellStyle name="Normal 2 4 5 2 2 3 3" xfId="5111" xr:uid="{00000000-0005-0000-0000-00004F100000}"/>
    <cellStyle name="Normal 2 4 5 2 2 3 3 2" xfId="13553" xr:uid="{FFA9F46C-32DA-4052-823D-CCBC91C0C6A3}"/>
    <cellStyle name="Normal 2 4 5 2 2 3 3 3" xfId="21999" xr:uid="{276D743C-9789-4144-B741-C26EC614BFB3}"/>
    <cellStyle name="Normal 2 4 5 2 2 3 4" xfId="9335" xr:uid="{D2BCE678-FFB8-4849-B34E-396C0176A015}"/>
    <cellStyle name="Normal 2 4 5 2 2 3 5" xfId="17780" xr:uid="{CDB3E5CC-DEA4-41EB-BB8D-CEF17E012069}"/>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DE6AE83D-7442-43EE-8195-C90EE298663A}"/>
    <cellStyle name="Normal 2 4 5 2 2 4 2 2 3" xfId="24557" xr:uid="{774C4D6F-9022-4571-B429-0C470D699277}"/>
    <cellStyle name="Normal 2 4 5 2 2 4 2 3" xfId="11893" xr:uid="{FDBB2A70-BB51-4225-9D12-0CB79B98E4E9}"/>
    <cellStyle name="Normal 2 4 5 2 2 4 2 4" xfId="20340" xr:uid="{6BFECEC1-B73F-4B1D-81D1-39955DF10AA2}"/>
    <cellStyle name="Normal 2 4 5 2 2 4 3" xfId="5524" xr:uid="{00000000-0005-0000-0000-000053100000}"/>
    <cellStyle name="Normal 2 4 5 2 2 4 3 2" xfId="13966" xr:uid="{D76DC169-4855-4980-8405-D4AC005BCB97}"/>
    <cellStyle name="Normal 2 4 5 2 2 4 3 3" xfId="22412" xr:uid="{DC38CD73-9DA1-4860-BC1D-FDC616C89024}"/>
    <cellStyle name="Normal 2 4 5 2 2 4 4" xfId="9748" xr:uid="{8EAFEBFB-A58C-491E-9152-DFE8D1588E8A}"/>
    <cellStyle name="Normal 2 4 5 2 2 4 5" xfId="18193" xr:uid="{0E7EBF87-3C40-4F04-90CB-B6CD582E24A2}"/>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C70BEAD9-A8DA-406C-8BB2-1231A2753444}"/>
    <cellStyle name="Normal 2 4 5 2 2 5 2 2 3" xfId="24970" xr:uid="{B0A7EBE0-B3C1-487A-A7F8-A69170C79728}"/>
    <cellStyle name="Normal 2 4 5 2 2 5 2 3" xfId="12306" xr:uid="{CFF52F2B-FF11-4CED-8D44-933A22B5518F}"/>
    <cellStyle name="Normal 2 4 5 2 2 5 2 4" xfId="20753" xr:uid="{699015FD-8A79-472F-9E3B-5A65588019E0}"/>
    <cellStyle name="Normal 2 4 5 2 2 5 3" xfId="5937" xr:uid="{00000000-0005-0000-0000-000057100000}"/>
    <cellStyle name="Normal 2 4 5 2 2 5 3 2" xfId="14379" xr:uid="{904E5DEE-435E-47CE-9561-B97EB1BB4A53}"/>
    <cellStyle name="Normal 2 4 5 2 2 5 3 3" xfId="22825" xr:uid="{95E315FA-A1BF-4289-BA41-3C322B7A2E2B}"/>
    <cellStyle name="Normal 2 4 5 2 2 5 4" xfId="10161" xr:uid="{D4E02B3F-A4A4-476C-8225-300FF4B2F20F}"/>
    <cellStyle name="Normal 2 4 5 2 2 5 5" xfId="18606" xr:uid="{347FBDC3-C335-4634-A2CF-15430C88930C}"/>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BBEF06A4-F752-4D16-8510-109643580A53}"/>
    <cellStyle name="Normal 2 4 5 2 2 6 2 2 3" xfId="25383" xr:uid="{A8C89791-3764-4F4C-BA94-9340241E603C}"/>
    <cellStyle name="Normal 2 4 5 2 2 6 2 3" xfId="12719" xr:uid="{E12835A2-0F4D-424F-B1D7-92B3C00D2084}"/>
    <cellStyle name="Normal 2 4 5 2 2 6 2 4" xfId="21166" xr:uid="{27F7353B-F675-4335-99AD-3EDB8F3313AD}"/>
    <cellStyle name="Normal 2 4 5 2 2 6 3" xfId="6350" xr:uid="{00000000-0005-0000-0000-00005B100000}"/>
    <cellStyle name="Normal 2 4 5 2 2 6 3 2" xfId="14792" xr:uid="{93610D3F-C6AE-4C9B-8FFF-FAF91503948C}"/>
    <cellStyle name="Normal 2 4 5 2 2 6 3 3" xfId="23238" xr:uid="{42516FD0-5ED2-4EFD-B388-89168564EA7D}"/>
    <cellStyle name="Normal 2 4 5 2 2 6 4" xfId="10574" xr:uid="{9BBE8C19-20A0-4730-9F85-684A510B984F}"/>
    <cellStyle name="Normal 2 4 5 2 2 6 5" xfId="19019" xr:uid="{C4BBBDA2-694D-4D8A-B507-9329B2BC186D}"/>
    <cellStyle name="Normal 2 4 5 2 2 7" xfId="2479" xr:uid="{00000000-0005-0000-0000-00005C100000}"/>
    <cellStyle name="Normal 2 4 5 2 2 7 2" xfId="6763" xr:uid="{00000000-0005-0000-0000-00005D100000}"/>
    <cellStyle name="Normal 2 4 5 2 2 7 2 2" xfId="15205" xr:uid="{6443D1AE-73FA-47DD-8E01-3FE866A82E9B}"/>
    <cellStyle name="Normal 2 4 5 2 2 7 2 3" xfId="23651" xr:uid="{6211696D-E537-40B7-B1D8-F75A96DC4014}"/>
    <cellStyle name="Normal 2 4 5 2 2 7 3" xfId="10987" xr:uid="{4128B211-71F7-404E-B8C1-94B3CA50821E}"/>
    <cellStyle name="Normal 2 4 5 2 2 7 4" xfId="19432" xr:uid="{BB14DB64-99BD-4753-8A0C-99A891F7C313}"/>
    <cellStyle name="Normal 2 4 5 2 2 8" xfId="4697" xr:uid="{00000000-0005-0000-0000-00005E100000}"/>
    <cellStyle name="Normal 2 4 5 2 2 8 2" xfId="13139" xr:uid="{56930E8D-7438-46A5-A173-851F4708C0C2}"/>
    <cellStyle name="Normal 2 4 5 2 2 8 3" xfId="21585" xr:uid="{E1D4E94D-083B-47EA-90CC-6D5866401736}"/>
    <cellStyle name="Normal 2 4 5 2 2 9" xfId="8921" xr:uid="{00458D9E-5323-4FF9-97D1-FC2F4F0A29A9}"/>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8E77973C-C597-4BF8-883E-1C4E3F08B179}"/>
    <cellStyle name="Normal 2 4 5 2 3 2 2 2 3" xfId="24146" xr:uid="{CE9861FD-7199-48BF-B407-AB7705B86FAA}"/>
    <cellStyle name="Normal 2 4 5 2 3 2 2 3" xfId="11482" xr:uid="{C8992737-542E-4308-8F9A-54F699A6710F}"/>
    <cellStyle name="Normal 2 4 5 2 3 2 2 4" xfId="19929" xr:uid="{0A7647FE-F427-43BA-8D2B-EC86557CE22D}"/>
    <cellStyle name="Normal 2 4 5 2 3 2 3" xfId="5113" xr:uid="{00000000-0005-0000-0000-000063100000}"/>
    <cellStyle name="Normal 2 4 5 2 3 2 3 2" xfId="13555" xr:uid="{D84E2CEC-E737-4555-A2CE-D8CAB2C8FFD6}"/>
    <cellStyle name="Normal 2 4 5 2 3 2 3 3" xfId="22001" xr:uid="{5A9BBDCC-C80A-4338-A0C2-7EE05F3C6EC1}"/>
    <cellStyle name="Normal 2 4 5 2 3 2 4" xfId="9337" xr:uid="{C9474C1F-F8ED-4707-96CE-DEC3AAA652C4}"/>
    <cellStyle name="Normal 2 4 5 2 3 2 5" xfId="17782" xr:uid="{21EE93C7-7EA2-4456-91B8-13F25867D96E}"/>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688C24E8-E725-469B-BC28-D0E72ACBA47F}"/>
    <cellStyle name="Normal 2 4 5 2 3 3 2 2 3" xfId="24559" xr:uid="{677AE0C2-B53C-46F0-AA46-F0E3CF66B93A}"/>
    <cellStyle name="Normal 2 4 5 2 3 3 2 3" xfId="11895" xr:uid="{B359D1BF-345A-49E9-A543-C1F814AE694C}"/>
    <cellStyle name="Normal 2 4 5 2 3 3 2 4" xfId="20342" xr:uid="{334CA8D6-4A3B-4447-9638-4BF45E6A10CA}"/>
    <cellStyle name="Normal 2 4 5 2 3 3 3" xfId="5526" xr:uid="{00000000-0005-0000-0000-000067100000}"/>
    <cellStyle name="Normal 2 4 5 2 3 3 3 2" xfId="13968" xr:uid="{FB8D8DC5-41FC-4610-A760-2017C77F41A2}"/>
    <cellStyle name="Normal 2 4 5 2 3 3 3 3" xfId="22414" xr:uid="{AEB767EE-1C19-4ECA-BC16-FABDE2944BFC}"/>
    <cellStyle name="Normal 2 4 5 2 3 3 4" xfId="9750" xr:uid="{B1B702F0-5715-4341-93D3-0490627AB519}"/>
    <cellStyle name="Normal 2 4 5 2 3 3 5" xfId="18195" xr:uid="{B863CC92-27A3-4C59-A729-A006F3EC45D4}"/>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55C461C9-3FD1-41F0-8599-89E79B4C7102}"/>
    <cellStyle name="Normal 2 4 5 2 3 4 2 2 3" xfId="24972" xr:uid="{E8D45F89-5958-4E4F-9638-2F4B5501318F}"/>
    <cellStyle name="Normal 2 4 5 2 3 4 2 3" xfId="12308" xr:uid="{86A91BF1-C634-4036-BEB4-8A72D8FD0BF5}"/>
    <cellStyle name="Normal 2 4 5 2 3 4 2 4" xfId="20755" xr:uid="{78FD0D08-5B53-4242-85B0-1CAA101102A3}"/>
    <cellStyle name="Normal 2 4 5 2 3 4 3" xfId="5939" xr:uid="{00000000-0005-0000-0000-00006B100000}"/>
    <cellStyle name="Normal 2 4 5 2 3 4 3 2" xfId="14381" xr:uid="{FE57CFE3-586F-4EC4-A609-54F58821A3DE}"/>
    <cellStyle name="Normal 2 4 5 2 3 4 3 3" xfId="22827" xr:uid="{E1785EDB-EFC2-4DCD-A2BC-7844245468D8}"/>
    <cellStyle name="Normal 2 4 5 2 3 4 4" xfId="10163" xr:uid="{B689AA74-C572-46DA-91B3-411E859E7C3A}"/>
    <cellStyle name="Normal 2 4 5 2 3 4 5" xfId="18608" xr:uid="{A0C2E1FD-D343-4D6B-86ED-F57ACD902AF4}"/>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5B2B2DE8-AB9A-4BE2-BFC2-B40F97465ABA}"/>
    <cellStyle name="Normal 2 4 5 2 3 5 2 2 3" xfId="25385" xr:uid="{39DD3248-95A2-44EA-B6D3-C6311BACD83F}"/>
    <cellStyle name="Normal 2 4 5 2 3 5 2 3" xfId="12721" xr:uid="{47C4A588-F83E-45B4-9D7F-676813115E45}"/>
    <cellStyle name="Normal 2 4 5 2 3 5 2 4" xfId="21168" xr:uid="{2DF749A1-4947-4AEC-BB6B-18F1A11918EE}"/>
    <cellStyle name="Normal 2 4 5 2 3 5 3" xfId="6352" xr:uid="{00000000-0005-0000-0000-00006F100000}"/>
    <cellStyle name="Normal 2 4 5 2 3 5 3 2" xfId="14794" xr:uid="{36FF7811-1899-4549-96FC-F10CECC8B4FA}"/>
    <cellStyle name="Normal 2 4 5 2 3 5 3 3" xfId="23240" xr:uid="{89A8D520-BAC4-42ED-A965-681AEBD0648C}"/>
    <cellStyle name="Normal 2 4 5 2 3 5 4" xfId="10576" xr:uid="{8B0846CE-2C4F-4476-9F28-D7C405FD674D}"/>
    <cellStyle name="Normal 2 4 5 2 3 5 5" xfId="19021" xr:uid="{B9300C85-9F26-40B8-B7D5-2AC919502A54}"/>
    <cellStyle name="Normal 2 4 5 2 3 6" xfId="2481" xr:uid="{00000000-0005-0000-0000-000070100000}"/>
    <cellStyle name="Normal 2 4 5 2 3 6 2" xfId="6765" xr:uid="{00000000-0005-0000-0000-000071100000}"/>
    <cellStyle name="Normal 2 4 5 2 3 6 2 2" xfId="15207" xr:uid="{07A57AB9-2EFF-4B10-B0B1-B67F6D37BBAD}"/>
    <cellStyle name="Normal 2 4 5 2 3 6 2 3" xfId="23653" xr:uid="{4A3ACF37-439C-4A71-94F7-667CE3427A4E}"/>
    <cellStyle name="Normal 2 4 5 2 3 6 3" xfId="10989" xr:uid="{56CE90BA-5261-454D-8607-54054B18F8E1}"/>
    <cellStyle name="Normal 2 4 5 2 3 6 4" xfId="19434" xr:uid="{575F86EF-6ACF-4901-A599-6A7E08C00695}"/>
    <cellStyle name="Normal 2 4 5 2 3 7" xfId="4699" xr:uid="{00000000-0005-0000-0000-000072100000}"/>
    <cellStyle name="Normal 2 4 5 2 3 7 2" xfId="13141" xr:uid="{A8AA1D3B-5ADF-4B4C-A5DA-CCED562D5F24}"/>
    <cellStyle name="Normal 2 4 5 2 3 7 3" xfId="21587" xr:uid="{E3DDA47B-04B5-4433-B42F-A9CC4100458A}"/>
    <cellStyle name="Normal 2 4 5 2 3 8" xfId="8923" xr:uid="{037E4FB6-43A8-41CA-B0F7-B8478BF2764F}"/>
    <cellStyle name="Normal 2 4 5 2 3 9" xfId="17367" xr:uid="{8C81761C-6C8A-4396-851A-E84C1FA575E0}"/>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342EC617-C2A6-419B-9473-C8463B8D9778}"/>
    <cellStyle name="Normal 2 4 5 2 4 2 2 3" xfId="24143" xr:uid="{36006D72-AAE9-42CA-A989-19732CD253F0}"/>
    <cellStyle name="Normal 2 4 5 2 4 2 3" xfId="11479" xr:uid="{615EA2EB-1BF5-43F6-98DE-E20BCA55866D}"/>
    <cellStyle name="Normal 2 4 5 2 4 2 4" xfId="19926" xr:uid="{E7C01175-1C9A-45CC-BCB5-3EC5D362BCBA}"/>
    <cellStyle name="Normal 2 4 5 2 4 3" xfId="5110" xr:uid="{00000000-0005-0000-0000-000076100000}"/>
    <cellStyle name="Normal 2 4 5 2 4 3 2" xfId="13552" xr:uid="{14801907-30B1-4DFF-B9E5-398ED7BCF1B4}"/>
    <cellStyle name="Normal 2 4 5 2 4 3 3" xfId="21998" xr:uid="{47E8F3FF-E418-4AA1-A207-A6EF4746BB26}"/>
    <cellStyle name="Normal 2 4 5 2 4 4" xfId="9334" xr:uid="{9E9E30E7-F20A-477A-B90A-38FD17ABBA22}"/>
    <cellStyle name="Normal 2 4 5 2 4 5" xfId="17779" xr:uid="{CCDC0898-E5C2-40C4-B1C3-A01B9DFE1470}"/>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3A43DDAA-CA51-4CBD-82A3-C59D53E5E539}"/>
    <cellStyle name="Normal 2 4 5 2 5 2 2 3" xfId="24556" xr:uid="{B1D43975-7478-4F38-BFC2-E31635BD2FE7}"/>
    <cellStyle name="Normal 2 4 5 2 5 2 3" xfId="11892" xr:uid="{A6C341CC-7FEF-4670-B9AA-EF256BD5C7AB}"/>
    <cellStyle name="Normal 2 4 5 2 5 2 4" xfId="20339" xr:uid="{9D7520A1-9B66-4D41-A928-3AD3805433A0}"/>
    <cellStyle name="Normal 2 4 5 2 5 3" xfId="5523" xr:uid="{00000000-0005-0000-0000-00007A100000}"/>
    <cellStyle name="Normal 2 4 5 2 5 3 2" xfId="13965" xr:uid="{88F49A57-E451-44D1-BB67-50D18B0F2644}"/>
    <cellStyle name="Normal 2 4 5 2 5 3 3" xfId="22411" xr:uid="{760B8D96-58C0-4F83-A810-62C7003660F3}"/>
    <cellStyle name="Normal 2 4 5 2 5 4" xfId="9747" xr:uid="{E745191D-BD78-42F2-AD95-3696124629B3}"/>
    <cellStyle name="Normal 2 4 5 2 5 5" xfId="18192" xr:uid="{E931C8E3-7C19-409C-A3CC-959114618059}"/>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8990CADC-5448-4FFE-9BED-47BD46ECEF7F}"/>
    <cellStyle name="Normal 2 4 5 2 6 2 2 3" xfId="24969" xr:uid="{7132238D-5B38-4261-8225-891616F5A157}"/>
    <cellStyle name="Normal 2 4 5 2 6 2 3" xfId="12305" xr:uid="{AB28C680-FEC8-48D3-A5E9-36655F7A1A8E}"/>
    <cellStyle name="Normal 2 4 5 2 6 2 4" xfId="20752" xr:uid="{91F42168-9056-437B-9499-4B6F01C6BE61}"/>
    <cellStyle name="Normal 2 4 5 2 6 3" xfId="5936" xr:uid="{00000000-0005-0000-0000-00007E100000}"/>
    <cellStyle name="Normal 2 4 5 2 6 3 2" xfId="14378" xr:uid="{F0192B3E-999C-4136-A381-4BC138878A99}"/>
    <cellStyle name="Normal 2 4 5 2 6 3 3" xfId="22824" xr:uid="{2684DF5B-2CB6-4D64-9C9D-A3BA69C5612D}"/>
    <cellStyle name="Normal 2 4 5 2 6 4" xfId="10160" xr:uid="{66CABD61-8034-4945-AF0C-17952F904B4B}"/>
    <cellStyle name="Normal 2 4 5 2 6 5" xfId="18605" xr:uid="{2398CE93-85A1-41C0-AC21-DAF4859BD0AB}"/>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AC62E2B7-0A57-4BDF-95B0-D5AEF6AB6D9C}"/>
    <cellStyle name="Normal 2 4 5 2 7 2 2 3" xfId="25382" xr:uid="{75CC05BB-9989-4007-A42B-6CD227C49529}"/>
    <cellStyle name="Normal 2 4 5 2 7 2 3" xfId="12718" xr:uid="{FE2ED136-AED7-401A-84CD-965624E71A52}"/>
    <cellStyle name="Normal 2 4 5 2 7 2 4" xfId="21165" xr:uid="{06EACA69-B461-4A10-9F41-49D043BCBEC3}"/>
    <cellStyle name="Normal 2 4 5 2 7 3" xfId="6349" xr:uid="{00000000-0005-0000-0000-000082100000}"/>
    <cellStyle name="Normal 2 4 5 2 7 3 2" xfId="14791" xr:uid="{DB155C1E-31EE-4D9D-8C08-254756D123BA}"/>
    <cellStyle name="Normal 2 4 5 2 7 3 3" xfId="23237" xr:uid="{66F273F8-8FAB-42A4-89AB-339849CB1126}"/>
    <cellStyle name="Normal 2 4 5 2 7 4" xfId="10573" xr:uid="{2475043E-B5AA-497F-BA9E-B02317AEE96B}"/>
    <cellStyle name="Normal 2 4 5 2 7 5" xfId="19018" xr:uid="{662BC8C5-E912-490A-9D74-A56D6F536839}"/>
    <cellStyle name="Normal 2 4 5 2 8" xfId="2478" xr:uid="{00000000-0005-0000-0000-000083100000}"/>
    <cellStyle name="Normal 2 4 5 2 8 2" xfId="6762" xr:uid="{00000000-0005-0000-0000-000084100000}"/>
    <cellStyle name="Normal 2 4 5 2 8 2 2" xfId="15204" xr:uid="{944B9A98-C3DD-482D-9E56-B13BFF6138E7}"/>
    <cellStyle name="Normal 2 4 5 2 8 2 3" xfId="23650" xr:uid="{85E73546-46B9-4F58-AD85-DB72D98DF050}"/>
    <cellStyle name="Normal 2 4 5 2 8 3" xfId="10986" xr:uid="{873E28D3-C3B9-4B6E-9A40-96F35767C0A4}"/>
    <cellStyle name="Normal 2 4 5 2 8 4" xfId="19431" xr:uid="{11C933FE-6423-40EA-A7E1-834E66C750EB}"/>
    <cellStyle name="Normal 2 4 5 2 9" xfId="4696" xr:uid="{00000000-0005-0000-0000-000085100000}"/>
    <cellStyle name="Normal 2 4 5 2 9 2" xfId="13138" xr:uid="{648AE160-E202-416D-9D95-882829EAE978}"/>
    <cellStyle name="Normal 2 4 5 2 9 3" xfId="21584" xr:uid="{D19DB267-98DF-4E8B-9EA9-3041C544DE46}"/>
    <cellStyle name="Normal 2 4 5 3" xfId="308" xr:uid="{00000000-0005-0000-0000-000086100000}"/>
    <cellStyle name="Normal 2 4 5 3 10" xfId="17368" xr:uid="{9896706E-F59E-4C2F-B4CF-127CD2991409}"/>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51CF7E0D-8D39-4E8B-A6C3-92C8C37C9F4A}"/>
    <cellStyle name="Normal 2 4 5 3 2 2 2 2 3" xfId="24148" xr:uid="{68DD8CC5-8849-4006-92C5-64CC3032A992}"/>
    <cellStyle name="Normal 2 4 5 3 2 2 2 3" xfId="11484" xr:uid="{7488F8B2-B8E1-403E-8B9A-59E4E0D911FF}"/>
    <cellStyle name="Normal 2 4 5 3 2 2 2 4" xfId="19931" xr:uid="{7F51F96E-450D-41CD-96E8-77D33202B511}"/>
    <cellStyle name="Normal 2 4 5 3 2 2 3" xfId="5115" xr:uid="{00000000-0005-0000-0000-00008B100000}"/>
    <cellStyle name="Normal 2 4 5 3 2 2 3 2" xfId="13557" xr:uid="{3B0C80AC-A43F-4C05-BE16-528D88F890C8}"/>
    <cellStyle name="Normal 2 4 5 3 2 2 3 3" xfId="22003" xr:uid="{358E0C3E-DED8-4D91-B5B3-FCA8ECCE432E}"/>
    <cellStyle name="Normal 2 4 5 3 2 2 4" xfId="9339" xr:uid="{2F06BE4F-F2D9-40D6-9362-BA2543BCE969}"/>
    <cellStyle name="Normal 2 4 5 3 2 2 5" xfId="17784" xr:uid="{5462FB0D-D88E-4DC5-A74C-4B3B70648F69}"/>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3A2EDBE0-B003-4F2A-AF01-D51F1C9821B6}"/>
    <cellStyle name="Normal 2 4 5 3 2 3 2 2 3" xfId="24561" xr:uid="{255C2638-4D76-4FA3-ACE8-C1B138BEE6D6}"/>
    <cellStyle name="Normal 2 4 5 3 2 3 2 3" xfId="11897" xr:uid="{E71572B0-7970-483A-A411-FFA08C42AE4F}"/>
    <cellStyle name="Normal 2 4 5 3 2 3 2 4" xfId="20344" xr:uid="{7EB0E8BC-58D0-47B6-B828-1E87BE7C2DCB}"/>
    <cellStyle name="Normal 2 4 5 3 2 3 3" xfId="5528" xr:uid="{00000000-0005-0000-0000-00008F100000}"/>
    <cellStyle name="Normal 2 4 5 3 2 3 3 2" xfId="13970" xr:uid="{221B85F7-BFCB-4331-99DF-81ADA66E68E8}"/>
    <cellStyle name="Normal 2 4 5 3 2 3 3 3" xfId="22416" xr:uid="{25381A2D-246B-4D9B-9B1A-C73875D1A89F}"/>
    <cellStyle name="Normal 2 4 5 3 2 3 4" xfId="9752" xr:uid="{11234D53-F92C-4029-903F-F72476B2EF60}"/>
    <cellStyle name="Normal 2 4 5 3 2 3 5" xfId="18197" xr:uid="{37904FFC-EFFC-4BCB-82CE-0D8E1FDF174B}"/>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901212EF-AC04-4A55-A65E-0492A7000976}"/>
    <cellStyle name="Normal 2 4 5 3 2 4 2 2 3" xfId="24974" xr:uid="{8524BF1D-CE5E-498E-9876-8C2F391427C3}"/>
    <cellStyle name="Normal 2 4 5 3 2 4 2 3" xfId="12310" xr:uid="{CC223D87-BAF6-4C5C-8C09-25093AF7E16A}"/>
    <cellStyle name="Normal 2 4 5 3 2 4 2 4" xfId="20757" xr:uid="{D8FE6836-D32D-467B-858C-290505DF933C}"/>
    <cellStyle name="Normal 2 4 5 3 2 4 3" xfId="5941" xr:uid="{00000000-0005-0000-0000-000093100000}"/>
    <cellStyle name="Normal 2 4 5 3 2 4 3 2" xfId="14383" xr:uid="{D73AD61F-E95F-4841-85D8-8CD7131E8077}"/>
    <cellStyle name="Normal 2 4 5 3 2 4 3 3" xfId="22829" xr:uid="{5C513C41-6DBA-4080-A573-5A040C43E0B3}"/>
    <cellStyle name="Normal 2 4 5 3 2 4 4" xfId="10165" xr:uid="{A765C573-4289-4D39-B2F6-A384DB21D758}"/>
    <cellStyle name="Normal 2 4 5 3 2 4 5" xfId="18610" xr:uid="{4C16E3ED-AA0B-413B-90C2-BF03C9EFE3AF}"/>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C00A11CB-9A86-4669-8513-83B94BAF96FF}"/>
    <cellStyle name="Normal 2 4 5 3 2 5 2 2 3" xfId="25387" xr:uid="{3A1E8C23-1BD2-41F1-8B67-FFDB31C4158E}"/>
    <cellStyle name="Normal 2 4 5 3 2 5 2 3" xfId="12723" xr:uid="{22345D09-B786-423E-9A98-2689D610DA2E}"/>
    <cellStyle name="Normal 2 4 5 3 2 5 2 4" xfId="21170" xr:uid="{5493D1E4-3A6E-4102-922B-9E76AE8A24D4}"/>
    <cellStyle name="Normal 2 4 5 3 2 5 3" xfId="6354" xr:uid="{00000000-0005-0000-0000-000097100000}"/>
    <cellStyle name="Normal 2 4 5 3 2 5 3 2" xfId="14796" xr:uid="{8EC63451-3463-4913-A702-BCF8AEE0FFD7}"/>
    <cellStyle name="Normal 2 4 5 3 2 5 3 3" xfId="23242" xr:uid="{44E3D192-874F-4B1A-9D61-AE618E211124}"/>
    <cellStyle name="Normal 2 4 5 3 2 5 4" xfId="10578" xr:uid="{448E41B0-1D74-4415-9516-814FC22FE446}"/>
    <cellStyle name="Normal 2 4 5 3 2 5 5" xfId="19023" xr:uid="{7B7E5AC7-7FC1-4691-9C81-221DABCB7F2F}"/>
    <cellStyle name="Normal 2 4 5 3 2 6" xfId="2483" xr:uid="{00000000-0005-0000-0000-000098100000}"/>
    <cellStyle name="Normal 2 4 5 3 2 6 2" xfId="6767" xr:uid="{00000000-0005-0000-0000-000099100000}"/>
    <cellStyle name="Normal 2 4 5 3 2 6 2 2" xfId="15209" xr:uid="{65B8F726-B189-4FA8-BB7A-FF3904FEF097}"/>
    <cellStyle name="Normal 2 4 5 3 2 6 2 3" xfId="23655" xr:uid="{C8252A0C-1A11-43A1-8BFB-266306626AB0}"/>
    <cellStyle name="Normal 2 4 5 3 2 6 3" xfId="10991" xr:uid="{19723AD3-E1F4-4A3F-8F79-8B813FC4C9E3}"/>
    <cellStyle name="Normal 2 4 5 3 2 6 4" xfId="19436" xr:uid="{568FC7EC-5F06-4314-8026-AA741A015091}"/>
    <cellStyle name="Normal 2 4 5 3 2 7" xfId="4701" xr:uid="{00000000-0005-0000-0000-00009A100000}"/>
    <cellStyle name="Normal 2 4 5 3 2 7 2" xfId="13143" xr:uid="{2FE34F6E-9C0D-4EE1-BF98-02E0ED3F9238}"/>
    <cellStyle name="Normal 2 4 5 3 2 7 3" xfId="21589" xr:uid="{0F9C16B2-4D53-409E-9AFA-1D2BA47440D9}"/>
    <cellStyle name="Normal 2 4 5 3 2 8" xfId="8925" xr:uid="{7A4E7A3E-DC47-4A9C-A0AC-EEFDC2C2232A}"/>
    <cellStyle name="Normal 2 4 5 3 2 9" xfId="17369" xr:uid="{E3E36C98-D221-443C-9D18-2BE6ECA46921}"/>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F5E4FBEF-EBCC-484E-9B56-3DAF18B17DD0}"/>
    <cellStyle name="Normal 2 4 5 3 3 2 2 3" xfId="24147" xr:uid="{D2C7F0DF-1DCD-40A8-AF9E-A1C43FEE4EF0}"/>
    <cellStyle name="Normal 2 4 5 3 3 2 3" xfId="11483" xr:uid="{65902080-36E1-4A34-BBCE-5A896CDB937C}"/>
    <cellStyle name="Normal 2 4 5 3 3 2 4" xfId="19930" xr:uid="{0649AC50-34BB-41AF-AB85-F0185E94E1B5}"/>
    <cellStyle name="Normal 2 4 5 3 3 3" xfId="5114" xr:uid="{00000000-0005-0000-0000-00009E100000}"/>
    <cellStyle name="Normal 2 4 5 3 3 3 2" xfId="13556" xr:uid="{02FEA618-7A8C-4DD3-8E71-8ACA779F2221}"/>
    <cellStyle name="Normal 2 4 5 3 3 3 3" xfId="22002" xr:uid="{B95DC1F7-EAD0-4032-81C7-B98DDB1CAA91}"/>
    <cellStyle name="Normal 2 4 5 3 3 4" xfId="9338" xr:uid="{C44A79FF-A6C8-4DDA-A17E-D0B2AAD83CF8}"/>
    <cellStyle name="Normal 2 4 5 3 3 5" xfId="17783" xr:uid="{C062DAC4-91BF-4CA1-BC6E-139BF9981DD3}"/>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7AF674E3-AE1D-4062-B054-20CDA8DBF2CC}"/>
    <cellStyle name="Normal 2 4 5 3 4 2 2 3" xfId="24560" xr:uid="{4B19B54E-940F-45E3-9E6B-3925ECABDFD8}"/>
    <cellStyle name="Normal 2 4 5 3 4 2 3" xfId="11896" xr:uid="{458BAC63-BE24-469B-8299-FFF17F7B5468}"/>
    <cellStyle name="Normal 2 4 5 3 4 2 4" xfId="20343" xr:uid="{772A967C-E560-42F9-B9E8-A3E8CBB98CF7}"/>
    <cellStyle name="Normal 2 4 5 3 4 3" xfId="5527" xr:uid="{00000000-0005-0000-0000-0000A2100000}"/>
    <cellStyle name="Normal 2 4 5 3 4 3 2" xfId="13969" xr:uid="{2C364577-5885-472E-848E-148EECD79416}"/>
    <cellStyle name="Normal 2 4 5 3 4 3 3" xfId="22415" xr:uid="{44D8183F-F38C-46BC-9159-81636BA10E20}"/>
    <cellStyle name="Normal 2 4 5 3 4 4" xfId="9751" xr:uid="{87320458-2E01-4CF6-80EC-8D9688D4C1F5}"/>
    <cellStyle name="Normal 2 4 5 3 4 5" xfId="18196" xr:uid="{F6A1CF70-A8BA-41E4-A750-193F9B2B9AFB}"/>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0D3EA49E-18F7-49CA-86FA-9C465FB2A133}"/>
    <cellStyle name="Normal 2 4 5 3 5 2 2 3" xfId="24973" xr:uid="{DB139CBB-B0BC-44F8-A3D8-BABD8039B3A7}"/>
    <cellStyle name="Normal 2 4 5 3 5 2 3" xfId="12309" xr:uid="{F0DC7E02-5612-4914-A4F3-661A39E91637}"/>
    <cellStyle name="Normal 2 4 5 3 5 2 4" xfId="20756" xr:uid="{0E46801C-4E77-4794-8580-A56BDFB4A336}"/>
    <cellStyle name="Normal 2 4 5 3 5 3" xfId="5940" xr:uid="{00000000-0005-0000-0000-0000A6100000}"/>
    <cellStyle name="Normal 2 4 5 3 5 3 2" xfId="14382" xr:uid="{EC793308-6FB7-44EC-BAAC-0C502AA94A23}"/>
    <cellStyle name="Normal 2 4 5 3 5 3 3" xfId="22828" xr:uid="{36404771-4DBE-4F8B-87D7-CF79CB9D890E}"/>
    <cellStyle name="Normal 2 4 5 3 5 4" xfId="10164" xr:uid="{EBD2A1B9-5E1C-407C-889E-E4D7F2C8DCE7}"/>
    <cellStyle name="Normal 2 4 5 3 5 5" xfId="18609" xr:uid="{32FD15C9-D618-40DE-9605-4560DC7D7003}"/>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EBEE3BE9-7D37-4A9A-B480-B748AB007122}"/>
    <cellStyle name="Normal 2 4 5 3 6 2 2 3" xfId="25386" xr:uid="{6B60B103-CFDB-492E-AC29-C97B3C710EA7}"/>
    <cellStyle name="Normal 2 4 5 3 6 2 3" xfId="12722" xr:uid="{73AE7A94-D306-4E02-A66B-5FE1CAAC0363}"/>
    <cellStyle name="Normal 2 4 5 3 6 2 4" xfId="21169" xr:uid="{5B0B2EA2-6CBC-4128-9C6F-00F647B04F9A}"/>
    <cellStyle name="Normal 2 4 5 3 6 3" xfId="6353" xr:uid="{00000000-0005-0000-0000-0000AA100000}"/>
    <cellStyle name="Normal 2 4 5 3 6 3 2" xfId="14795" xr:uid="{26375CE6-D07B-4BC0-8F5D-6A5C443DEDDB}"/>
    <cellStyle name="Normal 2 4 5 3 6 3 3" xfId="23241" xr:uid="{E80C6CBE-6B81-4186-A5AE-D23B96DC3104}"/>
    <cellStyle name="Normal 2 4 5 3 6 4" xfId="10577" xr:uid="{D7AD32C8-515B-4A6E-A0D9-5D4F50EBB1FF}"/>
    <cellStyle name="Normal 2 4 5 3 6 5" xfId="19022" xr:uid="{39988407-7386-4B0B-9EB7-60AAB48AC4E3}"/>
    <cellStyle name="Normal 2 4 5 3 7" xfId="2482" xr:uid="{00000000-0005-0000-0000-0000AB100000}"/>
    <cellStyle name="Normal 2 4 5 3 7 2" xfId="6766" xr:uid="{00000000-0005-0000-0000-0000AC100000}"/>
    <cellStyle name="Normal 2 4 5 3 7 2 2" xfId="15208" xr:uid="{9154641D-71A2-431F-A157-C5B2DF07D93E}"/>
    <cellStyle name="Normal 2 4 5 3 7 2 3" xfId="23654" xr:uid="{B4D9B60A-5EA5-4503-B9DD-0AC732EA98C9}"/>
    <cellStyle name="Normal 2 4 5 3 7 3" xfId="10990" xr:uid="{EA6AF8A4-D10A-41F9-8559-0B75B84D617C}"/>
    <cellStyle name="Normal 2 4 5 3 7 4" xfId="19435" xr:uid="{DCAF3811-99E4-40A0-A192-2C7AF0F5C5AD}"/>
    <cellStyle name="Normal 2 4 5 3 8" xfId="4700" xr:uid="{00000000-0005-0000-0000-0000AD100000}"/>
    <cellStyle name="Normal 2 4 5 3 8 2" xfId="13142" xr:uid="{3BB39E09-CA5A-4ABA-A542-032AE1AB64EB}"/>
    <cellStyle name="Normal 2 4 5 3 8 3" xfId="21588" xr:uid="{0B42886E-E7F2-47AD-A9B4-A3EA80DAF9C1}"/>
    <cellStyle name="Normal 2 4 5 3 9" xfId="8924" xr:uid="{8050570B-970D-4D07-8011-1344C1688CE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9DF5511F-0294-4569-833A-69FC4A160DDD}"/>
    <cellStyle name="Normal 2 4 5 4 2 2 2 3" xfId="24149" xr:uid="{D63F0098-75DD-41BF-AFEA-0CA47283484A}"/>
    <cellStyle name="Normal 2 4 5 4 2 2 3" xfId="11485" xr:uid="{EA3C660B-E18B-480A-9986-D07875D8F7AA}"/>
    <cellStyle name="Normal 2 4 5 4 2 2 4" xfId="19932" xr:uid="{B8A4E6B3-64CA-452E-BF70-41BEF40C39E1}"/>
    <cellStyle name="Normal 2 4 5 4 2 3" xfId="5116" xr:uid="{00000000-0005-0000-0000-0000B2100000}"/>
    <cellStyle name="Normal 2 4 5 4 2 3 2" xfId="13558" xr:uid="{8C20519D-85AB-40AE-879A-3DE3E79A33CA}"/>
    <cellStyle name="Normal 2 4 5 4 2 3 3" xfId="22004" xr:uid="{5AA470B8-2251-463C-BF99-C3DD1E4DD599}"/>
    <cellStyle name="Normal 2 4 5 4 2 4" xfId="9340" xr:uid="{0D5EF22C-C220-4391-963B-DA3ACC017288}"/>
    <cellStyle name="Normal 2 4 5 4 2 5" xfId="17785" xr:uid="{8FD2A061-0BA2-4881-8F50-2237676F946A}"/>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45C1E6AE-B75F-4E23-9071-656F37C59DB8}"/>
    <cellStyle name="Normal 2 4 5 4 3 2 2 3" xfId="24562" xr:uid="{FE580C12-2063-43FC-942C-E250BA003370}"/>
    <cellStyle name="Normal 2 4 5 4 3 2 3" xfId="11898" xr:uid="{B370D0A1-0053-4AAF-A5C2-6D76295A243A}"/>
    <cellStyle name="Normal 2 4 5 4 3 2 4" xfId="20345" xr:uid="{56C7FF72-8385-42E4-9894-8325BBCE2FBC}"/>
    <cellStyle name="Normal 2 4 5 4 3 3" xfId="5529" xr:uid="{00000000-0005-0000-0000-0000B6100000}"/>
    <cellStyle name="Normal 2 4 5 4 3 3 2" xfId="13971" xr:uid="{CB1980FA-9031-4D4C-8A07-421BB44EE9D9}"/>
    <cellStyle name="Normal 2 4 5 4 3 3 3" xfId="22417" xr:uid="{B856001B-144C-4273-B6D6-CE2C7804982F}"/>
    <cellStyle name="Normal 2 4 5 4 3 4" xfId="9753" xr:uid="{90C26C66-B1A6-4F4D-AD98-7F9CBBDF1368}"/>
    <cellStyle name="Normal 2 4 5 4 3 5" xfId="18198" xr:uid="{F5E2E656-A4C1-40E8-A549-64723EB0F746}"/>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F3B06FE1-2AF6-480B-BBA6-A914FEE88A8D}"/>
    <cellStyle name="Normal 2 4 5 4 4 2 2 3" xfId="24975" xr:uid="{134D578B-54BE-42EE-AC71-36C4F775FA55}"/>
    <cellStyle name="Normal 2 4 5 4 4 2 3" xfId="12311" xr:uid="{6F1E0CF7-E4F0-464C-B433-463707B87A55}"/>
    <cellStyle name="Normal 2 4 5 4 4 2 4" xfId="20758" xr:uid="{EB4E9816-C968-479A-8E8F-AB8D456C0922}"/>
    <cellStyle name="Normal 2 4 5 4 4 3" xfId="5942" xr:uid="{00000000-0005-0000-0000-0000BA100000}"/>
    <cellStyle name="Normal 2 4 5 4 4 3 2" xfId="14384" xr:uid="{20DC807D-09ED-496E-A39C-6DFF76EC2E31}"/>
    <cellStyle name="Normal 2 4 5 4 4 3 3" xfId="22830" xr:uid="{F771175F-16D0-4213-828C-6E05C799E1F6}"/>
    <cellStyle name="Normal 2 4 5 4 4 4" xfId="10166" xr:uid="{BA0F59AF-1C2C-459F-9E65-8F078BB0512A}"/>
    <cellStyle name="Normal 2 4 5 4 4 5" xfId="18611" xr:uid="{BF7BB43C-D836-4A88-8B27-9A3AC7BFA3DF}"/>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6B22905E-F3E5-487E-BFAF-AF19DD54C15D}"/>
    <cellStyle name="Normal 2 4 5 4 5 2 2 3" xfId="25388" xr:uid="{268E0FDC-CF90-445E-B305-93E0CD2634E5}"/>
    <cellStyle name="Normal 2 4 5 4 5 2 3" xfId="12724" xr:uid="{D9B33F80-A272-49AE-8FA5-35EEB63C742E}"/>
    <cellStyle name="Normal 2 4 5 4 5 2 4" xfId="21171" xr:uid="{6F3824DB-4C60-49B1-A9FE-CCD0AAED4D3E}"/>
    <cellStyle name="Normal 2 4 5 4 5 3" xfId="6355" xr:uid="{00000000-0005-0000-0000-0000BE100000}"/>
    <cellStyle name="Normal 2 4 5 4 5 3 2" xfId="14797" xr:uid="{B183674F-E286-40C6-9C45-3802711DB130}"/>
    <cellStyle name="Normal 2 4 5 4 5 3 3" xfId="23243" xr:uid="{1813D60D-3F02-4E98-9AF4-AE5714614BCE}"/>
    <cellStyle name="Normal 2 4 5 4 5 4" xfId="10579" xr:uid="{0680A7A8-3831-4D40-822C-7BE45815787C}"/>
    <cellStyle name="Normal 2 4 5 4 5 5" xfId="19024" xr:uid="{009ACF4D-82FA-4AD0-B12A-5A57F40B82C4}"/>
    <cellStyle name="Normal 2 4 5 4 6" xfId="2484" xr:uid="{00000000-0005-0000-0000-0000BF100000}"/>
    <cellStyle name="Normal 2 4 5 4 6 2" xfId="6768" xr:uid="{00000000-0005-0000-0000-0000C0100000}"/>
    <cellStyle name="Normal 2 4 5 4 6 2 2" xfId="15210" xr:uid="{E301E20B-26ED-4EA5-BDED-D3157997DEC8}"/>
    <cellStyle name="Normal 2 4 5 4 6 2 3" xfId="23656" xr:uid="{49FFE2AA-5187-4CE7-A237-A7F504F5ABC0}"/>
    <cellStyle name="Normal 2 4 5 4 6 3" xfId="10992" xr:uid="{414CC5A4-1203-412A-AB53-C59E8946CBB0}"/>
    <cellStyle name="Normal 2 4 5 4 6 4" xfId="19437" xr:uid="{5E78AF43-15E0-4FD8-812D-1FF3E08A3559}"/>
    <cellStyle name="Normal 2 4 5 4 7" xfId="4702" xr:uid="{00000000-0005-0000-0000-0000C1100000}"/>
    <cellStyle name="Normal 2 4 5 4 7 2" xfId="13144" xr:uid="{E3FAF2D6-FA7C-4E9E-81B1-5C44A22803EE}"/>
    <cellStyle name="Normal 2 4 5 4 7 3" xfId="21590" xr:uid="{6E60370C-8433-43E0-8DB5-066F6AC7065B}"/>
    <cellStyle name="Normal 2 4 5 4 8" xfId="8926" xr:uid="{4D4F0D00-1C80-4DE1-A698-A4BF5DCB9145}"/>
    <cellStyle name="Normal 2 4 5 4 9" xfId="17370" xr:uid="{EFE95837-7C3E-4F4A-A00A-7EF3F4A9E2B6}"/>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F41C41C6-2FFF-484F-8561-840A8AD0A935}"/>
    <cellStyle name="Normal 2 4 5 5 2 2 3" xfId="24142" xr:uid="{B779BC90-F3F1-42AC-9C14-BED51420C6D4}"/>
    <cellStyle name="Normal 2 4 5 5 2 3" xfId="11478" xr:uid="{571E7FC2-9BBF-43DF-BA17-F0B78AA2BBD4}"/>
    <cellStyle name="Normal 2 4 5 5 2 4" xfId="19925" xr:uid="{051061F2-5E1A-46E3-B19F-A37EBC92654B}"/>
    <cellStyle name="Normal 2 4 5 5 3" xfId="5109" xr:uid="{00000000-0005-0000-0000-0000C5100000}"/>
    <cellStyle name="Normal 2 4 5 5 3 2" xfId="13551" xr:uid="{E5860987-8D84-497F-A60B-54BA71D3545A}"/>
    <cellStyle name="Normal 2 4 5 5 3 3" xfId="21997" xr:uid="{4E73DA54-0755-4DB3-BD1A-1DC6E135CF12}"/>
    <cellStyle name="Normal 2 4 5 5 4" xfId="9333" xr:uid="{BFEDB653-4D7C-4CB2-9E9B-DDDB9E06E375}"/>
    <cellStyle name="Normal 2 4 5 5 5" xfId="17778" xr:uid="{AD7212E6-D961-4604-AE43-374AE7D4A7DE}"/>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52FC7E58-06F2-4C59-B54E-D07F2F00F581}"/>
    <cellStyle name="Normal 2 4 5 6 2 2 3" xfId="24555" xr:uid="{C5448F81-7768-47CC-B5EA-312EC485BA6A}"/>
    <cellStyle name="Normal 2 4 5 6 2 3" xfId="11891" xr:uid="{A9F8B912-1A62-4C9D-BF1B-DD1CC8BF18F3}"/>
    <cellStyle name="Normal 2 4 5 6 2 4" xfId="20338" xr:uid="{429107FB-2C8A-49AC-8535-D444BF03CCEA}"/>
    <cellStyle name="Normal 2 4 5 6 3" xfId="5522" xr:uid="{00000000-0005-0000-0000-0000C9100000}"/>
    <cellStyle name="Normal 2 4 5 6 3 2" xfId="13964" xr:uid="{C820ED18-014B-4989-B3C3-27D0C6CD9B28}"/>
    <cellStyle name="Normal 2 4 5 6 3 3" xfId="22410" xr:uid="{FD7C9FAE-6F5B-46F9-A349-C80FE3CD7B91}"/>
    <cellStyle name="Normal 2 4 5 6 4" xfId="9746" xr:uid="{5354CAA5-8A3C-41BE-A202-0DDCC742C87B}"/>
    <cellStyle name="Normal 2 4 5 6 5" xfId="18191" xr:uid="{13F0FC5E-7B91-4C27-BB0C-657D9EC51B4C}"/>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24C353CF-2C6D-4DCF-A058-D5ECF72B91B3}"/>
    <cellStyle name="Normal 2 4 5 7 2 2 3" xfId="24968" xr:uid="{9A884356-2388-415C-88A3-F072A52668A5}"/>
    <cellStyle name="Normal 2 4 5 7 2 3" xfId="12304" xr:uid="{F6C350FB-60B7-4F6C-8A31-BFEFF9FD4761}"/>
    <cellStyle name="Normal 2 4 5 7 2 4" xfId="20751" xr:uid="{34C40778-856C-4C1E-9A64-6F5B3E15791D}"/>
    <cellStyle name="Normal 2 4 5 7 3" xfId="5935" xr:uid="{00000000-0005-0000-0000-0000CD100000}"/>
    <cellStyle name="Normal 2 4 5 7 3 2" xfId="14377" xr:uid="{20D40287-2D9B-42B5-8BD6-C8144865A40C}"/>
    <cellStyle name="Normal 2 4 5 7 3 3" xfId="22823" xr:uid="{59DA4BCE-E5D5-4CED-8F53-E3573724FA62}"/>
    <cellStyle name="Normal 2 4 5 7 4" xfId="10159" xr:uid="{56861878-2CBB-48CC-AD71-320B9C7DF03C}"/>
    <cellStyle name="Normal 2 4 5 7 5" xfId="18604" xr:uid="{F5816538-8FDF-4299-8D53-070114D93FAC}"/>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4148C3D1-CC04-470D-8EC2-56D4DF4A1D5B}"/>
    <cellStyle name="Normal 2 4 5 8 2 2 3" xfId="25381" xr:uid="{1D302C87-438B-451D-BAE0-0394EC1DC592}"/>
    <cellStyle name="Normal 2 4 5 8 2 3" xfId="12717" xr:uid="{905265C4-783B-4D2C-B52C-73A0B29F4CC1}"/>
    <cellStyle name="Normal 2 4 5 8 2 4" xfId="21164" xr:uid="{798BFDCE-875C-451C-B7E5-9DDAF6AE7AA1}"/>
    <cellStyle name="Normal 2 4 5 8 3" xfId="6348" xr:uid="{00000000-0005-0000-0000-0000D1100000}"/>
    <cellStyle name="Normal 2 4 5 8 3 2" xfId="14790" xr:uid="{EEDFCEFC-9BCC-4694-8766-385FF8029B84}"/>
    <cellStyle name="Normal 2 4 5 8 3 3" xfId="23236" xr:uid="{9A7B2632-FC46-4F14-BC59-BCCBC8367F71}"/>
    <cellStyle name="Normal 2 4 5 8 4" xfId="10572" xr:uid="{123B83E9-F8E1-4E35-A0D7-07E2935708F6}"/>
    <cellStyle name="Normal 2 4 5 8 5" xfId="19017" xr:uid="{20D5CAB9-F9D1-428D-A340-8E59E6920139}"/>
    <cellStyle name="Normal 2 4 5 9" xfId="2477" xr:uid="{00000000-0005-0000-0000-0000D2100000}"/>
    <cellStyle name="Normal 2 4 5 9 2" xfId="6761" xr:uid="{00000000-0005-0000-0000-0000D3100000}"/>
    <cellStyle name="Normal 2 4 5 9 2 2" xfId="15203" xr:uid="{E1521BBA-AF0D-4F3D-934A-05E59694CE27}"/>
    <cellStyle name="Normal 2 4 5 9 2 3" xfId="23649" xr:uid="{55210AA1-1C04-4A57-92A3-B8B4AB10E2A6}"/>
    <cellStyle name="Normal 2 4 5 9 3" xfId="10985" xr:uid="{8B23C961-E2AE-4EE1-BBA3-11089EE1ABCB}"/>
    <cellStyle name="Normal 2 4 5 9 4" xfId="19430" xr:uid="{56AAE058-DB23-40C1-9BE0-B2F1840F2CFC}"/>
    <cellStyle name="Normal 2 4 6" xfId="311" xr:uid="{00000000-0005-0000-0000-0000D4100000}"/>
    <cellStyle name="Normal 2 4 7" xfId="312" xr:uid="{00000000-0005-0000-0000-0000D5100000}"/>
    <cellStyle name="Normal 2 4 7 10" xfId="17371" xr:uid="{7116B4B5-0FA0-4DD1-988D-7F2B443F5D89}"/>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0B35A9A5-BF45-4025-B658-D9A562A464D5}"/>
    <cellStyle name="Normal 2 4 7 2 2 2 2 3" xfId="24151" xr:uid="{4E1D86C2-1257-4E1B-9A26-42AA64C654AA}"/>
    <cellStyle name="Normal 2 4 7 2 2 2 3" xfId="11487" xr:uid="{9A0F9512-6372-4E48-BE3D-98DD6D1F2EAA}"/>
    <cellStyle name="Normal 2 4 7 2 2 2 4" xfId="19934" xr:uid="{AC82A879-D212-4BAB-A2EA-88422FEC9F16}"/>
    <cellStyle name="Normal 2 4 7 2 2 3" xfId="5118" xr:uid="{00000000-0005-0000-0000-0000DA100000}"/>
    <cellStyle name="Normal 2 4 7 2 2 3 2" xfId="13560" xr:uid="{C1B2B4B8-CCDB-4910-B8BC-5461D899441B}"/>
    <cellStyle name="Normal 2 4 7 2 2 3 3" xfId="22006" xr:uid="{6BE40684-9AFF-4835-875B-A1C8AEC76706}"/>
    <cellStyle name="Normal 2 4 7 2 2 4" xfId="9342" xr:uid="{E12DE283-1E35-47DD-A8A9-54FA1F654587}"/>
    <cellStyle name="Normal 2 4 7 2 2 5" xfId="17787" xr:uid="{4CDE06F3-AF13-4E1D-88D8-91181CC5DDC8}"/>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7A87FF2D-40EA-4294-9467-1EB3DC343D48}"/>
    <cellStyle name="Normal 2 4 7 2 3 2 2 3" xfId="24564" xr:uid="{805644FB-D246-4DE8-92E0-428EBAA4BE07}"/>
    <cellStyle name="Normal 2 4 7 2 3 2 3" xfId="11900" xr:uid="{FF3D911E-F8A4-4521-A682-B4370AD917F9}"/>
    <cellStyle name="Normal 2 4 7 2 3 2 4" xfId="20347" xr:uid="{C984A7EF-3DA1-4270-878F-3E306E45B968}"/>
    <cellStyle name="Normal 2 4 7 2 3 3" xfId="5531" xr:uid="{00000000-0005-0000-0000-0000DE100000}"/>
    <cellStyle name="Normal 2 4 7 2 3 3 2" xfId="13973" xr:uid="{B099E11A-FCFF-4B2F-A18E-577AFE03A239}"/>
    <cellStyle name="Normal 2 4 7 2 3 3 3" xfId="22419" xr:uid="{D9E1A2FB-9351-4145-9C83-0145212E3477}"/>
    <cellStyle name="Normal 2 4 7 2 3 4" xfId="9755" xr:uid="{3452D4B6-2238-445A-8799-A02E48943695}"/>
    <cellStyle name="Normal 2 4 7 2 3 5" xfId="18200" xr:uid="{18904D20-ABD2-4B16-8B8E-C9B78F093060}"/>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1C1E4583-B5E3-47DA-AD24-6B5359DE21C4}"/>
    <cellStyle name="Normal 2 4 7 2 4 2 2 3" xfId="24977" xr:uid="{562F3087-DA73-4734-AE18-47BB76414C48}"/>
    <cellStyle name="Normal 2 4 7 2 4 2 3" xfId="12313" xr:uid="{E9913A64-0E05-446C-B29F-BA887A426484}"/>
    <cellStyle name="Normal 2 4 7 2 4 2 4" xfId="20760" xr:uid="{F1594CFD-C6BC-41B4-B0DD-8C1809309514}"/>
    <cellStyle name="Normal 2 4 7 2 4 3" xfId="5944" xr:uid="{00000000-0005-0000-0000-0000E2100000}"/>
    <cellStyle name="Normal 2 4 7 2 4 3 2" xfId="14386" xr:uid="{8057749A-3473-4174-8F6A-061A5B172EFF}"/>
    <cellStyle name="Normal 2 4 7 2 4 3 3" xfId="22832" xr:uid="{D69ACF32-0EAD-4B54-9A77-A8C6DA30060B}"/>
    <cellStyle name="Normal 2 4 7 2 4 4" xfId="10168" xr:uid="{8EF61451-7870-4C65-95AD-1A2FF7CFC089}"/>
    <cellStyle name="Normal 2 4 7 2 4 5" xfId="18613" xr:uid="{88EBC430-7634-4DA9-8E42-5F6F18B1AEDC}"/>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0CE27AC6-24BF-4263-AD39-FFD9EEC137B9}"/>
    <cellStyle name="Normal 2 4 7 2 5 2 2 3" xfId="25390" xr:uid="{4536BD46-22AD-4313-89E0-D588DCBC0831}"/>
    <cellStyle name="Normal 2 4 7 2 5 2 3" xfId="12726" xr:uid="{0E457FE0-841C-48ED-8E5E-D3C5420A218F}"/>
    <cellStyle name="Normal 2 4 7 2 5 2 4" xfId="21173" xr:uid="{92CDB7B1-9A13-4E6A-9C15-2688F716036B}"/>
    <cellStyle name="Normal 2 4 7 2 5 3" xfId="6357" xr:uid="{00000000-0005-0000-0000-0000E6100000}"/>
    <cellStyle name="Normal 2 4 7 2 5 3 2" xfId="14799" xr:uid="{053C6383-F54A-416D-8DE4-95C4B74D35A5}"/>
    <cellStyle name="Normal 2 4 7 2 5 3 3" xfId="23245" xr:uid="{A64DA6A1-ECB7-4DBF-BA1F-A46A45FE9B72}"/>
    <cellStyle name="Normal 2 4 7 2 5 4" xfId="10581" xr:uid="{3E92CCF2-51E3-4C63-9FBD-89F860716D75}"/>
    <cellStyle name="Normal 2 4 7 2 5 5" xfId="19026" xr:uid="{48EB7F0A-D154-4698-A426-443F47622422}"/>
    <cellStyle name="Normal 2 4 7 2 6" xfId="2486" xr:uid="{00000000-0005-0000-0000-0000E7100000}"/>
    <cellStyle name="Normal 2 4 7 2 6 2" xfId="6770" xr:uid="{00000000-0005-0000-0000-0000E8100000}"/>
    <cellStyle name="Normal 2 4 7 2 6 2 2" xfId="15212" xr:uid="{E1E8E479-F7A0-45A8-AAF6-929169D5EA9A}"/>
    <cellStyle name="Normal 2 4 7 2 6 2 3" xfId="23658" xr:uid="{B18824E1-1CEF-4213-B452-B125F0CAD685}"/>
    <cellStyle name="Normal 2 4 7 2 6 3" xfId="10994" xr:uid="{3EFAD9D6-9E2D-46C7-B24C-CC9FA559A1FF}"/>
    <cellStyle name="Normal 2 4 7 2 6 4" xfId="19439" xr:uid="{C8920842-EC0D-4B8F-97AC-98327D5AE812}"/>
    <cellStyle name="Normal 2 4 7 2 7" xfId="4704" xr:uid="{00000000-0005-0000-0000-0000E9100000}"/>
    <cellStyle name="Normal 2 4 7 2 7 2" xfId="13146" xr:uid="{B3EFE598-2B71-43E0-B773-ED452D328058}"/>
    <cellStyle name="Normal 2 4 7 2 7 3" xfId="21592" xr:uid="{4F91A4C4-E8E5-4B2A-9FED-00A616DFCB60}"/>
    <cellStyle name="Normal 2 4 7 2 8" xfId="8928" xr:uid="{32D6AE4E-C7C7-415A-BB0C-3EDD0D8F24A1}"/>
    <cellStyle name="Normal 2 4 7 2 9" xfId="17372" xr:uid="{63EE9954-4951-433A-9562-0F830F03D88C}"/>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40890E0D-88C3-48C0-BFB1-D5A19D496118}"/>
    <cellStyle name="Normal 2 4 7 3 2 2 3" xfId="24150" xr:uid="{5EB102BD-5D13-4930-AA7D-8C14186AA72B}"/>
    <cellStyle name="Normal 2 4 7 3 2 3" xfId="11486" xr:uid="{F3D6BCE4-98E3-468A-9024-BEF0342840F1}"/>
    <cellStyle name="Normal 2 4 7 3 2 4" xfId="19933" xr:uid="{E0E6D6BE-2409-4FAB-BF53-C20DC8A47C8C}"/>
    <cellStyle name="Normal 2 4 7 3 3" xfId="5117" xr:uid="{00000000-0005-0000-0000-0000ED100000}"/>
    <cellStyle name="Normal 2 4 7 3 3 2" xfId="13559" xr:uid="{AB9476C2-ED29-44CE-A75D-2054EEE92B6A}"/>
    <cellStyle name="Normal 2 4 7 3 3 3" xfId="22005" xr:uid="{E007BBF9-9803-4C47-BA6C-51447A4D5123}"/>
    <cellStyle name="Normal 2 4 7 3 4" xfId="9341" xr:uid="{1EEBF89B-C9A8-4A16-9580-0686596C6235}"/>
    <cellStyle name="Normal 2 4 7 3 5" xfId="17786" xr:uid="{37F4FC60-D341-49FA-AE40-43FA6CCC817B}"/>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CE02F3BB-48F3-4A0E-898E-A2397D7FF8A6}"/>
    <cellStyle name="Normal 2 4 7 4 2 2 3" xfId="24563" xr:uid="{11BAE3D1-2840-42F6-A99E-99DD4A1981CC}"/>
    <cellStyle name="Normal 2 4 7 4 2 3" xfId="11899" xr:uid="{D0542393-0353-4335-9F5F-0D8994D6D756}"/>
    <cellStyle name="Normal 2 4 7 4 2 4" xfId="20346" xr:uid="{A328654E-CABD-4076-A4F1-97E2D5C76EE3}"/>
    <cellStyle name="Normal 2 4 7 4 3" xfId="5530" xr:uid="{00000000-0005-0000-0000-0000F1100000}"/>
    <cellStyle name="Normal 2 4 7 4 3 2" xfId="13972" xr:uid="{84BAAC0C-EDB8-4EB1-9624-71E36EB1C5D9}"/>
    <cellStyle name="Normal 2 4 7 4 3 3" xfId="22418" xr:uid="{1AF217AA-623A-451C-ACBA-EA7245CB187A}"/>
    <cellStyle name="Normal 2 4 7 4 4" xfId="9754" xr:uid="{FBDC07B1-0077-4A2A-8220-0881BD719BDE}"/>
    <cellStyle name="Normal 2 4 7 4 5" xfId="18199" xr:uid="{F9FDC74A-4F8A-41B6-837F-D208C70286EF}"/>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F926182E-0FAB-4AFB-BF6A-853340689C8F}"/>
    <cellStyle name="Normal 2 4 7 5 2 2 3" xfId="24976" xr:uid="{7C81C929-C398-4F13-8B1B-574D96E2DD3B}"/>
    <cellStyle name="Normal 2 4 7 5 2 3" xfId="12312" xr:uid="{66EAE85B-70BA-46D5-BB4C-26CB2D9C01F1}"/>
    <cellStyle name="Normal 2 4 7 5 2 4" xfId="20759" xr:uid="{71CADD32-FF65-4A20-B945-F9BCA51C77A3}"/>
    <cellStyle name="Normal 2 4 7 5 3" xfId="5943" xr:uid="{00000000-0005-0000-0000-0000F5100000}"/>
    <cellStyle name="Normal 2 4 7 5 3 2" xfId="14385" xr:uid="{56FCE5EA-B506-47DC-A6DB-A5D42375B59D}"/>
    <cellStyle name="Normal 2 4 7 5 3 3" xfId="22831" xr:uid="{E71A73F4-29D7-4ADA-A247-C33D5C80D506}"/>
    <cellStyle name="Normal 2 4 7 5 4" xfId="10167" xr:uid="{A564014A-0AD4-4BE4-9899-F985EAF9A37C}"/>
    <cellStyle name="Normal 2 4 7 5 5" xfId="18612" xr:uid="{FC0AEBC9-FA75-48CF-823C-550F50F2CD0B}"/>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BA50FA8C-B453-4FE9-B72A-3ABFB3E4090A}"/>
    <cellStyle name="Normal 2 4 7 6 2 2 3" xfId="25389" xr:uid="{D3251BF1-2DCF-4291-92DC-A5687B597BEA}"/>
    <cellStyle name="Normal 2 4 7 6 2 3" xfId="12725" xr:uid="{620269CC-ABD8-4EEA-8142-9DA436508E21}"/>
    <cellStyle name="Normal 2 4 7 6 2 4" xfId="21172" xr:uid="{9E34102F-B92C-4902-BA69-5C4B3D0B2F6D}"/>
    <cellStyle name="Normal 2 4 7 6 3" xfId="6356" xr:uid="{00000000-0005-0000-0000-0000F9100000}"/>
    <cellStyle name="Normal 2 4 7 6 3 2" xfId="14798" xr:uid="{E3BA1870-BB4A-4D6D-B1AE-84BAF2007A21}"/>
    <cellStyle name="Normal 2 4 7 6 3 3" xfId="23244" xr:uid="{B001F9C4-9FA8-439A-B995-CA0207DE8A3B}"/>
    <cellStyle name="Normal 2 4 7 6 4" xfId="10580" xr:uid="{10729CD0-B380-4D17-AE28-3B30A1664280}"/>
    <cellStyle name="Normal 2 4 7 6 5" xfId="19025" xr:uid="{876DC3C4-68BC-4B1F-8D0D-D0FD150B629B}"/>
    <cellStyle name="Normal 2 4 7 7" xfId="2485" xr:uid="{00000000-0005-0000-0000-0000FA100000}"/>
    <cellStyle name="Normal 2 4 7 7 2" xfId="6769" xr:uid="{00000000-0005-0000-0000-0000FB100000}"/>
    <cellStyle name="Normal 2 4 7 7 2 2" xfId="15211" xr:uid="{900184B3-56DE-41B9-B549-86F23B1CE7E2}"/>
    <cellStyle name="Normal 2 4 7 7 2 3" xfId="23657" xr:uid="{3879E835-ECF2-4981-BDA4-7A05ACE03E54}"/>
    <cellStyle name="Normal 2 4 7 7 3" xfId="10993" xr:uid="{42020F10-C211-4028-9534-09A2BC9E5839}"/>
    <cellStyle name="Normal 2 4 7 7 4" xfId="19438" xr:uid="{FFFB26A7-1A3D-4A52-800B-D43D5B9742DB}"/>
    <cellStyle name="Normal 2 4 7 8" xfId="4703" xr:uid="{00000000-0005-0000-0000-0000FC100000}"/>
    <cellStyle name="Normal 2 4 7 8 2" xfId="13145" xr:uid="{94C50A96-8A52-41B1-BF32-BE104CC6775D}"/>
    <cellStyle name="Normal 2 4 7 8 3" xfId="21591" xr:uid="{3D29338A-B8A4-47FB-9DDF-6F2BAAE58902}"/>
    <cellStyle name="Normal 2 4 7 9" xfId="8927" xr:uid="{98D93796-E94F-4563-B0B2-F7EEE097E1BE}"/>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B6C96D6C-E559-4220-A6DB-CC56347CA061}"/>
    <cellStyle name="Normal 2 4 8 2 2 2 3" xfId="24152" xr:uid="{D9FEC3C3-39D6-402B-B6F2-99CB3AD7E2D6}"/>
    <cellStyle name="Normal 2 4 8 2 2 3" xfId="11488" xr:uid="{55B8F65A-C43A-4349-AA84-A89905D7FF4E}"/>
    <cellStyle name="Normal 2 4 8 2 2 4" xfId="19935" xr:uid="{3684193A-FABF-4433-9A83-F6ED2493C1D2}"/>
    <cellStyle name="Normal 2 4 8 2 3" xfId="5119" xr:uid="{00000000-0005-0000-0000-000001110000}"/>
    <cellStyle name="Normal 2 4 8 2 3 2" xfId="13561" xr:uid="{AE705A37-EB54-4D7C-91F3-7D46EA8C999A}"/>
    <cellStyle name="Normal 2 4 8 2 3 3" xfId="22007" xr:uid="{6C1A43E7-5976-49E4-9F08-DA1E06912CD9}"/>
    <cellStyle name="Normal 2 4 8 2 4" xfId="9343" xr:uid="{2B59EB00-7309-4694-BEEC-7D70292B3F55}"/>
    <cellStyle name="Normal 2 4 8 2 5" xfId="17788" xr:uid="{7AB4FB80-0E94-46B5-A2C8-4AC2BA9DAE12}"/>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7ED4CA0D-C03D-468B-B79D-BA1C29166A87}"/>
    <cellStyle name="Normal 2 4 8 3 2 2 3" xfId="24565" xr:uid="{399281B7-F0C7-4311-BFA9-31E414F4715B}"/>
    <cellStyle name="Normal 2 4 8 3 2 3" xfId="11901" xr:uid="{D5206586-F595-4AE7-A483-F7085390BBE5}"/>
    <cellStyle name="Normal 2 4 8 3 2 4" xfId="20348" xr:uid="{15192548-0B78-493A-AD8D-942868582890}"/>
    <cellStyle name="Normal 2 4 8 3 3" xfId="5532" xr:uid="{00000000-0005-0000-0000-000005110000}"/>
    <cellStyle name="Normal 2 4 8 3 3 2" xfId="13974" xr:uid="{9A716579-6D95-450C-A3DE-16285DCBA4F7}"/>
    <cellStyle name="Normal 2 4 8 3 3 3" xfId="22420" xr:uid="{61E51B34-2948-4BBF-83FE-5EF26786D372}"/>
    <cellStyle name="Normal 2 4 8 3 4" xfId="9756" xr:uid="{BBD9BE93-5FFE-4DC0-8A6E-1988395705DB}"/>
    <cellStyle name="Normal 2 4 8 3 5" xfId="18201" xr:uid="{49A67EC5-10BC-4F00-9AAB-127FF00D4DC1}"/>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805932BD-29B3-4C99-A539-FAF1BAB1D5E6}"/>
    <cellStyle name="Normal 2 4 8 4 2 2 3" xfId="24978" xr:uid="{80AD84DC-AA93-4B27-A8B5-D28C7CC646EB}"/>
    <cellStyle name="Normal 2 4 8 4 2 3" xfId="12314" xr:uid="{5DE9936C-0E7D-49AF-8E10-ECB4B753B741}"/>
    <cellStyle name="Normal 2 4 8 4 2 4" xfId="20761" xr:uid="{0BD27999-B0D1-4586-92F7-AB9F6C4332BF}"/>
    <cellStyle name="Normal 2 4 8 4 3" xfId="5945" xr:uid="{00000000-0005-0000-0000-000009110000}"/>
    <cellStyle name="Normal 2 4 8 4 3 2" xfId="14387" xr:uid="{B5CE6358-A2AB-4C07-8117-08441552A40D}"/>
    <cellStyle name="Normal 2 4 8 4 3 3" xfId="22833" xr:uid="{D4FD3733-CBE6-42AE-9AD3-5A54BDE4E675}"/>
    <cellStyle name="Normal 2 4 8 4 4" xfId="10169" xr:uid="{D3CC145F-4EAC-4C01-8FD9-5A4BD309B73F}"/>
    <cellStyle name="Normal 2 4 8 4 5" xfId="18614" xr:uid="{B94BFE12-C0B7-4B06-82A8-F6A540CDD284}"/>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55446420-C2F7-4501-9854-769D4B7AF2F6}"/>
    <cellStyle name="Normal 2 4 8 5 2 2 3" xfId="25391" xr:uid="{5E8A495C-E053-4ABC-A92C-366AE4671AC5}"/>
    <cellStyle name="Normal 2 4 8 5 2 3" xfId="12727" xr:uid="{10B3D02D-1EE2-4D20-92F5-479E7DCDD991}"/>
    <cellStyle name="Normal 2 4 8 5 2 4" xfId="21174" xr:uid="{04D54388-D1E7-4B3B-A3D6-C1B6992E3BCA}"/>
    <cellStyle name="Normal 2 4 8 5 3" xfId="6358" xr:uid="{00000000-0005-0000-0000-00000D110000}"/>
    <cellStyle name="Normal 2 4 8 5 3 2" xfId="14800" xr:uid="{4893D58F-9AD2-414F-9654-9E6932B26193}"/>
    <cellStyle name="Normal 2 4 8 5 3 3" xfId="23246" xr:uid="{5A21B534-46C6-4799-94C0-7005E216CCE3}"/>
    <cellStyle name="Normal 2 4 8 5 4" xfId="10582" xr:uid="{E8B39E4D-1A25-4C47-A028-6C1335C445B1}"/>
    <cellStyle name="Normal 2 4 8 5 5" xfId="19027" xr:uid="{D55E018D-6F78-41A5-ADE7-EA12B737C337}"/>
    <cellStyle name="Normal 2 4 8 6" xfId="2487" xr:uid="{00000000-0005-0000-0000-00000E110000}"/>
    <cellStyle name="Normal 2 4 8 6 2" xfId="6771" xr:uid="{00000000-0005-0000-0000-00000F110000}"/>
    <cellStyle name="Normal 2 4 8 6 2 2" xfId="15213" xr:uid="{E7545879-9B0D-4AFF-B33C-1863B476C1E1}"/>
    <cellStyle name="Normal 2 4 8 6 2 3" xfId="23659" xr:uid="{164716F5-698F-450D-9ED9-34F04C995449}"/>
    <cellStyle name="Normal 2 4 8 6 3" xfId="10995" xr:uid="{F709F733-3E2A-4092-8E4A-AE891475EF5A}"/>
    <cellStyle name="Normal 2 4 8 6 4" xfId="19440" xr:uid="{6FEE53DF-DC4C-4F62-A301-4CAAE1F8F56B}"/>
    <cellStyle name="Normal 2 4 8 7" xfId="4705" xr:uid="{00000000-0005-0000-0000-000010110000}"/>
    <cellStyle name="Normal 2 4 8 7 2" xfId="13147" xr:uid="{70FE4923-C6C9-4FEC-A4FF-302D7AB7BB54}"/>
    <cellStyle name="Normal 2 4 8 7 3" xfId="21593" xr:uid="{8AB3B559-1499-470B-9D58-8D38F4AB4CA0}"/>
    <cellStyle name="Normal 2 4 8 8" xfId="8929" xr:uid="{2468D9D4-905B-427A-8A23-C2FA579E1F23}"/>
    <cellStyle name="Normal 2 4 8 9" xfId="17373" xr:uid="{A1342363-D8E4-4AD7-ADB4-F730D468FBAC}"/>
    <cellStyle name="Normal 2 5" xfId="315" xr:uid="{00000000-0005-0000-0000-000011110000}"/>
    <cellStyle name="Normal 2 5 10" xfId="4706" xr:uid="{00000000-0005-0000-0000-000012110000}"/>
    <cellStyle name="Normal 2 5 10 2" xfId="13148" xr:uid="{AFF4CC58-BA32-4BFA-99D7-945BB2D7A183}"/>
    <cellStyle name="Normal 2 5 10 3" xfId="21594" xr:uid="{F927193D-A717-40CD-AE09-BF68788B013C}"/>
    <cellStyle name="Normal 2 5 11" xfId="8930" xr:uid="{83BBF601-AA7C-4408-806E-06054F60C346}"/>
    <cellStyle name="Normal 2 5 12" xfId="17374" xr:uid="{1C23FDFB-C8BD-49DE-9FC6-E1382F7BB90A}"/>
    <cellStyle name="Normal 2 5 13" xfId="25690" xr:uid="{ABCF7FEF-A5AD-4506-B5C9-A7BAF568C5CA}"/>
    <cellStyle name="Normal 2 5 2" xfId="316" xr:uid="{00000000-0005-0000-0000-000013110000}"/>
    <cellStyle name="Normal 2 5 2 2" xfId="25626" xr:uid="{56BEACC9-DB19-4AE0-8420-7EB9631CF497}"/>
    <cellStyle name="Normal 2 5 3" xfId="317" xr:uid="{00000000-0005-0000-0000-000014110000}"/>
    <cellStyle name="Normal 2 5 4" xfId="318" xr:uid="{00000000-0005-0000-0000-000015110000}"/>
    <cellStyle name="Normal 2 5 4 10" xfId="8931" xr:uid="{184F9A3B-036C-43C0-8EE6-5D7C014317F6}"/>
    <cellStyle name="Normal 2 5 4 11" xfId="17375" xr:uid="{9846F2B2-415F-4203-830B-1F6F7B4B215C}"/>
    <cellStyle name="Normal 2 5 4 2" xfId="319" xr:uid="{00000000-0005-0000-0000-000016110000}"/>
    <cellStyle name="Normal 2 5 4 2 10" xfId="17376" xr:uid="{6F0CF814-51EB-4E4F-A1C0-1260522A325F}"/>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739C80DF-E8C0-47B9-BF87-9BAAC5BF8BA9}"/>
    <cellStyle name="Normal 2 5 4 2 2 2 2 2 3" xfId="24156" xr:uid="{04E661CD-7E00-417B-B58C-EA005E5A26EB}"/>
    <cellStyle name="Normal 2 5 4 2 2 2 2 3" xfId="11492" xr:uid="{CC7C036A-697A-4156-985B-D0F27AD6E0C4}"/>
    <cellStyle name="Normal 2 5 4 2 2 2 2 4" xfId="19939" xr:uid="{0470AF04-9BDC-4425-96D6-BE88B23F750E}"/>
    <cellStyle name="Normal 2 5 4 2 2 2 3" xfId="5123" xr:uid="{00000000-0005-0000-0000-00001B110000}"/>
    <cellStyle name="Normal 2 5 4 2 2 2 3 2" xfId="13565" xr:uid="{8865AE38-1962-47C5-98DD-B7249C516E86}"/>
    <cellStyle name="Normal 2 5 4 2 2 2 3 3" xfId="22011" xr:uid="{E4B0805D-5FEC-4088-AEE1-AE1009EC0165}"/>
    <cellStyle name="Normal 2 5 4 2 2 2 4" xfId="9347" xr:uid="{279973CF-92E2-4CAB-AB82-A3E41AFC652F}"/>
    <cellStyle name="Normal 2 5 4 2 2 2 5" xfId="17792" xr:uid="{152057B8-055B-4071-8D8E-9283258523B7}"/>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FF792296-8891-4AC4-A413-541AD32401FF}"/>
    <cellStyle name="Normal 2 5 4 2 2 3 2 2 3" xfId="24569" xr:uid="{66A8CDCC-C6D6-4222-A916-D533470DAADC}"/>
    <cellStyle name="Normal 2 5 4 2 2 3 2 3" xfId="11905" xr:uid="{622E57EF-78FD-4B21-AAC2-F9F9B1A6C40F}"/>
    <cellStyle name="Normal 2 5 4 2 2 3 2 4" xfId="20352" xr:uid="{A9BEF331-0A97-4DD8-91BD-B89069BC3EF7}"/>
    <cellStyle name="Normal 2 5 4 2 2 3 3" xfId="5536" xr:uid="{00000000-0005-0000-0000-00001F110000}"/>
    <cellStyle name="Normal 2 5 4 2 2 3 3 2" xfId="13978" xr:uid="{CD4687F9-7701-42D3-8C0B-B390E4A3C1A8}"/>
    <cellStyle name="Normal 2 5 4 2 2 3 3 3" xfId="22424" xr:uid="{95ECC7D0-F172-41BA-8A8C-69F7C1938339}"/>
    <cellStyle name="Normal 2 5 4 2 2 3 4" xfId="9760" xr:uid="{FE653F46-450A-405E-B5AB-61F932239EA6}"/>
    <cellStyle name="Normal 2 5 4 2 2 3 5" xfId="18205" xr:uid="{D9834A8D-A79B-4208-9967-3F5405E283C7}"/>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7C9090CA-290F-43FF-9A85-0ABEBF4EF0CC}"/>
    <cellStyle name="Normal 2 5 4 2 2 4 2 2 3" xfId="24982" xr:uid="{4410F57B-EEFF-4392-8334-11C1C36E4CE4}"/>
    <cellStyle name="Normal 2 5 4 2 2 4 2 3" xfId="12318" xr:uid="{50FE1877-7228-4D01-BB1C-4A947A84D88E}"/>
    <cellStyle name="Normal 2 5 4 2 2 4 2 4" xfId="20765" xr:uid="{7A40F0D3-3AE7-47C9-B4F9-98CD31AF4F52}"/>
    <cellStyle name="Normal 2 5 4 2 2 4 3" xfId="5949" xr:uid="{00000000-0005-0000-0000-000023110000}"/>
    <cellStyle name="Normal 2 5 4 2 2 4 3 2" xfId="14391" xr:uid="{43F2A39E-6753-4D36-B2D7-1EC7E5567E29}"/>
    <cellStyle name="Normal 2 5 4 2 2 4 3 3" xfId="22837" xr:uid="{E09ACBB5-2AF3-4652-80F4-8A9CC6DC62F3}"/>
    <cellStyle name="Normal 2 5 4 2 2 4 4" xfId="10173" xr:uid="{F9B9DF18-D374-482A-99D7-39EDA3A17BFD}"/>
    <cellStyle name="Normal 2 5 4 2 2 4 5" xfId="18618" xr:uid="{17953F57-C200-44E1-B5DF-1320D4E90898}"/>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2D5E3116-D72E-4FA7-A1D4-F04A46FFF07E}"/>
    <cellStyle name="Normal 2 5 4 2 2 5 2 2 3" xfId="25395" xr:uid="{BE6FDC29-3E45-4537-91FC-518DD1BA27A3}"/>
    <cellStyle name="Normal 2 5 4 2 2 5 2 3" xfId="12731" xr:uid="{AB8DAF7A-8569-4936-9D16-9CAF3B817459}"/>
    <cellStyle name="Normal 2 5 4 2 2 5 2 4" xfId="21178" xr:uid="{A68576BE-4C74-476B-B5DD-8BEC25927851}"/>
    <cellStyle name="Normal 2 5 4 2 2 5 3" xfId="6362" xr:uid="{00000000-0005-0000-0000-000027110000}"/>
    <cellStyle name="Normal 2 5 4 2 2 5 3 2" xfId="14804" xr:uid="{96050C0B-1504-40A7-9579-2E4C6EBEAE39}"/>
    <cellStyle name="Normal 2 5 4 2 2 5 3 3" xfId="23250" xr:uid="{25456B25-5251-4261-8C18-0563EBEB81F0}"/>
    <cellStyle name="Normal 2 5 4 2 2 5 4" xfId="10586" xr:uid="{3A79A100-5F6F-430B-976B-D9EA384A6370}"/>
    <cellStyle name="Normal 2 5 4 2 2 5 5" xfId="19031" xr:uid="{712BD169-221D-49AF-87EE-04CE932D5C5F}"/>
    <cellStyle name="Normal 2 5 4 2 2 6" xfId="2491" xr:uid="{00000000-0005-0000-0000-000028110000}"/>
    <cellStyle name="Normal 2 5 4 2 2 6 2" xfId="6775" xr:uid="{00000000-0005-0000-0000-000029110000}"/>
    <cellStyle name="Normal 2 5 4 2 2 6 2 2" xfId="15217" xr:uid="{42309817-65ED-4CAD-82F9-E983F9BC0086}"/>
    <cellStyle name="Normal 2 5 4 2 2 6 2 3" xfId="23663" xr:uid="{2BD6A397-772A-4E64-BE56-538954FD3C80}"/>
    <cellStyle name="Normal 2 5 4 2 2 6 3" xfId="10999" xr:uid="{7C6BFE02-8B7A-4BE3-B58B-FC88A5D6E1F5}"/>
    <cellStyle name="Normal 2 5 4 2 2 6 4" xfId="19444" xr:uid="{AB486243-9AC6-42EC-9B5B-C93B99D04E60}"/>
    <cellStyle name="Normal 2 5 4 2 2 7" xfId="4709" xr:uid="{00000000-0005-0000-0000-00002A110000}"/>
    <cellStyle name="Normal 2 5 4 2 2 7 2" xfId="13151" xr:uid="{56709C16-FBD2-42F2-80DE-9F1AABB17DA1}"/>
    <cellStyle name="Normal 2 5 4 2 2 7 3" xfId="21597" xr:uid="{79F18FA9-4A54-4973-AEB5-9A095C2849F1}"/>
    <cellStyle name="Normal 2 5 4 2 2 8" xfId="8933" xr:uid="{227FD1A7-9943-421D-BCAA-E95417869050}"/>
    <cellStyle name="Normal 2 5 4 2 2 9" xfId="17377" xr:uid="{06AE3483-650F-4CDE-8EF2-5C79578207B1}"/>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3FDF5389-8B2C-47CD-B5F7-2E29ADC2EA71}"/>
    <cellStyle name="Normal 2 5 4 2 3 2 2 3" xfId="24155" xr:uid="{2125D954-2C6C-497E-9BA2-42912E7D9271}"/>
    <cellStyle name="Normal 2 5 4 2 3 2 3" xfId="11491" xr:uid="{8A853F5B-8E4D-408B-9BEE-6839A129F8C9}"/>
    <cellStyle name="Normal 2 5 4 2 3 2 4" xfId="19938" xr:uid="{CF63FFFB-C69F-4E28-AE7E-B24928312D50}"/>
    <cellStyle name="Normal 2 5 4 2 3 3" xfId="5122" xr:uid="{00000000-0005-0000-0000-00002E110000}"/>
    <cellStyle name="Normal 2 5 4 2 3 3 2" xfId="13564" xr:uid="{9F4ADEBB-6E2F-4019-A4B3-E25C1EDE7CAB}"/>
    <cellStyle name="Normal 2 5 4 2 3 3 3" xfId="22010" xr:uid="{84860C58-854A-4CFA-9073-D21F01141658}"/>
    <cellStyle name="Normal 2 5 4 2 3 4" xfId="9346" xr:uid="{CD32B011-3A62-4A2B-B5DE-D651E639F41A}"/>
    <cellStyle name="Normal 2 5 4 2 3 5" xfId="17791" xr:uid="{7623BF67-FD30-4B98-A760-32B2A4CC939B}"/>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D69A9C0B-B1AC-4FCE-AA63-8646992419D1}"/>
    <cellStyle name="Normal 2 5 4 2 4 2 2 3" xfId="24568" xr:uid="{4ADD1E9B-E523-4DE8-A0CC-C33B08226ECE}"/>
    <cellStyle name="Normal 2 5 4 2 4 2 3" xfId="11904" xr:uid="{17A33CA0-4DFA-4B32-BDD3-85E2A71BABE3}"/>
    <cellStyle name="Normal 2 5 4 2 4 2 4" xfId="20351" xr:uid="{47751873-4B22-4899-8499-E6E1608BF083}"/>
    <cellStyle name="Normal 2 5 4 2 4 3" xfId="5535" xr:uid="{00000000-0005-0000-0000-000032110000}"/>
    <cellStyle name="Normal 2 5 4 2 4 3 2" xfId="13977" xr:uid="{B0BF9468-33C8-48D3-B3A6-5FDFDAD77D53}"/>
    <cellStyle name="Normal 2 5 4 2 4 3 3" xfId="22423" xr:uid="{F555FC2A-0C30-4507-A3CF-A5237AB4B0B3}"/>
    <cellStyle name="Normal 2 5 4 2 4 4" xfId="9759" xr:uid="{048AFA8A-9F54-418E-A1E8-9967B8482EB1}"/>
    <cellStyle name="Normal 2 5 4 2 4 5" xfId="18204" xr:uid="{A3CD5F36-BC33-4069-A57D-A7B2CA040605}"/>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161B5CAC-4B95-4090-806A-759EF6F1EF63}"/>
    <cellStyle name="Normal 2 5 4 2 5 2 2 3" xfId="24981" xr:uid="{7A5A42EB-9F1D-4F27-93F5-E8D125B6AA19}"/>
    <cellStyle name="Normal 2 5 4 2 5 2 3" xfId="12317" xr:uid="{72018994-8AE4-42D5-9722-294945023B49}"/>
    <cellStyle name="Normal 2 5 4 2 5 2 4" xfId="20764" xr:uid="{3D34CB41-6273-47CB-9DAC-E0B7CEF0D0FB}"/>
    <cellStyle name="Normal 2 5 4 2 5 3" xfId="5948" xr:uid="{00000000-0005-0000-0000-000036110000}"/>
    <cellStyle name="Normal 2 5 4 2 5 3 2" xfId="14390" xr:uid="{9066B92A-D187-4087-97B6-1F0DC4C7A1F4}"/>
    <cellStyle name="Normal 2 5 4 2 5 3 3" xfId="22836" xr:uid="{22765AA2-01D7-4A92-970F-252EE498807F}"/>
    <cellStyle name="Normal 2 5 4 2 5 4" xfId="10172" xr:uid="{ACBFB1F5-8929-4701-897F-0019947BDA54}"/>
    <cellStyle name="Normal 2 5 4 2 5 5" xfId="18617" xr:uid="{5DE1D6BD-6CBD-47EF-8E9B-0991895981E2}"/>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6EFA7C0D-91A3-4741-814A-6A19A1042DBC}"/>
    <cellStyle name="Normal 2 5 4 2 6 2 2 3" xfId="25394" xr:uid="{71AC71CD-5731-41A4-B6C6-F43CB491DC7E}"/>
    <cellStyle name="Normal 2 5 4 2 6 2 3" xfId="12730" xr:uid="{58113345-1F9F-457F-889C-55BEEFD2C2A3}"/>
    <cellStyle name="Normal 2 5 4 2 6 2 4" xfId="21177" xr:uid="{64CF7BFF-02F5-43A1-A509-189B898C91E3}"/>
    <cellStyle name="Normal 2 5 4 2 6 3" xfId="6361" xr:uid="{00000000-0005-0000-0000-00003A110000}"/>
    <cellStyle name="Normal 2 5 4 2 6 3 2" xfId="14803" xr:uid="{9C11E87B-6441-415B-A6E8-331BDBC31F04}"/>
    <cellStyle name="Normal 2 5 4 2 6 3 3" xfId="23249" xr:uid="{67CB23CA-8E92-4F76-99C7-FFE2C16C61D2}"/>
    <cellStyle name="Normal 2 5 4 2 6 4" xfId="10585" xr:uid="{770FEFAF-647D-4CA5-8DCF-1E9F1750A85F}"/>
    <cellStyle name="Normal 2 5 4 2 6 5" xfId="19030" xr:uid="{ABB2C003-D1A2-4C0A-8026-1FDE69D5F8FF}"/>
    <cellStyle name="Normal 2 5 4 2 7" xfId="2490" xr:uid="{00000000-0005-0000-0000-00003B110000}"/>
    <cellStyle name="Normal 2 5 4 2 7 2" xfId="6774" xr:uid="{00000000-0005-0000-0000-00003C110000}"/>
    <cellStyle name="Normal 2 5 4 2 7 2 2" xfId="15216" xr:uid="{89970F59-12C4-4BE8-BB52-AD61D7E9FEA1}"/>
    <cellStyle name="Normal 2 5 4 2 7 2 3" xfId="23662" xr:uid="{D9024365-9455-4788-887A-BBE0C83B2543}"/>
    <cellStyle name="Normal 2 5 4 2 7 3" xfId="10998" xr:uid="{90CFF6CC-6A66-44DD-B0B0-32BB39AD4C12}"/>
    <cellStyle name="Normal 2 5 4 2 7 4" xfId="19443" xr:uid="{EE3E652E-FECA-43E9-9A00-50D2CC36C6CD}"/>
    <cellStyle name="Normal 2 5 4 2 8" xfId="4708" xr:uid="{00000000-0005-0000-0000-00003D110000}"/>
    <cellStyle name="Normal 2 5 4 2 8 2" xfId="13150" xr:uid="{C4B3A643-5D41-47C5-8E0B-8A58640639AA}"/>
    <cellStyle name="Normal 2 5 4 2 8 3" xfId="21596" xr:uid="{745075F7-3E58-4D15-BDCF-77490400935E}"/>
    <cellStyle name="Normal 2 5 4 2 9" xfId="8932" xr:uid="{0AD5B8F7-B08C-4728-8BAC-0931AC56C57F}"/>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F3083E06-D584-4767-BD84-27DDA9E1DB7E}"/>
    <cellStyle name="Normal 2 5 4 3 2 2 2 3" xfId="24157" xr:uid="{C23C1D5D-1B70-4823-92C4-DB0F81154DB0}"/>
    <cellStyle name="Normal 2 5 4 3 2 2 3" xfId="11493" xr:uid="{294A0E0D-32E7-49FB-A776-32B2810A4302}"/>
    <cellStyle name="Normal 2 5 4 3 2 2 4" xfId="19940" xr:uid="{BACE9860-193E-4100-B3A2-18F5C41DDF53}"/>
    <cellStyle name="Normal 2 5 4 3 2 3" xfId="5124" xr:uid="{00000000-0005-0000-0000-000042110000}"/>
    <cellStyle name="Normal 2 5 4 3 2 3 2" xfId="13566" xr:uid="{17D7EFFF-0678-453B-8ED0-172FDB2991A8}"/>
    <cellStyle name="Normal 2 5 4 3 2 3 3" xfId="22012" xr:uid="{A5E848EC-11B5-435B-A86A-E5D50A8A8D9C}"/>
    <cellStyle name="Normal 2 5 4 3 2 4" xfId="9348" xr:uid="{229E083C-8504-44FC-8F34-2DE0B9EE79C4}"/>
    <cellStyle name="Normal 2 5 4 3 2 5" xfId="17793" xr:uid="{EB317202-40A8-4B67-BA34-B2C8969F7D5C}"/>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10393149-EBF6-4E2F-8A2E-294F5E1A0A07}"/>
    <cellStyle name="Normal 2 5 4 3 3 2 2 3" xfId="24570" xr:uid="{3A4D8CAD-1A9D-4DC8-97C2-819F264DD3EB}"/>
    <cellStyle name="Normal 2 5 4 3 3 2 3" xfId="11906" xr:uid="{A8862971-D5BE-4083-86AF-FC94AD6DE93B}"/>
    <cellStyle name="Normal 2 5 4 3 3 2 4" xfId="20353" xr:uid="{6A92E344-42B9-4B4E-B538-D7AB38C8218E}"/>
    <cellStyle name="Normal 2 5 4 3 3 3" xfId="5537" xr:uid="{00000000-0005-0000-0000-000046110000}"/>
    <cellStyle name="Normal 2 5 4 3 3 3 2" xfId="13979" xr:uid="{AE9B99B3-5602-41BC-A152-A3EBD2FED6D7}"/>
    <cellStyle name="Normal 2 5 4 3 3 3 3" xfId="22425" xr:uid="{26665892-E70D-4A70-AD03-92D206D21039}"/>
    <cellStyle name="Normal 2 5 4 3 3 4" xfId="9761" xr:uid="{57E4781F-6244-4D68-8769-D68354BF2DFF}"/>
    <cellStyle name="Normal 2 5 4 3 3 5" xfId="18206" xr:uid="{912E2027-026B-4C43-B0F3-C3D730753083}"/>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1C443B86-124F-478F-84BB-23F2A32096D0}"/>
    <cellStyle name="Normal 2 5 4 3 4 2 2 3" xfId="24983" xr:uid="{2CB3B258-0645-48F5-BB50-625ACF6A5B0E}"/>
    <cellStyle name="Normal 2 5 4 3 4 2 3" xfId="12319" xr:uid="{C9C49EAC-DC16-4BBD-8B80-083758265020}"/>
    <cellStyle name="Normal 2 5 4 3 4 2 4" xfId="20766" xr:uid="{98168C89-9CE2-4C83-9D56-FCC08490AEF1}"/>
    <cellStyle name="Normal 2 5 4 3 4 3" xfId="5950" xr:uid="{00000000-0005-0000-0000-00004A110000}"/>
    <cellStyle name="Normal 2 5 4 3 4 3 2" xfId="14392" xr:uid="{A177C918-9E0C-4596-829B-E0DC41A7BA95}"/>
    <cellStyle name="Normal 2 5 4 3 4 3 3" xfId="22838" xr:uid="{23238D37-9E2F-4EF4-9A1D-6D1EE35B82EF}"/>
    <cellStyle name="Normal 2 5 4 3 4 4" xfId="10174" xr:uid="{B7F24524-540E-4C1F-B72B-A021895DF9DC}"/>
    <cellStyle name="Normal 2 5 4 3 4 5" xfId="18619" xr:uid="{3D09737E-B7ED-4C6E-92F1-D67D6A17FD2C}"/>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1B528988-B7D1-4156-8695-2B39869E3B4A}"/>
    <cellStyle name="Normal 2 5 4 3 5 2 2 3" xfId="25396" xr:uid="{C9A29C52-3B8B-4FC0-8A1A-9343D1D7215C}"/>
    <cellStyle name="Normal 2 5 4 3 5 2 3" xfId="12732" xr:uid="{4BE1D312-A0CC-420A-8F7D-D84B0BC48BDB}"/>
    <cellStyle name="Normal 2 5 4 3 5 2 4" xfId="21179" xr:uid="{323E0728-B769-42F7-817E-2181342BA2F7}"/>
    <cellStyle name="Normal 2 5 4 3 5 3" xfId="6363" xr:uid="{00000000-0005-0000-0000-00004E110000}"/>
    <cellStyle name="Normal 2 5 4 3 5 3 2" xfId="14805" xr:uid="{FA435010-1DD4-4092-92AA-D9CC42287CA8}"/>
    <cellStyle name="Normal 2 5 4 3 5 3 3" xfId="23251" xr:uid="{D6F4C22B-34DB-49CD-AAE2-964B450A1A90}"/>
    <cellStyle name="Normal 2 5 4 3 5 4" xfId="10587" xr:uid="{2E6C7CFE-87B9-4192-9F1D-8083052DB7EF}"/>
    <cellStyle name="Normal 2 5 4 3 5 5" xfId="19032" xr:uid="{7AE4E4FD-2F16-4892-AB9B-BFAFC4224066}"/>
    <cellStyle name="Normal 2 5 4 3 6" xfId="2492" xr:uid="{00000000-0005-0000-0000-00004F110000}"/>
    <cellStyle name="Normal 2 5 4 3 6 2" xfId="6776" xr:uid="{00000000-0005-0000-0000-000050110000}"/>
    <cellStyle name="Normal 2 5 4 3 6 2 2" xfId="15218" xr:uid="{0A86D3A5-79A1-4389-914C-EF6ABDD26B98}"/>
    <cellStyle name="Normal 2 5 4 3 6 2 3" xfId="23664" xr:uid="{99DD0B4F-A87D-43DA-AE54-F2B2E90D0B29}"/>
    <cellStyle name="Normal 2 5 4 3 6 3" xfId="11000" xr:uid="{F0B43B32-EEE8-4FE0-96FD-F8D0B6F6D390}"/>
    <cellStyle name="Normal 2 5 4 3 6 4" xfId="19445" xr:uid="{061AF427-9E9D-41A0-AC95-166F4F7F0033}"/>
    <cellStyle name="Normal 2 5 4 3 7" xfId="4710" xr:uid="{00000000-0005-0000-0000-000051110000}"/>
    <cellStyle name="Normal 2 5 4 3 7 2" xfId="13152" xr:uid="{13E403B7-983E-474A-8C59-9BAAD16815DF}"/>
    <cellStyle name="Normal 2 5 4 3 7 3" xfId="21598" xr:uid="{BA7AF5BC-534E-4BB1-B9B7-374690F036FB}"/>
    <cellStyle name="Normal 2 5 4 3 8" xfId="8934" xr:uid="{0CD6A25A-C04E-465B-B1DB-D49D2A9DC017}"/>
    <cellStyle name="Normal 2 5 4 3 9" xfId="17378" xr:uid="{F6D1B5C2-2935-46AB-B16C-3408B077DC4D}"/>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EF578DEF-AAB0-4ABE-A3D4-7BD2B2D81E4B}"/>
    <cellStyle name="Normal 2 5 4 4 2 2 3" xfId="24154" xr:uid="{F1181D88-D680-4AA3-A785-2E92465060B8}"/>
    <cellStyle name="Normal 2 5 4 4 2 3" xfId="11490" xr:uid="{9182E090-53B9-48EC-A25F-B43EEE1703B7}"/>
    <cellStyle name="Normal 2 5 4 4 2 4" xfId="19937" xr:uid="{D35AB622-91D6-411B-B09A-789F921D5ABE}"/>
    <cellStyle name="Normal 2 5 4 4 3" xfId="5121" xr:uid="{00000000-0005-0000-0000-000055110000}"/>
    <cellStyle name="Normal 2 5 4 4 3 2" xfId="13563" xr:uid="{B4290088-3D64-41C1-937C-58BBFECE08E7}"/>
    <cellStyle name="Normal 2 5 4 4 3 3" xfId="22009" xr:uid="{A9F08B28-7F04-402E-B54A-BD460525E858}"/>
    <cellStyle name="Normal 2 5 4 4 4" xfId="9345" xr:uid="{CA8BFA81-37E5-4167-B110-DCA2C3A2E128}"/>
    <cellStyle name="Normal 2 5 4 4 5" xfId="17790" xr:uid="{04C2C19F-BBD7-4E1F-B8BF-FD108D86490D}"/>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52BC98DD-415D-4CD7-86F4-B6CE8B224A33}"/>
    <cellStyle name="Normal 2 5 4 5 2 2 3" xfId="24567" xr:uid="{C620B9A4-D5E0-4627-9351-5618811ACE5F}"/>
    <cellStyle name="Normal 2 5 4 5 2 3" xfId="11903" xr:uid="{6EAD132E-53A2-4602-AF1A-47610263F452}"/>
    <cellStyle name="Normal 2 5 4 5 2 4" xfId="20350" xr:uid="{D5248A0D-AD6E-4C3A-A59B-FB07C2956D3C}"/>
    <cellStyle name="Normal 2 5 4 5 3" xfId="5534" xr:uid="{00000000-0005-0000-0000-000059110000}"/>
    <cellStyle name="Normal 2 5 4 5 3 2" xfId="13976" xr:uid="{BB42DC12-01FA-4607-B20F-8ED357846B3D}"/>
    <cellStyle name="Normal 2 5 4 5 3 3" xfId="22422" xr:uid="{821AAD76-670A-448D-BE2F-BD704CF01FBB}"/>
    <cellStyle name="Normal 2 5 4 5 4" xfId="9758" xr:uid="{9239A840-50A9-4F45-819D-9E297B0B2246}"/>
    <cellStyle name="Normal 2 5 4 5 5" xfId="18203" xr:uid="{5B576D2C-FC9F-4287-A927-DBF19E1F04B4}"/>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C0C48FAB-70F4-4CB9-A534-8C312F0CFCD0}"/>
    <cellStyle name="Normal 2 5 4 6 2 2 3" xfId="24980" xr:uid="{594DDC65-6348-43F7-B001-099F8D285BB8}"/>
    <cellStyle name="Normal 2 5 4 6 2 3" xfId="12316" xr:uid="{8A1D2C38-3CFA-4579-A855-F91620BF6582}"/>
    <cellStyle name="Normal 2 5 4 6 2 4" xfId="20763" xr:uid="{E406DBA5-4223-47F7-8B2B-68DE378F15F0}"/>
    <cellStyle name="Normal 2 5 4 6 3" xfId="5947" xr:uid="{00000000-0005-0000-0000-00005D110000}"/>
    <cellStyle name="Normal 2 5 4 6 3 2" xfId="14389" xr:uid="{02A16D6F-5285-4151-800B-A57849A6FC64}"/>
    <cellStyle name="Normal 2 5 4 6 3 3" xfId="22835" xr:uid="{4A3CA6A9-AC4D-472F-A771-65C0D239F064}"/>
    <cellStyle name="Normal 2 5 4 6 4" xfId="10171" xr:uid="{B54BB6BA-2C14-4C1A-A6B9-C1089D4E1B95}"/>
    <cellStyle name="Normal 2 5 4 6 5" xfId="18616" xr:uid="{AA22D094-4C2F-407E-AE0D-0377BD1883C6}"/>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D55D3313-AAAC-4B1D-BB16-E11A1880BB7A}"/>
    <cellStyle name="Normal 2 5 4 7 2 2 3" xfId="25393" xr:uid="{6D1B5581-9E76-492B-9768-F9A9EDBEF00E}"/>
    <cellStyle name="Normal 2 5 4 7 2 3" xfId="12729" xr:uid="{71AB329D-0783-462D-87E3-B33939FB9E14}"/>
    <cellStyle name="Normal 2 5 4 7 2 4" xfId="21176" xr:uid="{04D1DFCD-5C28-45F7-9E01-578F6C590DF6}"/>
    <cellStyle name="Normal 2 5 4 7 3" xfId="6360" xr:uid="{00000000-0005-0000-0000-000061110000}"/>
    <cellStyle name="Normal 2 5 4 7 3 2" xfId="14802" xr:uid="{32166A16-2CE3-44A8-B003-320920F8A62F}"/>
    <cellStyle name="Normal 2 5 4 7 3 3" xfId="23248" xr:uid="{743CAA5E-32AF-4A00-9175-F89216EB7729}"/>
    <cellStyle name="Normal 2 5 4 7 4" xfId="10584" xr:uid="{775122C5-8ABD-4F0E-81CC-C683F75445CC}"/>
    <cellStyle name="Normal 2 5 4 7 5" xfId="19029" xr:uid="{F909BDA0-EA89-4633-A802-66898AB78816}"/>
    <cellStyle name="Normal 2 5 4 8" xfId="2489" xr:uid="{00000000-0005-0000-0000-000062110000}"/>
    <cellStyle name="Normal 2 5 4 8 2" xfId="6773" xr:uid="{00000000-0005-0000-0000-000063110000}"/>
    <cellStyle name="Normal 2 5 4 8 2 2" xfId="15215" xr:uid="{F633D5CA-CC7C-46D4-ABFC-4DAC1CC6AB2D}"/>
    <cellStyle name="Normal 2 5 4 8 2 3" xfId="23661" xr:uid="{4ACF8753-D47F-425D-A9BF-C5E3FBDF3F09}"/>
    <cellStyle name="Normal 2 5 4 8 3" xfId="10997" xr:uid="{C3849ED8-6E46-43C9-B59E-D525970AE92B}"/>
    <cellStyle name="Normal 2 5 4 8 4" xfId="19442" xr:uid="{93F8A605-DD97-4F4F-A171-06627BB2A611}"/>
    <cellStyle name="Normal 2 5 4 9" xfId="4707" xr:uid="{00000000-0005-0000-0000-000064110000}"/>
    <cellStyle name="Normal 2 5 4 9 2" xfId="13149" xr:uid="{DE44C64F-FA26-482F-A138-3C1FE9C87DFC}"/>
    <cellStyle name="Normal 2 5 4 9 3" xfId="21595" xr:uid="{59C81B8D-5C67-443E-80A3-91E158D9126D}"/>
    <cellStyle name="Normal 2 5 5" xfId="803" xr:uid="{00000000-0005-0000-0000-000065110000}"/>
    <cellStyle name="Normal 2 5 5 2" xfId="3042" xr:uid="{00000000-0005-0000-0000-000066110000}"/>
    <cellStyle name="Normal 2 5 5 2 2" xfId="7265" xr:uid="{00000000-0005-0000-0000-000067110000}"/>
    <cellStyle name="Normal 2 5 5 2 2 2" xfId="15707" xr:uid="{ED4BB191-92BC-4D80-9346-9376986489D8}"/>
    <cellStyle name="Normal 2 5 5 2 2 3" xfId="24153" xr:uid="{AB79D44D-910A-47F3-B79F-D5186F4F0901}"/>
    <cellStyle name="Normal 2 5 5 2 3" xfId="11489" xr:uid="{7AF8CC65-6F71-4BA5-9A3F-61D4C72B1F11}"/>
    <cellStyle name="Normal 2 5 5 2 4" xfId="19936" xr:uid="{38751911-9D13-4D86-A182-C02023A7F3BC}"/>
    <cellStyle name="Normal 2 5 5 3" xfId="5120" xr:uid="{00000000-0005-0000-0000-000068110000}"/>
    <cellStyle name="Normal 2 5 5 3 2" xfId="13562" xr:uid="{45637B4A-2CA7-43D5-857F-053F7E9354C5}"/>
    <cellStyle name="Normal 2 5 5 3 3" xfId="22008" xr:uid="{4EE73DB0-74BA-49E3-99A9-865D34EBFDD9}"/>
    <cellStyle name="Normal 2 5 5 4" xfId="9344" xr:uid="{883CAE5B-1AF7-45AA-B204-8C65284212EA}"/>
    <cellStyle name="Normal 2 5 5 5" xfId="17789" xr:uid="{36589608-699B-4B8C-AED6-BA95BCBBFE44}"/>
    <cellStyle name="Normal 2 5 6" xfId="1225" xr:uid="{00000000-0005-0000-0000-000069110000}"/>
    <cellStyle name="Normal 2 5 6 2" xfId="3455" xr:uid="{00000000-0005-0000-0000-00006A110000}"/>
    <cellStyle name="Normal 2 5 6 2 2" xfId="7678" xr:uid="{00000000-0005-0000-0000-00006B110000}"/>
    <cellStyle name="Normal 2 5 6 2 2 2" xfId="16120" xr:uid="{A32CBFDF-D0F8-41A8-B9EA-A5F812250A63}"/>
    <cellStyle name="Normal 2 5 6 2 2 3" xfId="24566" xr:uid="{853BE40C-5DF4-476B-B1EF-3E9FA0747AD0}"/>
    <cellStyle name="Normal 2 5 6 2 3" xfId="11902" xr:uid="{2CE17771-5417-424D-9BAF-E1DFA93B9AE4}"/>
    <cellStyle name="Normal 2 5 6 2 4" xfId="20349" xr:uid="{FCEAB0C4-B14C-464C-9EEF-7E7D62C65336}"/>
    <cellStyle name="Normal 2 5 6 3" xfId="5533" xr:uid="{00000000-0005-0000-0000-00006C110000}"/>
    <cellStyle name="Normal 2 5 6 3 2" xfId="13975" xr:uid="{94DD32FE-4D79-43DE-B8AB-327D0F500581}"/>
    <cellStyle name="Normal 2 5 6 3 3" xfId="22421" xr:uid="{EC7D058D-8636-4EF2-9911-4A16A70A1B5F}"/>
    <cellStyle name="Normal 2 5 6 4" xfId="9757" xr:uid="{559F7D62-EDE1-4643-B6E1-6241E29A0885}"/>
    <cellStyle name="Normal 2 5 6 5" xfId="18202" xr:uid="{0F0DBE85-419F-4A4B-994B-A4A79FE42F7D}"/>
    <cellStyle name="Normal 2 5 7" xfId="1638" xr:uid="{00000000-0005-0000-0000-00006D110000}"/>
    <cellStyle name="Normal 2 5 7 2" xfId="3868" xr:uid="{00000000-0005-0000-0000-00006E110000}"/>
    <cellStyle name="Normal 2 5 7 2 2" xfId="8091" xr:uid="{00000000-0005-0000-0000-00006F110000}"/>
    <cellStyle name="Normal 2 5 7 2 2 2" xfId="16533" xr:uid="{6FE8F387-0F3A-4EA5-AF19-BE2F93A3C32F}"/>
    <cellStyle name="Normal 2 5 7 2 2 3" xfId="24979" xr:uid="{9F7249F0-68BD-4DE5-B200-7A856FA1133E}"/>
    <cellStyle name="Normal 2 5 7 2 3" xfId="12315" xr:uid="{DB19842C-039F-457A-808B-6ECC3F08AF18}"/>
    <cellStyle name="Normal 2 5 7 2 4" xfId="20762" xr:uid="{FA10C627-D72F-48D3-898A-1BBA1C1F38C1}"/>
    <cellStyle name="Normal 2 5 7 3" xfId="5946" xr:uid="{00000000-0005-0000-0000-000070110000}"/>
    <cellStyle name="Normal 2 5 7 3 2" xfId="14388" xr:uid="{2B87EF0C-4838-439B-8BF8-B57FF8174236}"/>
    <cellStyle name="Normal 2 5 7 3 3" xfId="22834" xr:uid="{5A8259D6-8F7F-49A6-A32E-49F853857843}"/>
    <cellStyle name="Normal 2 5 7 4" xfId="10170" xr:uid="{28B5E0E5-1BC6-4ECC-AEDB-69A5EFA6650E}"/>
    <cellStyle name="Normal 2 5 7 5" xfId="18615" xr:uid="{4BC8CBF2-8398-438E-A323-00B912A092FC}"/>
    <cellStyle name="Normal 2 5 8" xfId="2052" xr:uid="{00000000-0005-0000-0000-000071110000}"/>
    <cellStyle name="Normal 2 5 8 2" xfId="4281" xr:uid="{00000000-0005-0000-0000-000072110000}"/>
    <cellStyle name="Normal 2 5 8 2 2" xfId="8504" xr:uid="{00000000-0005-0000-0000-000073110000}"/>
    <cellStyle name="Normal 2 5 8 2 2 2" xfId="16946" xr:uid="{4300DAD9-8D8B-4F19-BA03-EF35CF191254}"/>
    <cellStyle name="Normal 2 5 8 2 2 3" xfId="25392" xr:uid="{4029E2EE-3BB0-4A0C-9DD4-6287091038E0}"/>
    <cellStyle name="Normal 2 5 8 2 3" xfId="12728" xr:uid="{A3097500-AD90-4250-AC56-A834C97D51EC}"/>
    <cellStyle name="Normal 2 5 8 2 4" xfId="21175" xr:uid="{BC13E332-44D8-4657-B852-D6B8BBB6AACF}"/>
    <cellStyle name="Normal 2 5 8 3" xfId="6359" xr:uid="{00000000-0005-0000-0000-000074110000}"/>
    <cellStyle name="Normal 2 5 8 3 2" xfId="14801" xr:uid="{5FA8E10E-8BA3-47F2-988D-496AF39F3E34}"/>
    <cellStyle name="Normal 2 5 8 3 3" xfId="23247" xr:uid="{2E28573A-FF73-45E5-9BF3-23BA103CE5B8}"/>
    <cellStyle name="Normal 2 5 8 4" xfId="10583" xr:uid="{F431136E-AD73-4A66-B0B0-63D2D94B7119}"/>
    <cellStyle name="Normal 2 5 8 5" xfId="19028" xr:uid="{80EAEBA5-91F5-4C97-AAC2-8DB4959BB36D}"/>
    <cellStyle name="Normal 2 5 9" xfId="2488" xr:uid="{00000000-0005-0000-0000-000075110000}"/>
    <cellStyle name="Normal 2 5 9 2" xfId="6772" xr:uid="{00000000-0005-0000-0000-000076110000}"/>
    <cellStyle name="Normal 2 5 9 2 2" xfId="15214" xr:uid="{412B211A-00AC-470F-9A11-52D34179ECD0}"/>
    <cellStyle name="Normal 2 5 9 2 3" xfId="23660" xr:uid="{12F20664-A507-4620-857A-1CE093A7FEF8}"/>
    <cellStyle name="Normal 2 5 9 3" xfId="10996" xr:uid="{F28EBB79-9BB5-4F20-9029-25D1451F95F9}"/>
    <cellStyle name="Normal 2 5 9 4" xfId="19441" xr:uid="{4DF6130A-D5FC-4477-9A8E-11C33CB1019D}"/>
    <cellStyle name="Normal 2 5_Dropdowns" xfId="25716" xr:uid="{DCC5D464-9D36-4E80-8F99-293B3671073C}"/>
    <cellStyle name="Normal 2 6" xfId="322" xr:uid="{00000000-0005-0000-0000-000077110000}"/>
    <cellStyle name="Normal 2 6 2" xfId="25761" xr:uid="{7C14C7A8-336B-401B-A3BB-3F58AFAB343D}"/>
    <cellStyle name="Normal 2 7" xfId="769" xr:uid="{00000000-0005-0000-0000-000078110000}"/>
    <cellStyle name="Normal 2 8" xfId="4495" xr:uid="{00000000-0005-0000-0000-000079110000}"/>
    <cellStyle name="Normal 2 8 2" xfId="17170" xr:uid="{14834675-B5A6-44AD-A0AA-C99EEBD5030C}"/>
    <cellStyle name="Normal 2 8 3" xfId="12940" xr:uid="{F0E3DA4C-7BD2-4F35-917B-164635A86864}"/>
    <cellStyle name="Normal 2 9" xfId="25747" xr:uid="{E75C5B1C-6F02-450F-856A-34031B429605}"/>
    <cellStyle name="Normal 2_Dropdowns" xfId="25665" xr:uid="{F58B7720-3804-4F0C-BAE4-EDFC83B7AAF2}"/>
    <cellStyle name="Normal 20" xfId="25777" xr:uid="{4EDEE984-E41A-4E29-BB07-80D29D1F4DEC}"/>
    <cellStyle name="Normal 21" xfId="25647" xr:uid="{015B3DBA-AD42-4507-9DC9-20FB39E70744}"/>
    <cellStyle name="Normal 22" xfId="25697" xr:uid="{EC7A8FEB-87A1-45F3-8AC0-A556261576A2}"/>
    <cellStyle name="Normal 22 2" xfId="25624" xr:uid="{3E86A5AD-185A-4063-8C79-4BFCEB7D6ADC}"/>
    <cellStyle name="Normal 22_Dropdowns" xfId="25757" xr:uid="{332D8F73-562B-421C-8ECB-B562CBCF57F9}"/>
    <cellStyle name="Normal 23" xfId="25750" xr:uid="{CE2F9240-0CEE-434F-95B7-7AED88E51573}"/>
    <cellStyle name="Normal 24" xfId="25628" xr:uid="{31777193-10A8-441E-87DD-048CDA00109A}"/>
    <cellStyle name="Normal 25" xfId="25709" xr:uid="{331FD9BC-0335-46C2-B83A-2DC1CC65682C}"/>
    <cellStyle name="Normal 26" xfId="25739" xr:uid="{305DCF5A-32C0-46C0-A5BB-80CAF1895511}"/>
    <cellStyle name="Normal 27" xfId="25679" xr:uid="{5FCB2AE1-0DC4-429E-AEFE-072C26DC9701}"/>
    <cellStyle name="Normal 3" xfId="323" xr:uid="{00000000-0005-0000-0000-00007A110000}"/>
    <cellStyle name="Normal 3 2" xfId="324" xr:uid="{00000000-0005-0000-0000-00007B110000}"/>
    <cellStyle name="Normal 3 2 10" xfId="8935" xr:uid="{04FE1422-CC43-495D-84C4-E035A8069937}"/>
    <cellStyle name="Normal 3 2 11" xfId="17379" xr:uid="{9ADF1A49-F03D-44F9-8A0C-064345BDE79A}"/>
    <cellStyle name="Normal 3 2 12" xfId="25618" xr:uid="{D7E259B1-FA44-46B7-86A7-42FD220ADB82}"/>
    <cellStyle name="Normal 3 2 2" xfId="325" xr:uid="{00000000-0005-0000-0000-00007C110000}"/>
    <cellStyle name="Normal 3 2 2 2" xfId="810" xr:uid="{00000000-0005-0000-0000-00007D110000}"/>
    <cellStyle name="Normal 3 2 2 2 2" xfId="25674" xr:uid="{56AED7BE-E690-4E78-B9B3-18DB4D59B0EF}"/>
    <cellStyle name="Normal 3 2 2 3" xfId="25656" xr:uid="{4E4F3563-6FD0-4F5C-8793-1D6A87472FE2}"/>
    <cellStyle name="Normal 3 2 2_Dropdowns" xfId="25645" xr:uid="{A78808CF-67E0-4B4E-82FC-F647444ABE8C}"/>
    <cellStyle name="Normal 3 2 3" xfId="326" xr:uid="{00000000-0005-0000-0000-00007E110000}"/>
    <cellStyle name="Normal 3 2 3 10" xfId="8936" xr:uid="{AF29ED1D-E380-474B-A15F-CC882218EE07}"/>
    <cellStyle name="Normal 3 2 3 11" xfId="17380" xr:uid="{FA5DF557-7A82-47F6-90C9-F496836C79C3}"/>
    <cellStyle name="Normal 3 2 3 12" xfId="25629" xr:uid="{5C46C54A-293F-461E-9972-33C409BE2277}"/>
    <cellStyle name="Normal 3 2 3 2" xfId="327" xr:uid="{00000000-0005-0000-0000-00007F110000}"/>
    <cellStyle name="Normal 3 2 3 2 10" xfId="17381" xr:uid="{46EDC2A2-E182-46A2-8318-85E83F9BFC1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41E292D8-8D64-46AA-8410-39EE1E83032D}"/>
    <cellStyle name="Normal 3 2 3 2 2 2 2 2 3" xfId="24161" xr:uid="{5352BDB4-640E-4DB3-AE2E-4C1DA693C00A}"/>
    <cellStyle name="Normal 3 2 3 2 2 2 2 3" xfId="11497" xr:uid="{2EC69DFC-DD1C-41CA-AF5F-CF60FF4B321B}"/>
    <cellStyle name="Normal 3 2 3 2 2 2 2 4" xfId="19944" xr:uid="{7FEBBC8C-98F5-40D1-A6AD-77ECCFBDE8A9}"/>
    <cellStyle name="Normal 3 2 3 2 2 2 3" xfId="5128" xr:uid="{00000000-0005-0000-0000-000084110000}"/>
    <cellStyle name="Normal 3 2 3 2 2 2 3 2" xfId="13570" xr:uid="{D2A74117-4210-498D-A349-CDAC130E5FF5}"/>
    <cellStyle name="Normal 3 2 3 2 2 2 3 3" xfId="22016" xr:uid="{89C63238-12F7-4AD4-9F80-003DFAF48C91}"/>
    <cellStyle name="Normal 3 2 3 2 2 2 4" xfId="9352" xr:uid="{2EF2EDC9-3243-4DED-AE4D-F94FC933CD2D}"/>
    <cellStyle name="Normal 3 2 3 2 2 2 5" xfId="17797" xr:uid="{584DEAA3-3AC6-4E01-9C5A-847BC4BDF22F}"/>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B687626A-BEE0-4B77-A21A-E47CB2AB5165}"/>
    <cellStyle name="Normal 3 2 3 2 2 3 2 2 3" xfId="24574" xr:uid="{6157484B-A46E-4AA1-BC01-16B7E05C8DA2}"/>
    <cellStyle name="Normal 3 2 3 2 2 3 2 3" xfId="11910" xr:uid="{E3EEE51D-A5C5-416E-B3D2-D0C98110C3DD}"/>
    <cellStyle name="Normal 3 2 3 2 2 3 2 4" xfId="20357" xr:uid="{856F131B-42FB-4F0C-8A8B-74A5380C570D}"/>
    <cellStyle name="Normal 3 2 3 2 2 3 3" xfId="5541" xr:uid="{00000000-0005-0000-0000-000088110000}"/>
    <cellStyle name="Normal 3 2 3 2 2 3 3 2" xfId="13983" xr:uid="{DD2E7E04-E4AA-4E6E-9212-453F720CBBD4}"/>
    <cellStyle name="Normal 3 2 3 2 2 3 3 3" xfId="22429" xr:uid="{8CE286E1-648F-4273-AD57-3307C5E01D33}"/>
    <cellStyle name="Normal 3 2 3 2 2 3 4" xfId="9765" xr:uid="{4D8744B5-3C76-4D8A-97E8-2FF69AC0F418}"/>
    <cellStyle name="Normal 3 2 3 2 2 3 5" xfId="18210" xr:uid="{FDA4D712-4097-4C0A-8F41-F60095243A02}"/>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3031B31D-0477-4BB7-9570-D74E8663C89E}"/>
    <cellStyle name="Normal 3 2 3 2 2 4 2 2 3" xfId="24987" xr:uid="{14D0A727-7FD1-4717-9AE7-3438F6BF3FF9}"/>
    <cellStyle name="Normal 3 2 3 2 2 4 2 3" xfId="12323" xr:uid="{A4138263-E355-4846-ACE3-1FFF4C3EDB43}"/>
    <cellStyle name="Normal 3 2 3 2 2 4 2 4" xfId="20770" xr:uid="{016A7ADE-24CC-465F-93C3-10C88DE138C7}"/>
    <cellStyle name="Normal 3 2 3 2 2 4 3" xfId="5954" xr:uid="{00000000-0005-0000-0000-00008C110000}"/>
    <cellStyle name="Normal 3 2 3 2 2 4 3 2" xfId="14396" xr:uid="{D3A88F87-DE8D-44FE-99B1-A23FF082715F}"/>
    <cellStyle name="Normal 3 2 3 2 2 4 3 3" xfId="22842" xr:uid="{379285D6-BAF4-4054-A8DB-C08FA9C65E88}"/>
    <cellStyle name="Normal 3 2 3 2 2 4 4" xfId="10178" xr:uid="{5D582020-AC62-4619-AF9C-78C282FEFE5D}"/>
    <cellStyle name="Normal 3 2 3 2 2 4 5" xfId="18623" xr:uid="{D8552CF0-6D63-4557-9E88-63DA00235853}"/>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C27522A3-7723-4354-9739-1D0EC0EC7396}"/>
    <cellStyle name="Normal 3 2 3 2 2 5 2 2 3" xfId="25400" xr:uid="{B5ACB56B-FF46-4AE3-8FD1-6E21B4A70A53}"/>
    <cellStyle name="Normal 3 2 3 2 2 5 2 3" xfId="12736" xr:uid="{FAB8EE7A-7EE9-4181-B104-856550EDEAE2}"/>
    <cellStyle name="Normal 3 2 3 2 2 5 2 4" xfId="21183" xr:uid="{A282DF57-7A77-4EE7-813C-1DB676C47A95}"/>
    <cellStyle name="Normal 3 2 3 2 2 5 3" xfId="6367" xr:uid="{00000000-0005-0000-0000-000090110000}"/>
    <cellStyle name="Normal 3 2 3 2 2 5 3 2" xfId="14809" xr:uid="{084B4D96-506F-4F52-8B07-27FBF5CD420F}"/>
    <cellStyle name="Normal 3 2 3 2 2 5 3 3" xfId="23255" xr:uid="{AF6E4D05-51A3-4B70-B23E-15C7EA2C74C1}"/>
    <cellStyle name="Normal 3 2 3 2 2 5 4" xfId="10591" xr:uid="{95376FC8-17C9-4454-8DC6-13533DD257EF}"/>
    <cellStyle name="Normal 3 2 3 2 2 5 5" xfId="19036" xr:uid="{6E16A7F0-4F1E-46C2-87F3-D6265E7A34DD}"/>
    <cellStyle name="Normal 3 2 3 2 2 6" xfId="2496" xr:uid="{00000000-0005-0000-0000-000091110000}"/>
    <cellStyle name="Normal 3 2 3 2 2 6 2" xfId="6780" xr:uid="{00000000-0005-0000-0000-000092110000}"/>
    <cellStyle name="Normal 3 2 3 2 2 6 2 2" xfId="15222" xr:uid="{21701C2E-E72D-4E42-AC41-3FF8C434FC2A}"/>
    <cellStyle name="Normal 3 2 3 2 2 6 2 3" xfId="23668" xr:uid="{B141FA39-9205-4A1C-B794-3E39F9E7C56B}"/>
    <cellStyle name="Normal 3 2 3 2 2 6 3" xfId="11004" xr:uid="{3D449665-4BFA-49F2-AFE5-198BCA3ECA83}"/>
    <cellStyle name="Normal 3 2 3 2 2 6 4" xfId="19449" xr:uid="{C0F7DEE7-2DFA-4372-A0BB-E06523547D9E}"/>
    <cellStyle name="Normal 3 2 3 2 2 7" xfId="4714" xr:uid="{00000000-0005-0000-0000-000093110000}"/>
    <cellStyle name="Normal 3 2 3 2 2 7 2" xfId="13156" xr:uid="{891F16AB-8FB1-43C6-9B9B-F4FEA5EFC92D}"/>
    <cellStyle name="Normal 3 2 3 2 2 7 3" xfId="21602" xr:uid="{3F596E6C-922F-410E-8B81-F461B051CD9B}"/>
    <cellStyle name="Normal 3 2 3 2 2 8" xfId="8938" xr:uid="{310BEF33-D732-467B-8D30-B05CBA734400}"/>
    <cellStyle name="Normal 3 2 3 2 2 9" xfId="17382" xr:uid="{B8E8A242-8E4A-45A2-8FDB-65100110F2E1}"/>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6EE85202-DC01-4164-9814-F6459E9E5E64}"/>
    <cellStyle name="Normal 3 2 3 2 3 2 2 3" xfId="24160" xr:uid="{8A54DC69-2164-4DEF-A25C-4CB89ADEF976}"/>
    <cellStyle name="Normal 3 2 3 2 3 2 3" xfId="11496" xr:uid="{23CAD2DE-AA05-4BC1-8D3D-6227F18D3046}"/>
    <cellStyle name="Normal 3 2 3 2 3 2 4" xfId="19943" xr:uid="{ED2DECAB-5E72-4000-A34C-64BBE5B93B4A}"/>
    <cellStyle name="Normal 3 2 3 2 3 3" xfId="5127" xr:uid="{00000000-0005-0000-0000-000097110000}"/>
    <cellStyle name="Normal 3 2 3 2 3 3 2" xfId="13569" xr:uid="{05C7C6A3-494A-402D-B615-C1D3425EE2A4}"/>
    <cellStyle name="Normal 3 2 3 2 3 3 3" xfId="22015" xr:uid="{61EC17EB-7EFA-4C7B-98EF-278B0D03CE47}"/>
    <cellStyle name="Normal 3 2 3 2 3 4" xfId="9351" xr:uid="{66289991-762E-4723-80E4-A3A681478F3F}"/>
    <cellStyle name="Normal 3 2 3 2 3 5" xfId="17796" xr:uid="{EEBAEC39-2AE6-498C-93F3-FC02ECB87C86}"/>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9AA1B8C5-4992-4C62-975D-2C42F956451B}"/>
    <cellStyle name="Normal 3 2 3 2 4 2 2 3" xfId="24573" xr:uid="{C5E2AF41-203B-4E92-AD25-FEF9398768D7}"/>
    <cellStyle name="Normal 3 2 3 2 4 2 3" xfId="11909" xr:uid="{9B074229-A128-4F3E-BD69-0382A972E157}"/>
    <cellStyle name="Normal 3 2 3 2 4 2 4" xfId="20356" xr:uid="{95B73E64-78E1-4D08-83B9-573C1B5D7208}"/>
    <cellStyle name="Normal 3 2 3 2 4 3" xfId="5540" xr:uid="{00000000-0005-0000-0000-00009B110000}"/>
    <cellStyle name="Normal 3 2 3 2 4 3 2" xfId="13982" xr:uid="{FFEC9508-5210-4FF5-9D8F-A9B41F9FE9AA}"/>
    <cellStyle name="Normal 3 2 3 2 4 3 3" xfId="22428" xr:uid="{82EC77D6-C745-4A96-9DC9-012F1EF4CF15}"/>
    <cellStyle name="Normal 3 2 3 2 4 4" xfId="9764" xr:uid="{872AD25C-CACE-4FA3-943E-3CAA4EC24ED2}"/>
    <cellStyle name="Normal 3 2 3 2 4 5" xfId="18209" xr:uid="{EFDA5040-2939-485C-A1E1-7E1DFDAF76E3}"/>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1C30622B-9F1D-4975-BE12-3C6AC28DE118}"/>
    <cellStyle name="Normal 3 2 3 2 5 2 2 3" xfId="24986" xr:uid="{41CD1C0A-8D5B-4591-B026-5DAE9ECF1252}"/>
    <cellStyle name="Normal 3 2 3 2 5 2 3" xfId="12322" xr:uid="{299AC6E1-0251-494F-B9C8-EA7C72DCACD5}"/>
    <cellStyle name="Normal 3 2 3 2 5 2 4" xfId="20769" xr:uid="{8F3E6500-B682-4A01-99B9-3407952B2CB9}"/>
    <cellStyle name="Normal 3 2 3 2 5 3" xfId="5953" xr:uid="{00000000-0005-0000-0000-00009F110000}"/>
    <cellStyle name="Normal 3 2 3 2 5 3 2" xfId="14395" xr:uid="{04C31834-86D8-4C28-8ABB-DFCD3E29F3F9}"/>
    <cellStyle name="Normal 3 2 3 2 5 3 3" xfId="22841" xr:uid="{C819ADF8-6257-449C-A4FA-F5CF3E816EB7}"/>
    <cellStyle name="Normal 3 2 3 2 5 4" xfId="10177" xr:uid="{74BEFF70-091C-4668-A048-3C1743D5EC24}"/>
    <cellStyle name="Normal 3 2 3 2 5 5" xfId="18622" xr:uid="{CA45F066-6CE8-46C4-9261-B7EA0057303B}"/>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AD7E9FF5-4673-4279-90C6-341D2EE2D517}"/>
    <cellStyle name="Normal 3 2 3 2 6 2 2 3" xfId="25399" xr:uid="{49FE0EAD-0377-4ACD-A3A9-22E8E8F70272}"/>
    <cellStyle name="Normal 3 2 3 2 6 2 3" xfId="12735" xr:uid="{C2D8D591-2D20-43E0-96EF-5119BDAEF584}"/>
    <cellStyle name="Normal 3 2 3 2 6 2 4" xfId="21182" xr:uid="{CF007ECC-A7C9-4D18-9466-312F1C2661B4}"/>
    <cellStyle name="Normal 3 2 3 2 6 3" xfId="6366" xr:uid="{00000000-0005-0000-0000-0000A3110000}"/>
    <cellStyle name="Normal 3 2 3 2 6 3 2" xfId="14808" xr:uid="{E9556D40-B5CA-4E4E-9D5E-432C43A0512F}"/>
    <cellStyle name="Normal 3 2 3 2 6 3 3" xfId="23254" xr:uid="{1A924D75-87E4-493A-8FF4-B8699CEC822C}"/>
    <cellStyle name="Normal 3 2 3 2 6 4" xfId="10590" xr:uid="{2D74F5D6-1082-48A0-8FB1-895A87222789}"/>
    <cellStyle name="Normal 3 2 3 2 6 5" xfId="19035" xr:uid="{028D3CED-8E4B-4908-AAA2-CA6E174C2F66}"/>
    <cellStyle name="Normal 3 2 3 2 7" xfId="2495" xr:uid="{00000000-0005-0000-0000-0000A4110000}"/>
    <cellStyle name="Normal 3 2 3 2 7 2" xfId="6779" xr:uid="{00000000-0005-0000-0000-0000A5110000}"/>
    <cellStyle name="Normal 3 2 3 2 7 2 2" xfId="15221" xr:uid="{888C4B0A-2123-43F6-99E1-39050EB1C6B8}"/>
    <cellStyle name="Normal 3 2 3 2 7 2 3" xfId="23667" xr:uid="{EA850285-76A9-4D38-842C-CD9256247CB7}"/>
    <cellStyle name="Normal 3 2 3 2 7 3" xfId="11003" xr:uid="{8E9B71B2-DBA8-4E43-B298-85E90A7D8FA8}"/>
    <cellStyle name="Normal 3 2 3 2 7 4" xfId="19448" xr:uid="{F706B356-50B9-4DF7-AB83-5EFCE83C53CA}"/>
    <cellStyle name="Normal 3 2 3 2 8" xfId="4713" xr:uid="{00000000-0005-0000-0000-0000A6110000}"/>
    <cellStyle name="Normal 3 2 3 2 8 2" xfId="13155" xr:uid="{960F9A73-0ADD-48D8-897D-36C2EAB2D5D5}"/>
    <cellStyle name="Normal 3 2 3 2 8 3" xfId="21601" xr:uid="{D2F5DB10-F5FF-4BF6-8C75-9441CD66708B}"/>
    <cellStyle name="Normal 3 2 3 2 9" xfId="8937" xr:uid="{4BB4F4C6-729D-4B59-8AF2-D76264DD8E42}"/>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6BE7218D-E782-4357-830A-95F8E8CAEDCD}"/>
    <cellStyle name="Normal 3 2 3 3 2 2 2 3" xfId="24162" xr:uid="{BC733404-DF24-4CF8-BDF8-D53F8B8CC420}"/>
    <cellStyle name="Normal 3 2 3 3 2 2 3" xfId="11498" xr:uid="{56B7BF3F-3451-4257-B2C4-ADA2A55F4B84}"/>
    <cellStyle name="Normal 3 2 3 3 2 2 4" xfId="19945" xr:uid="{F65945FB-D00D-460F-A286-76BBFADE758C}"/>
    <cellStyle name="Normal 3 2 3 3 2 3" xfId="5129" xr:uid="{00000000-0005-0000-0000-0000AB110000}"/>
    <cellStyle name="Normal 3 2 3 3 2 3 2" xfId="13571" xr:uid="{4CE7AE10-E3B7-404F-A38C-16883F1FE7CF}"/>
    <cellStyle name="Normal 3 2 3 3 2 3 3" xfId="22017" xr:uid="{366AF948-271B-458D-872A-F5C53D406378}"/>
    <cellStyle name="Normal 3 2 3 3 2 4" xfId="9353" xr:uid="{D80AF46E-99EB-485A-AF6D-E1432FA56755}"/>
    <cellStyle name="Normal 3 2 3 3 2 5" xfId="17798" xr:uid="{2DA34B67-9511-4653-AD47-9E9E9611068F}"/>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E0818D91-B7DF-42B8-AB3F-C451F9EBAF54}"/>
    <cellStyle name="Normal 3 2 3 3 3 2 2 3" xfId="24575" xr:uid="{04CC445D-BB43-47F7-9381-0B77924A6BF1}"/>
    <cellStyle name="Normal 3 2 3 3 3 2 3" xfId="11911" xr:uid="{070EE961-FC9D-4F79-A5F9-85E60B5F02BF}"/>
    <cellStyle name="Normal 3 2 3 3 3 2 4" xfId="20358" xr:uid="{949F1A10-991F-47B9-ADDA-4FCADB0F1976}"/>
    <cellStyle name="Normal 3 2 3 3 3 3" xfId="5542" xr:uid="{00000000-0005-0000-0000-0000AF110000}"/>
    <cellStyle name="Normal 3 2 3 3 3 3 2" xfId="13984" xr:uid="{6F7B3848-4D03-4145-8C6E-B3D33722036B}"/>
    <cellStyle name="Normal 3 2 3 3 3 3 3" xfId="22430" xr:uid="{7D5FEB55-2490-49B9-8E16-5BB60C3206C2}"/>
    <cellStyle name="Normal 3 2 3 3 3 4" xfId="9766" xr:uid="{92C7EBD3-F864-4605-B94D-895326D3E745}"/>
    <cellStyle name="Normal 3 2 3 3 3 5" xfId="18211" xr:uid="{2158229B-220A-4F25-B85B-D88B6B4D0755}"/>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B42870B2-8C00-438C-8812-1CE2FCD6F140}"/>
    <cellStyle name="Normal 3 2 3 3 4 2 2 3" xfId="24988" xr:uid="{7851167A-109D-41C1-93B3-5BD2305FC422}"/>
    <cellStyle name="Normal 3 2 3 3 4 2 3" xfId="12324" xr:uid="{BC4DE3D8-4BB3-48F7-A23F-38D43B55E2DA}"/>
    <cellStyle name="Normal 3 2 3 3 4 2 4" xfId="20771" xr:uid="{D447AFC7-AB79-4DDE-93B6-E12F95D8FE7E}"/>
    <cellStyle name="Normal 3 2 3 3 4 3" xfId="5955" xr:uid="{00000000-0005-0000-0000-0000B3110000}"/>
    <cellStyle name="Normal 3 2 3 3 4 3 2" xfId="14397" xr:uid="{56CDB360-F3E1-47D9-B148-B5E95DC8EA6A}"/>
    <cellStyle name="Normal 3 2 3 3 4 3 3" xfId="22843" xr:uid="{ECE148B6-49AC-4C27-9503-7F34044077A3}"/>
    <cellStyle name="Normal 3 2 3 3 4 4" xfId="10179" xr:uid="{09E2D37E-C42A-49B3-BE12-7590034819B9}"/>
    <cellStyle name="Normal 3 2 3 3 4 5" xfId="18624" xr:uid="{3174EDB7-A9B9-4588-9DD1-DE63F326DFAC}"/>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1258EC40-1F76-4BA9-9068-03D3DF221581}"/>
    <cellStyle name="Normal 3 2 3 3 5 2 2 3" xfId="25401" xr:uid="{80FC4A40-3F99-452A-847C-3E36B0DCFA32}"/>
    <cellStyle name="Normal 3 2 3 3 5 2 3" xfId="12737" xr:uid="{B9308B6F-D6D7-4429-9F41-AE78AD6F6AD1}"/>
    <cellStyle name="Normal 3 2 3 3 5 2 4" xfId="21184" xr:uid="{CE82CB7D-F4CF-4FF7-A0F2-C7E2F47927CA}"/>
    <cellStyle name="Normal 3 2 3 3 5 3" xfId="6368" xr:uid="{00000000-0005-0000-0000-0000B7110000}"/>
    <cellStyle name="Normal 3 2 3 3 5 3 2" xfId="14810" xr:uid="{A7734F61-14F6-4D19-AE42-6F0EBDF4DACC}"/>
    <cellStyle name="Normal 3 2 3 3 5 3 3" xfId="23256" xr:uid="{715D6314-E5F8-417B-9000-15672DEF10C4}"/>
    <cellStyle name="Normal 3 2 3 3 5 4" xfId="10592" xr:uid="{71F78425-20A6-40C4-9C19-6CFE60BCDF9F}"/>
    <cellStyle name="Normal 3 2 3 3 5 5" xfId="19037" xr:uid="{00E54A56-F265-43F4-BFD3-5C3208F6FC7F}"/>
    <cellStyle name="Normal 3 2 3 3 6" xfId="2497" xr:uid="{00000000-0005-0000-0000-0000B8110000}"/>
    <cellStyle name="Normal 3 2 3 3 6 2" xfId="6781" xr:uid="{00000000-0005-0000-0000-0000B9110000}"/>
    <cellStyle name="Normal 3 2 3 3 6 2 2" xfId="15223" xr:uid="{447711EE-BD9B-4DC5-8BC5-B614A27FA207}"/>
    <cellStyle name="Normal 3 2 3 3 6 2 3" xfId="23669" xr:uid="{7D0BBB6A-0947-40E4-8121-090B8C9DD068}"/>
    <cellStyle name="Normal 3 2 3 3 6 3" xfId="11005" xr:uid="{2BCEDC31-51B2-4677-992A-0FF1DF1DF7B2}"/>
    <cellStyle name="Normal 3 2 3 3 6 4" xfId="19450" xr:uid="{346662FE-45C8-45EF-84EA-F76586ED4DF1}"/>
    <cellStyle name="Normal 3 2 3 3 7" xfId="4715" xr:uid="{00000000-0005-0000-0000-0000BA110000}"/>
    <cellStyle name="Normal 3 2 3 3 7 2" xfId="13157" xr:uid="{AF1184A8-ACF1-4827-9052-E37380E0E1B8}"/>
    <cellStyle name="Normal 3 2 3 3 7 3" xfId="21603" xr:uid="{FBB6B937-77F2-476E-BB76-5417B50829FC}"/>
    <cellStyle name="Normal 3 2 3 3 8" xfId="8939" xr:uid="{3805D6BF-58A0-4BBF-B6BB-B87B0FE71E78}"/>
    <cellStyle name="Normal 3 2 3 3 9" xfId="17383" xr:uid="{FD70A212-9821-4510-AE43-2ABFCC8753A4}"/>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21631E6C-162B-45FE-8E43-3FCD0CE2A968}"/>
    <cellStyle name="Normal 3 2 3 4 2 2 3" xfId="24159" xr:uid="{1625F8E8-E014-49E7-83F0-B75BC86FEE4A}"/>
    <cellStyle name="Normal 3 2 3 4 2 3" xfId="11495" xr:uid="{B3F56EC1-6008-42D9-B458-B245ED355E98}"/>
    <cellStyle name="Normal 3 2 3 4 2 4" xfId="19942" xr:uid="{86C694F3-C018-420C-8543-CB9FF1184553}"/>
    <cellStyle name="Normal 3 2 3 4 3" xfId="5126" xr:uid="{00000000-0005-0000-0000-0000BE110000}"/>
    <cellStyle name="Normal 3 2 3 4 3 2" xfId="13568" xr:uid="{C53D830E-5D4E-46E1-8705-1ABFC880FD7D}"/>
    <cellStyle name="Normal 3 2 3 4 3 3" xfId="22014" xr:uid="{D0947428-29C4-4D1A-87F2-500F367029F4}"/>
    <cellStyle name="Normal 3 2 3 4 4" xfId="9350" xr:uid="{D19C7B0F-2246-460C-BF16-F7030882BA0D}"/>
    <cellStyle name="Normal 3 2 3 4 5" xfId="17795" xr:uid="{AAA27F8B-DBA0-4614-A80F-EA0186963DF2}"/>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D9BB9657-0D0F-487C-939B-381276E3B536}"/>
    <cellStyle name="Normal 3 2 3 5 2 2 3" xfId="24572" xr:uid="{E788C78B-B693-493F-A986-9AE0B7354F31}"/>
    <cellStyle name="Normal 3 2 3 5 2 3" xfId="11908" xr:uid="{2E36E7A3-A924-4D8F-83DC-4D2F0FD5371F}"/>
    <cellStyle name="Normal 3 2 3 5 2 4" xfId="20355" xr:uid="{F678094F-7C4E-45FF-A8B9-0DFDB2E451C9}"/>
    <cellStyle name="Normal 3 2 3 5 3" xfId="5539" xr:uid="{00000000-0005-0000-0000-0000C2110000}"/>
    <cellStyle name="Normal 3 2 3 5 3 2" xfId="13981" xr:uid="{02BE44AE-E376-4790-ABE1-A1E4252DD47E}"/>
    <cellStyle name="Normal 3 2 3 5 3 3" xfId="22427" xr:uid="{B5B476B5-ABED-49A6-9984-0F957A92F8CE}"/>
    <cellStyle name="Normal 3 2 3 5 4" xfId="9763" xr:uid="{E82E8BAA-708E-4AEA-BC05-FF3CF7371ADD}"/>
    <cellStyle name="Normal 3 2 3 5 5" xfId="18208" xr:uid="{9E991213-8B90-41EB-A3F2-AAEDFD805AA7}"/>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57E7DEF7-1DC4-4C6B-BE12-6DAC8EC54157}"/>
    <cellStyle name="Normal 3 2 3 6 2 2 3" xfId="24985" xr:uid="{67ED3487-469C-486A-A3F8-721071484896}"/>
    <cellStyle name="Normal 3 2 3 6 2 3" xfId="12321" xr:uid="{0B00B942-51A6-4073-980F-AAD7B910700C}"/>
    <cellStyle name="Normal 3 2 3 6 2 4" xfId="20768" xr:uid="{38C5A439-FC21-470A-A5A2-C6FA63087822}"/>
    <cellStyle name="Normal 3 2 3 6 3" xfId="5952" xr:uid="{00000000-0005-0000-0000-0000C6110000}"/>
    <cellStyle name="Normal 3 2 3 6 3 2" xfId="14394" xr:uid="{D10E9696-E35C-4D08-B369-54E1336615E3}"/>
    <cellStyle name="Normal 3 2 3 6 3 3" xfId="22840" xr:uid="{E943A1DB-C257-4BFF-B29F-96B10A93478F}"/>
    <cellStyle name="Normal 3 2 3 6 4" xfId="10176" xr:uid="{3744D165-EEAB-462F-B0B7-13A6405CA48B}"/>
    <cellStyle name="Normal 3 2 3 6 5" xfId="18621" xr:uid="{F71CF4FE-9FA1-4F4A-A2DB-4F56DCBB54A2}"/>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D211EACD-08DC-4733-823A-C5EB4FCE1EFD}"/>
    <cellStyle name="Normal 3 2 3 7 2 2 3" xfId="25398" xr:uid="{B0448EEF-0FFB-4350-9316-0EE43010CED0}"/>
    <cellStyle name="Normal 3 2 3 7 2 3" xfId="12734" xr:uid="{4CB5636E-38F6-40AD-8804-4F9ABD080893}"/>
    <cellStyle name="Normal 3 2 3 7 2 4" xfId="21181" xr:uid="{373594D9-0799-48F7-852B-BC6060FE5C00}"/>
    <cellStyle name="Normal 3 2 3 7 3" xfId="6365" xr:uid="{00000000-0005-0000-0000-0000CA110000}"/>
    <cellStyle name="Normal 3 2 3 7 3 2" xfId="14807" xr:uid="{3999FCF1-657A-44A4-A6F3-2B3E47D7A8E9}"/>
    <cellStyle name="Normal 3 2 3 7 3 3" xfId="23253" xr:uid="{502171B5-28D3-4591-9073-FF76CD86F525}"/>
    <cellStyle name="Normal 3 2 3 7 4" xfId="10589" xr:uid="{58F48E38-223B-4885-8F2D-E0474ACBEB66}"/>
    <cellStyle name="Normal 3 2 3 7 5" xfId="19034" xr:uid="{D19F0881-A06D-473F-8B0D-41096DE97659}"/>
    <cellStyle name="Normal 3 2 3 8" xfId="2494" xr:uid="{00000000-0005-0000-0000-0000CB110000}"/>
    <cellStyle name="Normal 3 2 3 8 2" xfId="6778" xr:uid="{00000000-0005-0000-0000-0000CC110000}"/>
    <cellStyle name="Normal 3 2 3 8 2 2" xfId="15220" xr:uid="{F634C702-9C3B-42F7-9003-34C03CDAF44B}"/>
    <cellStyle name="Normal 3 2 3 8 2 3" xfId="23666" xr:uid="{87FEB9A4-5B78-4BAF-98BB-3DE05C4E5CE9}"/>
    <cellStyle name="Normal 3 2 3 8 3" xfId="11002" xr:uid="{C2836284-AFBE-40A3-B93A-03BD7C32C7A5}"/>
    <cellStyle name="Normal 3 2 3 8 4" xfId="19447" xr:uid="{EB409C93-3EE1-48C1-9703-DB99344B1030}"/>
    <cellStyle name="Normal 3 2 3 9" xfId="4712" xr:uid="{00000000-0005-0000-0000-0000CD110000}"/>
    <cellStyle name="Normal 3 2 3 9 2" xfId="13154" xr:uid="{3AACFAF6-5FDA-49AC-8AF1-2B630ADDE12A}"/>
    <cellStyle name="Normal 3 2 3 9 3" xfId="21600" xr:uid="{475F6FC9-058C-4D1E-91F8-C55A5A28D82F}"/>
    <cellStyle name="Normal 3 2 4" xfId="809" xr:uid="{00000000-0005-0000-0000-0000CE110000}"/>
    <cellStyle name="Normal 3 2 4 2" xfId="3047" xr:uid="{00000000-0005-0000-0000-0000CF110000}"/>
    <cellStyle name="Normal 3 2 4 2 2" xfId="7270" xr:uid="{00000000-0005-0000-0000-0000D0110000}"/>
    <cellStyle name="Normal 3 2 4 2 2 2" xfId="15712" xr:uid="{667E8251-2944-48B9-81B3-837A239D0475}"/>
    <cellStyle name="Normal 3 2 4 2 2 3" xfId="24158" xr:uid="{D5780542-E9D7-4977-81FD-47A4A5B714D9}"/>
    <cellStyle name="Normal 3 2 4 2 3" xfId="11494" xr:uid="{24981ACC-F5C5-4871-A5BE-403E9CFEE06B}"/>
    <cellStyle name="Normal 3 2 4 2 4" xfId="19941" xr:uid="{CC00CE9A-DB6C-45D2-82C5-7439E5D72097}"/>
    <cellStyle name="Normal 3 2 4 3" xfId="5125" xr:uid="{00000000-0005-0000-0000-0000D1110000}"/>
    <cellStyle name="Normal 3 2 4 3 2" xfId="13567" xr:uid="{96881BF1-377E-4808-9C9C-B49C7608B1FB}"/>
    <cellStyle name="Normal 3 2 4 3 3" xfId="22013" xr:uid="{001B6AFF-BE8B-45FA-B63B-1F94CCC471F6}"/>
    <cellStyle name="Normal 3 2 4 4" xfId="9349" xr:uid="{3CA879B3-D364-4CF5-9A1A-0D699B869A39}"/>
    <cellStyle name="Normal 3 2 4 5" xfId="17794" xr:uid="{3A01C7ED-09DC-4EE3-9ED8-D4FE372F41DD}"/>
    <cellStyle name="Normal 3 2 5" xfId="1230" xr:uid="{00000000-0005-0000-0000-0000D2110000}"/>
    <cellStyle name="Normal 3 2 5 2" xfId="3460" xr:uid="{00000000-0005-0000-0000-0000D3110000}"/>
    <cellStyle name="Normal 3 2 5 2 2" xfId="7683" xr:uid="{00000000-0005-0000-0000-0000D4110000}"/>
    <cellStyle name="Normal 3 2 5 2 2 2" xfId="16125" xr:uid="{9A6DCA1A-FE1C-4A32-80F1-F9E6EEF183ED}"/>
    <cellStyle name="Normal 3 2 5 2 2 3" xfId="24571" xr:uid="{B23E5ED2-268C-4809-A092-E5DC80838B3D}"/>
    <cellStyle name="Normal 3 2 5 2 3" xfId="11907" xr:uid="{CA477BDC-D477-4F7C-A3A2-CBE091D94F09}"/>
    <cellStyle name="Normal 3 2 5 2 4" xfId="20354" xr:uid="{D982F4F7-5782-41F5-8EF8-E445629AEABA}"/>
    <cellStyle name="Normal 3 2 5 3" xfId="5538" xr:uid="{00000000-0005-0000-0000-0000D5110000}"/>
    <cellStyle name="Normal 3 2 5 3 2" xfId="13980" xr:uid="{96A6E49A-5E97-45C8-BB69-32B5F5BEA5A9}"/>
    <cellStyle name="Normal 3 2 5 3 3" xfId="22426" xr:uid="{DBB7F04E-016F-420A-916F-E81CAC334AB4}"/>
    <cellStyle name="Normal 3 2 5 4" xfId="9762" xr:uid="{08057016-CE5D-4F9D-9D38-6CF6AB1FA15C}"/>
    <cellStyle name="Normal 3 2 5 5" xfId="18207" xr:uid="{F8678674-C3D4-49D8-A6AC-10039B986BF6}"/>
    <cellStyle name="Normal 3 2 6" xfId="1643" xr:uid="{00000000-0005-0000-0000-0000D6110000}"/>
    <cellStyle name="Normal 3 2 6 2" xfId="3873" xr:uid="{00000000-0005-0000-0000-0000D7110000}"/>
    <cellStyle name="Normal 3 2 6 2 2" xfId="8096" xr:uid="{00000000-0005-0000-0000-0000D8110000}"/>
    <cellStyle name="Normal 3 2 6 2 2 2" xfId="16538" xr:uid="{45559012-F927-4853-93E5-38FF8C65220A}"/>
    <cellStyle name="Normal 3 2 6 2 2 3" xfId="24984" xr:uid="{F7CAAC83-2124-4BBD-A0FA-EBCD227276A6}"/>
    <cellStyle name="Normal 3 2 6 2 3" xfId="12320" xr:uid="{376C9D49-37D2-4F29-B67A-F65B559974DF}"/>
    <cellStyle name="Normal 3 2 6 2 4" xfId="20767" xr:uid="{E0F1B602-3FC3-42BC-9BD9-D08BF240D003}"/>
    <cellStyle name="Normal 3 2 6 3" xfId="5951" xr:uid="{00000000-0005-0000-0000-0000D9110000}"/>
    <cellStyle name="Normal 3 2 6 3 2" xfId="14393" xr:uid="{B8035872-4024-4F6C-8F45-92F0A25DDA59}"/>
    <cellStyle name="Normal 3 2 6 3 3" xfId="22839" xr:uid="{386ABF24-8715-42A9-8E4C-16D5D4EFD576}"/>
    <cellStyle name="Normal 3 2 6 4" xfId="10175" xr:uid="{42A6ED42-4EA5-486E-ABB7-165FDB57D9D0}"/>
    <cellStyle name="Normal 3 2 6 5" xfId="18620" xr:uid="{8E349A95-2E26-4552-9AB5-0B8B7BB9F818}"/>
    <cellStyle name="Normal 3 2 7" xfId="2057" xr:uid="{00000000-0005-0000-0000-0000DA110000}"/>
    <cellStyle name="Normal 3 2 7 2" xfId="4286" xr:uid="{00000000-0005-0000-0000-0000DB110000}"/>
    <cellStyle name="Normal 3 2 7 2 2" xfId="8509" xr:uid="{00000000-0005-0000-0000-0000DC110000}"/>
    <cellStyle name="Normal 3 2 7 2 2 2" xfId="16951" xr:uid="{B6CEA229-E391-4F24-9408-5BA7BA0BB964}"/>
    <cellStyle name="Normal 3 2 7 2 2 3" xfId="25397" xr:uid="{8FE3FE99-B9FE-4A94-8B6A-3A05BE5991EF}"/>
    <cellStyle name="Normal 3 2 7 2 3" xfId="12733" xr:uid="{58243FD8-678C-43D8-A9B8-5B13B6DCE801}"/>
    <cellStyle name="Normal 3 2 7 2 4" xfId="21180" xr:uid="{195B70F4-DE86-4E6E-A975-07272C2658BF}"/>
    <cellStyle name="Normal 3 2 7 3" xfId="6364" xr:uid="{00000000-0005-0000-0000-0000DD110000}"/>
    <cellStyle name="Normal 3 2 7 3 2" xfId="14806" xr:uid="{259CEFD4-B9FC-41F8-ABD0-575E3CBF1E6F}"/>
    <cellStyle name="Normal 3 2 7 3 3" xfId="23252" xr:uid="{5104A679-BC0A-4E82-A6DC-346CD2B1DD14}"/>
    <cellStyle name="Normal 3 2 7 4" xfId="10588" xr:uid="{07AE88E1-DDCF-45E0-A08A-DE7F3075BF1D}"/>
    <cellStyle name="Normal 3 2 7 5" xfId="19033" xr:uid="{214418C7-6053-4711-BB90-4264A8E4EE95}"/>
    <cellStyle name="Normal 3 2 8" xfId="2493" xr:uid="{00000000-0005-0000-0000-0000DE110000}"/>
    <cellStyle name="Normal 3 2 8 2" xfId="6777" xr:uid="{00000000-0005-0000-0000-0000DF110000}"/>
    <cellStyle name="Normal 3 2 8 2 2" xfId="15219" xr:uid="{2D60375E-9107-46B9-B0BC-0E807B01029C}"/>
    <cellStyle name="Normal 3 2 8 2 3" xfId="23665" xr:uid="{CCEC027A-B1A3-43B0-8B87-0979DF17A1AA}"/>
    <cellStyle name="Normal 3 2 8 3" xfId="11001" xr:uid="{9AB2F820-5F83-4B7F-ACA1-306ADB651A39}"/>
    <cellStyle name="Normal 3 2 8 4" xfId="19446" xr:uid="{5B8F875B-F550-4D17-8426-C84F90DC2961}"/>
    <cellStyle name="Normal 3 2 9" xfId="4711" xr:uid="{00000000-0005-0000-0000-0000E0110000}"/>
    <cellStyle name="Normal 3 2 9 2" xfId="13153" xr:uid="{B0BB0B3C-FC80-4EA2-ADBB-246C6038CD83}"/>
    <cellStyle name="Normal 3 2 9 3" xfId="21599" xr:uid="{E8E5486D-AD86-4ADC-97E3-3614FCF870EB}"/>
    <cellStyle name="Normal 3 2_Item C7" xfId="25632" xr:uid="{E3BE139F-4D90-4239-886F-F65783FC54B8}"/>
    <cellStyle name="Normal 3 3" xfId="330" xr:uid="{00000000-0005-0000-0000-0000E1110000}"/>
    <cellStyle name="Normal 3 3 2" xfId="331" xr:uid="{00000000-0005-0000-0000-0000E2110000}"/>
    <cellStyle name="Normal 3 3 2 2" xfId="17512" xr:uid="{7933B974-7319-4454-A8AE-79DD4324C1CB}"/>
    <cellStyle name="Normal 3 3 3" xfId="332" xr:uid="{00000000-0005-0000-0000-0000E3110000}"/>
    <cellStyle name="Normal 3 3 4" xfId="25701" xr:uid="{9FA81FFD-B29E-4B76-8F1D-D815D8F13CF7}"/>
    <cellStyle name="Normal 3 3_Dropdowns" xfId="25625" xr:uid="{E26F53D0-E3EB-42A2-92AD-EFEFAD95BCEF}"/>
    <cellStyle name="Normal 3 4" xfId="333" xr:uid="{00000000-0005-0000-0000-0000E4110000}"/>
    <cellStyle name="Normal 3 4 2" xfId="25619" xr:uid="{C0C4D10B-15DE-431B-8FCC-C3AF2034776F}"/>
    <cellStyle name="Normal 3 5" xfId="334" xr:uid="{00000000-0005-0000-0000-0000E5110000}"/>
    <cellStyle name="Normal 3 5 2" xfId="25623" xr:uid="{C951BAC1-19E9-4822-B805-53AC19A50C22}"/>
    <cellStyle name="Normal 3 5 3" xfId="25661" xr:uid="{4CCFB025-7348-45C3-BE55-A1565CE2329E}"/>
    <cellStyle name="Normal 3 5 4" xfId="25771" xr:uid="{4D40576A-96C7-4916-844E-A3F598283F46}"/>
    <cellStyle name="Normal 3 5_Dropdowns" xfId="25713" xr:uid="{8DE25364-1951-4430-9A56-E98035CF2DB0}"/>
    <cellStyle name="Normal 3 6" xfId="808" xr:uid="{00000000-0005-0000-0000-0000E6110000}"/>
    <cellStyle name="Normal 3 7" xfId="25745" xr:uid="{A82A499C-E044-43B2-AA8D-31FF6D303E2F}"/>
    <cellStyle name="Normal 3 8" xfId="25752" xr:uid="{39BD00A8-C176-482D-B1F5-B365484A650F}"/>
    <cellStyle name="Normal 3_Dropdowns" xfId="25621" xr:uid="{A689FEDC-BACC-428A-89B1-90E013346B60}"/>
    <cellStyle name="Normal 4" xfId="335" xr:uid="{00000000-0005-0000-0000-0000E7110000}"/>
    <cellStyle name="Normal 4 10" xfId="8940" xr:uid="{20FE7B35-4E93-407A-81C9-AE13600D9F06}"/>
    <cellStyle name="Normal 4 11" xfId="17384" xr:uid="{C14CA01C-7AB0-4DF0-BA3D-C27B8192BFBA}"/>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C98116C6-9996-42C9-8449-22E5D324A790}"/>
    <cellStyle name="Normal 4 2 2 10 2 2 3" xfId="25402" xr:uid="{551F1699-51B0-493A-B6C0-7FB6F8EB46BD}"/>
    <cellStyle name="Normal 4 2 2 10 2 3" xfId="12738" xr:uid="{084B26A3-CC43-41EB-8BB2-98BC247A4457}"/>
    <cellStyle name="Normal 4 2 2 10 2 4" xfId="21185" xr:uid="{B4B7CAAD-2D8F-4CEA-9C6B-6796BA1800AC}"/>
    <cellStyle name="Normal 4 2 2 10 3" xfId="6369" xr:uid="{00000000-0005-0000-0000-0000ED110000}"/>
    <cellStyle name="Normal 4 2 2 10 3 2" xfId="14811" xr:uid="{A47F533C-1D7A-40C9-ADE4-4890863687E4}"/>
    <cellStyle name="Normal 4 2 2 10 3 3" xfId="23257" xr:uid="{B095434B-5641-496F-A72B-C6CBB450C057}"/>
    <cellStyle name="Normal 4 2 2 10 4" xfId="10593" xr:uid="{4BA76011-C01E-449A-9D7D-E978E32E6B96}"/>
    <cellStyle name="Normal 4 2 2 10 5" xfId="19038" xr:uid="{2853BDFD-4A8E-4E6A-A0A4-8C419F9FFB16}"/>
    <cellStyle name="Normal 4 2 2 11" xfId="2498" xr:uid="{00000000-0005-0000-0000-0000EE110000}"/>
    <cellStyle name="Normal 4 2 2 11 2" xfId="6782" xr:uid="{00000000-0005-0000-0000-0000EF110000}"/>
    <cellStyle name="Normal 4 2 2 11 2 2" xfId="15224" xr:uid="{996DF4DD-3CEC-4B20-BCF7-A4099914652C}"/>
    <cellStyle name="Normal 4 2 2 11 2 3" xfId="23670" xr:uid="{E060BD8E-B55C-4DB7-B01A-620D71856DC4}"/>
    <cellStyle name="Normal 4 2 2 11 3" xfId="11006" xr:uid="{5997AB62-F3B7-40E8-8FB6-4010382246E4}"/>
    <cellStyle name="Normal 4 2 2 11 4" xfId="19451" xr:uid="{E17AAE3B-2A15-4864-AC75-D48006C0CA26}"/>
    <cellStyle name="Normal 4 2 2 12" xfId="4717" xr:uid="{00000000-0005-0000-0000-0000F0110000}"/>
    <cellStyle name="Normal 4 2 2 12 2" xfId="13159" xr:uid="{98A2A5B8-4CB1-47E7-BEF1-A93D500A00C1}"/>
    <cellStyle name="Normal 4 2 2 12 3" xfId="21605" xr:uid="{13506328-2C9C-47AA-B104-806F02C34B14}"/>
    <cellStyle name="Normal 4 2 2 13" xfId="8941" xr:uid="{3D639161-7C12-4665-A966-9F7FA8BA114A}"/>
    <cellStyle name="Normal 4 2 2 14" xfId="17385" xr:uid="{F926D8A6-EA00-4FF7-AE74-F2E4504CEFA1}"/>
    <cellStyle name="Normal 4 2 2 2" xfId="338" xr:uid="{00000000-0005-0000-0000-0000F1110000}"/>
    <cellStyle name="Normal 4 2 2 3" xfId="339" xr:uid="{00000000-0005-0000-0000-0000F2110000}"/>
    <cellStyle name="Normal 4 2 2 3 10" xfId="4718" xr:uid="{00000000-0005-0000-0000-0000F3110000}"/>
    <cellStyle name="Normal 4 2 2 3 10 2" xfId="13160" xr:uid="{43E06814-5353-4BEA-8C15-A8118565A5A9}"/>
    <cellStyle name="Normal 4 2 2 3 10 3" xfId="21606" xr:uid="{8404B9A9-BAC3-4133-A279-66B78A2A5632}"/>
    <cellStyle name="Normal 4 2 2 3 11" xfId="8942" xr:uid="{E4178347-787B-4763-BE86-352A3CAE19F2}"/>
    <cellStyle name="Normal 4 2 2 3 12" xfId="17386" xr:uid="{798BF369-0A22-4567-BBB5-020967ADFFB7}"/>
    <cellStyle name="Normal 4 2 2 3 2" xfId="340" xr:uid="{00000000-0005-0000-0000-0000F4110000}"/>
    <cellStyle name="Normal 4 2 2 3 2 10" xfId="8943" xr:uid="{3EFFB5DF-B3A0-4598-A72D-0D4B8EABAC39}"/>
    <cellStyle name="Normal 4 2 2 3 2 11" xfId="17387" xr:uid="{02DA7E89-AA55-47AB-9C6B-12ED8EAAE2BE}"/>
    <cellStyle name="Normal 4 2 2 3 2 2" xfId="341" xr:uid="{00000000-0005-0000-0000-0000F5110000}"/>
    <cellStyle name="Normal 4 2 2 3 2 2 10" xfId="17388" xr:uid="{5B4025E6-FA03-4A93-BBE2-56B32A48D4AE}"/>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57E07F1C-850C-464D-815C-D4FE49297116}"/>
    <cellStyle name="Normal 4 2 2 3 2 2 2 2 2 2 3" xfId="24167" xr:uid="{FA8CBD19-E69D-48CB-A245-08CD35A299DE}"/>
    <cellStyle name="Normal 4 2 2 3 2 2 2 2 2 3" xfId="11503" xr:uid="{97BD64F0-5E02-468A-8785-6A2BB6DE0DBF}"/>
    <cellStyle name="Normal 4 2 2 3 2 2 2 2 2 4" xfId="19950" xr:uid="{2D5B5CF4-3334-42C5-AF93-EB1BDE5170D7}"/>
    <cellStyle name="Normal 4 2 2 3 2 2 2 2 3" xfId="5134" xr:uid="{00000000-0005-0000-0000-0000FA110000}"/>
    <cellStyle name="Normal 4 2 2 3 2 2 2 2 3 2" xfId="13576" xr:uid="{72761D1F-680C-4E95-866B-3E8B9D5027D3}"/>
    <cellStyle name="Normal 4 2 2 3 2 2 2 2 3 3" xfId="22022" xr:uid="{7200111B-8B77-436C-80DD-B250622BE42B}"/>
    <cellStyle name="Normal 4 2 2 3 2 2 2 2 4" xfId="9358" xr:uid="{F9E4327C-E85B-4BAD-A414-D71408DA18C2}"/>
    <cellStyle name="Normal 4 2 2 3 2 2 2 2 5" xfId="17803" xr:uid="{F18D44F2-4A7B-49D9-89F4-75D6594DFFF8}"/>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6CD04AF7-E58C-43A9-8FC8-B25741DE0234}"/>
    <cellStyle name="Normal 4 2 2 3 2 2 2 3 2 2 3" xfId="24580" xr:uid="{292F1C44-710D-42C3-874D-C08C57442586}"/>
    <cellStyle name="Normal 4 2 2 3 2 2 2 3 2 3" xfId="11916" xr:uid="{EB9ECBBB-1635-4771-BB42-D2BA530D0C33}"/>
    <cellStyle name="Normal 4 2 2 3 2 2 2 3 2 4" xfId="20363" xr:uid="{7A020E58-4E96-4BC3-BB60-715B9A05B678}"/>
    <cellStyle name="Normal 4 2 2 3 2 2 2 3 3" xfId="5547" xr:uid="{00000000-0005-0000-0000-0000FE110000}"/>
    <cellStyle name="Normal 4 2 2 3 2 2 2 3 3 2" xfId="13989" xr:uid="{D598B1C3-57AA-4D6E-8F21-1F9F3D3A5B8A}"/>
    <cellStyle name="Normal 4 2 2 3 2 2 2 3 3 3" xfId="22435" xr:uid="{95CFD5AB-9B16-43A9-92D1-0EB3A069492B}"/>
    <cellStyle name="Normal 4 2 2 3 2 2 2 3 4" xfId="9771" xr:uid="{B9ACB38E-78E7-43C8-B3AA-D70D1AA35026}"/>
    <cellStyle name="Normal 4 2 2 3 2 2 2 3 5" xfId="18216" xr:uid="{104C4366-DD98-4783-AC6B-CBE34943AD44}"/>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F0341288-384A-4B1D-9E13-6B09603D43C5}"/>
    <cellStyle name="Normal 4 2 2 3 2 2 2 4 2 2 3" xfId="24993" xr:uid="{ADC10545-BDD8-4500-94FF-1082E72EBBB4}"/>
    <cellStyle name="Normal 4 2 2 3 2 2 2 4 2 3" xfId="12329" xr:uid="{9119899C-7284-4585-B4E2-217B88B18523}"/>
    <cellStyle name="Normal 4 2 2 3 2 2 2 4 2 4" xfId="20776" xr:uid="{03DBD8A6-0759-446C-8B77-9BD3AE26AACD}"/>
    <cellStyle name="Normal 4 2 2 3 2 2 2 4 3" xfId="5960" xr:uid="{00000000-0005-0000-0000-000002120000}"/>
    <cellStyle name="Normal 4 2 2 3 2 2 2 4 3 2" xfId="14402" xr:uid="{68ECA4B9-1EE4-46B0-A15B-9BB7B3D0A329}"/>
    <cellStyle name="Normal 4 2 2 3 2 2 2 4 3 3" xfId="22848" xr:uid="{5100E166-BDF9-4E22-B5CE-A09A6BA22C38}"/>
    <cellStyle name="Normal 4 2 2 3 2 2 2 4 4" xfId="10184" xr:uid="{D8397D5C-56AA-4A3E-AA50-9476EBB9C79D}"/>
    <cellStyle name="Normal 4 2 2 3 2 2 2 4 5" xfId="18629" xr:uid="{BAE8FA22-4827-4681-8A43-8F1B6D1E52B9}"/>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321CACD3-4BE0-4DC1-80EF-860413AD7319}"/>
    <cellStyle name="Normal 4 2 2 3 2 2 2 5 2 2 3" xfId="25406" xr:uid="{8FCD418F-E68D-4C75-89E6-EDC7FB13CEFC}"/>
    <cellStyle name="Normal 4 2 2 3 2 2 2 5 2 3" xfId="12742" xr:uid="{FD41A387-30FB-4BD5-9689-4C73A982E73E}"/>
    <cellStyle name="Normal 4 2 2 3 2 2 2 5 2 4" xfId="21189" xr:uid="{FD1C0552-0DB1-47D3-8C03-C073C5DC377F}"/>
    <cellStyle name="Normal 4 2 2 3 2 2 2 5 3" xfId="6373" xr:uid="{00000000-0005-0000-0000-000006120000}"/>
    <cellStyle name="Normal 4 2 2 3 2 2 2 5 3 2" xfId="14815" xr:uid="{70D9C8FD-693E-421D-A0F5-DF770D54DADB}"/>
    <cellStyle name="Normal 4 2 2 3 2 2 2 5 3 3" xfId="23261" xr:uid="{3F5BAD34-1ABE-4D3D-886E-BA4EB9F63A89}"/>
    <cellStyle name="Normal 4 2 2 3 2 2 2 5 4" xfId="10597" xr:uid="{F3147D43-5F1A-4105-93ED-6EF482721F42}"/>
    <cellStyle name="Normal 4 2 2 3 2 2 2 5 5" xfId="19042" xr:uid="{36650D72-2D51-414A-B34E-ECFE2C5EA9DE}"/>
    <cellStyle name="Normal 4 2 2 3 2 2 2 6" xfId="2502" xr:uid="{00000000-0005-0000-0000-000007120000}"/>
    <cellStyle name="Normal 4 2 2 3 2 2 2 6 2" xfId="6786" xr:uid="{00000000-0005-0000-0000-000008120000}"/>
    <cellStyle name="Normal 4 2 2 3 2 2 2 6 2 2" xfId="15228" xr:uid="{3464BDD1-ECA4-4ACD-9871-9AE6F484AE6C}"/>
    <cellStyle name="Normal 4 2 2 3 2 2 2 6 2 3" xfId="23674" xr:uid="{5184D4DA-90FC-4047-87B0-6CE9E44A9416}"/>
    <cellStyle name="Normal 4 2 2 3 2 2 2 6 3" xfId="11010" xr:uid="{30668487-1B5B-425D-AD22-428F34AEE478}"/>
    <cellStyle name="Normal 4 2 2 3 2 2 2 6 4" xfId="19455" xr:uid="{B4F07F7A-4C9D-43AC-B4E5-9DF3A32F66F8}"/>
    <cellStyle name="Normal 4 2 2 3 2 2 2 7" xfId="4721" xr:uid="{00000000-0005-0000-0000-000009120000}"/>
    <cellStyle name="Normal 4 2 2 3 2 2 2 7 2" xfId="13163" xr:uid="{24D47A78-55CB-45BC-92DA-6805451407B9}"/>
    <cellStyle name="Normal 4 2 2 3 2 2 2 7 3" xfId="21609" xr:uid="{C3BB8950-B601-45B1-B561-6CCB6F444F2E}"/>
    <cellStyle name="Normal 4 2 2 3 2 2 2 8" xfId="8945" xr:uid="{6971A131-F98D-47AF-94C2-613889DC1228}"/>
    <cellStyle name="Normal 4 2 2 3 2 2 2 9" xfId="17389" xr:uid="{51E3EB0C-1641-4DC5-84A3-2A634E91E329}"/>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316721AE-2081-42C2-B900-42EF89A42D21}"/>
    <cellStyle name="Normal 4 2 2 3 2 2 3 2 2 3" xfId="24166" xr:uid="{57446B3C-EA65-4C1A-8CF1-CBD9EE7F643F}"/>
    <cellStyle name="Normal 4 2 2 3 2 2 3 2 3" xfId="11502" xr:uid="{5411D20F-9CB1-4791-BF34-B2370D13724C}"/>
    <cellStyle name="Normal 4 2 2 3 2 2 3 2 4" xfId="19949" xr:uid="{8AF5B4B9-86C5-4E25-870E-B0E97EF55918}"/>
    <cellStyle name="Normal 4 2 2 3 2 2 3 3" xfId="5133" xr:uid="{00000000-0005-0000-0000-00000D120000}"/>
    <cellStyle name="Normal 4 2 2 3 2 2 3 3 2" xfId="13575" xr:uid="{574F6921-601A-4809-9BF7-E5A365663AA2}"/>
    <cellStyle name="Normal 4 2 2 3 2 2 3 3 3" xfId="22021" xr:uid="{8CD2A627-32C6-4281-9F7B-378E11082FCF}"/>
    <cellStyle name="Normal 4 2 2 3 2 2 3 4" xfId="9357" xr:uid="{2256B035-9AFD-4B10-884B-BE0D7A1B36D6}"/>
    <cellStyle name="Normal 4 2 2 3 2 2 3 5" xfId="17802" xr:uid="{C37A34C8-BB5A-437C-BE69-835FA89B8D38}"/>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ACB57F01-E6BE-4E24-9EFA-09A95D0B186A}"/>
    <cellStyle name="Normal 4 2 2 3 2 2 4 2 2 3" xfId="24579" xr:uid="{0E601BDD-BE8E-44F7-9763-01594DB14AE6}"/>
    <cellStyle name="Normal 4 2 2 3 2 2 4 2 3" xfId="11915" xr:uid="{34FC44BE-B57C-4C95-BFA8-7ED25F43D3AC}"/>
    <cellStyle name="Normal 4 2 2 3 2 2 4 2 4" xfId="20362" xr:uid="{DE7D6547-D14C-4EB8-B156-2587CEA83F90}"/>
    <cellStyle name="Normal 4 2 2 3 2 2 4 3" xfId="5546" xr:uid="{00000000-0005-0000-0000-000011120000}"/>
    <cellStyle name="Normal 4 2 2 3 2 2 4 3 2" xfId="13988" xr:uid="{DD447E46-D123-43DA-98FE-2362A9BD8601}"/>
    <cellStyle name="Normal 4 2 2 3 2 2 4 3 3" xfId="22434" xr:uid="{D944F419-0CA5-4B1C-BF07-1031672896B2}"/>
    <cellStyle name="Normal 4 2 2 3 2 2 4 4" xfId="9770" xr:uid="{58D988B7-B5C5-4B0E-9D3A-C01CAEE5AB1C}"/>
    <cellStyle name="Normal 4 2 2 3 2 2 4 5" xfId="18215" xr:uid="{DA8B2ADC-6524-4C13-8016-DDD26E57ABB4}"/>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28BFC3FD-A2CF-424D-A89B-4B562114557C}"/>
    <cellStyle name="Normal 4 2 2 3 2 2 5 2 2 3" xfId="24992" xr:uid="{F0DB6140-2070-40A6-A05A-9266AD638989}"/>
    <cellStyle name="Normal 4 2 2 3 2 2 5 2 3" xfId="12328" xr:uid="{836B394B-8201-4D08-8520-F579122E8B4B}"/>
    <cellStyle name="Normal 4 2 2 3 2 2 5 2 4" xfId="20775" xr:uid="{377E16F3-7CA1-413C-AD24-16FC69304D91}"/>
    <cellStyle name="Normal 4 2 2 3 2 2 5 3" xfId="5959" xr:uid="{00000000-0005-0000-0000-000015120000}"/>
    <cellStyle name="Normal 4 2 2 3 2 2 5 3 2" xfId="14401" xr:uid="{D3A9F8F5-54EE-41EC-A34F-3C3DC2C2276B}"/>
    <cellStyle name="Normal 4 2 2 3 2 2 5 3 3" xfId="22847" xr:uid="{03CE36FA-8899-41CC-8302-F57B6D72368F}"/>
    <cellStyle name="Normal 4 2 2 3 2 2 5 4" xfId="10183" xr:uid="{1A5B8A88-C527-4D91-B113-6C0DA057DC62}"/>
    <cellStyle name="Normal 4 2 2 3 2 2 5 5" xfId="18628" xr:uid="{76B28F29-BF86-49D5-BBF9-B4EDE52D5546}"/>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BA4577D5-3D46-47A4-B3B8-9CBCE2C145D8}"/>
    <cellStyle name="Normal 4 2 2 3 2 2 6 2 2 3" xfId="25405" xr:uid="{D4CAE02C-79AB-41C2-A96B-CF7BC25D1EB9}"/>
    <cellStyle name="Normal 4 2 2 3 2 2 6 2 3" xfId="12741" xr:uid="{9E6A5E85-3AC4-4375-8AA1-5A6DDAB02FBD}"/>
    <cellStyle name="Normal 4 2 2 3 2 2 6 2 4" xfId="21188" xr:uid="{7F83DC37-EB1A-4457-B8F1-15B8C468D830}"/>
    <cellStyle name="Normal 4 2 2 3 2 2 6 3" xfId="6372" xr:uid="{00000000-0005-0000-0000-000019120000}"/>
    <cellStyle name="Normal 4 2 2 3 2 2 6 3 2" xfId="14814" xr:uid="{CCA4EDF4-7864-46A6-BA46-CD8B0FA2A4D3}"/>
    <cellStyle name="Normal 4 2 2 3 2 2 6 3 3" xfId="23260" xr:uid="{25257A38-16D6-427E-B35B-98AC33B850B9}"/>
    <cellStyle name="Normal 4 2 2 3 2 2 6 4" xfId="10596" xr:uid="{D0C47BC8-83A2-4B2E-808C-37AD38033C5F}"/>
    <cellStyle name="Normal 4 2 2 3 2 2 6 5" xfId="19041" xr:uid="{556A45D5-0A2D-4C1F-9384-93F851153679}"/>
    <cellStyle name="Normal 4 2 2 3 2 2 7" xfId="2501" xr:uid="{00000000-0005-0000-0000-00001A120000}"/>
    <cellStyle name="Normal 4 2 2 3 2 2 7 2" xfId="6785" xr:uid="{00000000-0005-0000-0000-00001B120000}"/>
    <cellStyle name="Normal 4 2 2 3 2 2 7 2 2" xfId="15227" xr:uid="{6C822B9E-5C7B-4385-BD7B-980B3D536BD4}"/>
    <cellStyle name="Normal 4 2 2 3 2 2 7 2 3" xfId="23673" xr:uid="{5D9E23DF-7E7B-4C21-A9C4-25FACD7808E4}"/>
    <cellStyle name="Normal 4 2 2 3 2 2 7 3" xfId="11009" xr:uid="{5BE9DF11-8093-4C6F-BBD0-35938FB296BC}"/>
    <cellStyle name="Normal 4 2 2 3 2 2 7 4" xfId="19454" xr:uid="{60B49B60-C2BD-47D2-AC48-AEA6318A1B22}"/>
    <cellStyle name="Normal 4 2 2 3 2 2 8" xfId="4720" xr:uid="{00000000-0005-0000-0000-00001C120000}"/>
    <cellStyle name="Normal 4 2 2 3 2 2 8 2" xfId="13162" xr:uid="{AF58AB19-DA9C-445F-B798-10C38344DAE0}"/>
    <cellStyle name="Normal 4 2 2 3 2 2 8 3" xfId="21608" xr:uid="{C0E5930D-87BF-4495-ADA2-002E6BF0A1DE}"/>
    <cellStyle name="Normal 4 2 2 3 2 2 9" xfId="8944" xr:uid="{24839583-8AA3-473A-A466-D3B27AEB62E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171B791A-74AD-48EF-A882-65705925F0DE}"/>
    <cellStyle name="Normal 4 2 2 3 2 3 2 2 2 3" xfId="24168" xr:uid="{7BD746EE-2FB7-49D2-A3C0-398845732B97}"/>
    <cellStyle name="Normal 4 2 2 3 2 3 2 2 3" xfId="11504" xr:uid="{90E5DDA5-6C47-4F69-A430-7AD3C4235DDF}"/>
    <cellStyle name="Normal 4 2 2 3 2 3 2 2 4" xfId="19951" xr:uid="{4FD1B9A9-7B5B-43F9-B2BD-166713F2C793}"/>
    <cellStyle name="Normal 4 2 2 3 2 3 2 3" xfId="5135" xr:uid="{00000000-0005-0000-0000-000021120000}"/>
    <cellStyle name="Normal 4 2 2 3 2 3 2 3 2" xfId="13577" xr:uid="{E694905E-46D9-40C8-86C4-90C9C6775D18}"/>
    <cellStyle name="Normal 4 2 2 3 2 3 2 3 3" xfId="22023" xr:uid="{D06867FB-4DAD-465C-B86A-005AB3A8D7F3}"/>
    <cellStyle name="Normal 4 2 2 3 2 3 2 4" xfId="9359" xr:uid="{6B165502-0050-4954-9C8C-81F440FFF66D}"/>
    <cellStyle name="Normal 4 2 2 3 2 3 2 5" xfId="17804" xr:uid="{11840B32-DF18-4E67-BBFA-83C1288EE684}"/>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DEC7FBAF-8CA7-4037-92C9-DA197CD561C3}"/>
    <cellStyle name="Normal 4 2 2 3 2 3 3 2 2 3" xfId="24581" xr:uid="{E34C8D04-1F3A-4B47-9B3D-6E560AE31B9C}"/>
    <cellStyle name="Normal 4 2 2 3 2 3 3 2 3" xfId="11917" xr:uid="{2FC03331-08A8-47EC-A181-82560905EDA8}"/>
    <cellStyle name="Normal 4 2 2 3 2 3 3 2 4" xfId="20364" xr:uid="{E1B6AD7E-3334-4E51-876B-3B3FE8295954}"/>
    <cellStyle name="Normal 4 2 2 3 2 3 3 3" xfId="5548" xr:uid="{00000000-0005-0000-0000-000025120000}"/>
    <cellStyle name="Normal 4 2 2 3 2 3 3 3 2" xfId="13990" xr:uid="{173CABE6-1923-4317-9302-3FFD5EA58BEB}"/>
    <cellStyle name="Normal 4 2 2 3 2 3 3 3 3" xfId="22436" xr:uid="{8CAB4141-F4AC-4302-ADBE-C0D48BDB73F5}"/>
    <cellStyle name="Normal 4 2 2 3 2 3 3 4" xfId="9772" xr:uid="{692CF24E-EBC0-4B8A-AD72-D6AD53C68FEE}"/>
    <cellStyle name="Normal 4 2 2 3 2 3 3 5" xfId="18217" xr:uid="{227A9DE2-7DC5-439A-B479-0B954C7565F9}"/>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5A03D842-23AF-40B2-A029-528B2E0925A8}"/>
    <cellStyle name="Normal 4 2 2 3 2 3 4 2 2 3" xfId="24994" xr:uid="{BD3B93DD-5E59-484F-BB4A-CA0E83F339FB}"/>
    <cellStyle name="Normal 4 2 2 3 2 3 4 2 3" xfId="12330" xr:uid="{DBCEF607-0FAE-4557-BB3D-329A9EF16B02}"/>
    <cellStyle name="Normal 4 2 2 3 2 3 4 2 4" xfId="20777" xr:uid="{E21F3217-4709-49C1-A624-FF12CF20A6C7}"/>
    <cellStyle name="Normal 4 2 2 3 2 3 4 3" xfId="5961" xr:uid="{00000000-0005-0000-0000-000029120000}"/>
    <cellStyle name="Normal 4 2 2 3 2 3 4 3 2" xfId="14403" xr:uid="{A2E25630-15B1-499A-A1D8-A8B461788D88}"/>
    <cellStyle name="Normal 4 2 2 3 2 3 4 3 3" xfId="22849" xr:uid="{41146C0B-5BDF-4507-9069-450CDA8A7D6C}"/>
    <cellStyle name="Normal 4 2 2 3 2 3 4 4" xfId="10185" xr:uid="{8B7A4613-C66D-4375-81BC-EF5DBD60B72A}"/>
    <cellStyle name="Normal 4 2 2 3 2 3 4 5" xfId="18630" xr:uid="{8E05AC2A-053E-4C25-8FD1-0EF3461D4159}"/>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B88F4F6A-82D4-4728-99E6-E3BB1B07F176}"/>
    <cellStyle name="Normal 4 2 2 3 2 3 5 2 2 3" xfId="25407" xr:uid="{30D05CD9-C9CA-4CB3-ABFC-A65C6DBFB6D7}"/>
    <cellStyle name="Normal 4 2 2 3 2 3 5 2 3" xfId="12743" xr:uid="{019AB60F-B3FD-4A73-87E5-7C36EB17EAE2}"/>
    <cellStyle name="Normal 4 2 2 3 2 3 5 2 4" xfId="21190" xr:uid="{71031D37-B924-4195-A485-84D01D53DD56}"/>
    <cellStyle name="Normal 4 2 2 3 2 3 5 3" xfId="6374" xr:uid="{00000000-0005-0000-0000-00002D120000}"/>
    <cellStyle name="Normal 4 2 2 3 2 3 5 3 2" xfId="14816" xr:uid="{32718DEA-AADE-47F2-9FDF-57D07B6D4F01}"/>
    <cellStyle name="Normal 4 2 2 3 2 3 5 3 3" xfId="23262" xr:uid="{DCADF8AE-6B67-49C9-B262-3CFC0BC57370}"/>
    <cellStyle name="Normal 4 2 2 3 2 3 5 4" xfId="10598" xr:uid="{E0144618-9E6B-4219-9104-6FA54B8415A2}"/>
    <cellStyle name="Normal 4 2 2 3 2 3 5 5" xfId="19043" xr:uid="{40AC81B8-FD69-41C6-ABB5-8609B68E30D0}"/>
    <cellStyle name="Normal 4 2 2 3 2 3 6" xfId="2503" xr:uid="{00000000-0005-0000-0000-00002E120000}"/>
    <cellStyle name="Normal 4 2 2 3 2 3 6 2" xfId="6787" xr:uid="{00000000-0005-0000-0000-00002F120000}"/>
    <cellStyle name="Normal 4 2 2 3 2 3 6 2 2" xfId="15229" xr:uid="{E08255C1-1059-4F57-BBED-BBC92B17D324}"/>
    <cellStyle name="Normal 4 2 2 3 2 3 6 2 3" xfId="23675" xr:uid="{E94AA408-7D39-4154-B78A-2477924CDA8A}"/>
    <cellStyle name="Normal 4 2 2 3 2 3 6 3" xfId="11011" xr:uid="{AF59EDD8-FC27-4581-8C16-BC9A54A29D7C}"/>
    <cellStyle name="Normal 4 2 2 3 2 3 6 4" xfId="19456" xr:uid="{F709A66F-10FB-4442-BBA5-3410ECD5B574}"/>
    <cellStyle name="Normal 4 2 2 3 2 3 7" xfId="4722" xr:uid="{00000000-0005-0000-0000-000030120000}"/>
    <cellStyle name="Normal 4 2 2 3 2 3 7 2" xfId="13164" xr:uid="{CEA051DC-5A10-45E4-957C-C6E52E083FC1}"/>
    <cellStyle name="Normal 4 2 2 3 2 3 7 3" xfId="21610" xr:uid="{51C41F95-1747-4CDF-87F2-CA12577489B9}"/>
    <cellStyle name="Normal 4 2 2 3 2 3 8" xfId="8946" xr:uid="{0BECC7EE-B960-4F94-8E13-CA467B632278}"/>
    <cellStyle name="Normal 4 2 2 3 2 3 9" xfId="17390" xr:uid="{7D148505-A48A-4749-AF9F-843D806A7DDA}"/>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CA88AEAB-31CC-45E5-A7FC-7F7536348441}"/>
    <cellStyle name="Normal 4 2 2 3 2 4 2 2 3" xfId="24165" xr:uid="{ECF5B143-82D6-42C6-8E35-70C440A00F46}"/>
    <cellStyle name="Normal 4 2 2 3 2 4 2 3" xfId="11501" xr:uid="{6389FDBA-E33F-4F4E-9661-7641868A2844}"/>
    <cellStyle name="Normal 4 2 2 3 2 4 2 4" xfId="19948" xr:uid="{055EC634-4E77-431B-8FE4-3A5F60ED3EE7}"/>
    <cellStyle name="Normal 4 2 2 3 2 4 3" xfId="5132" xr:uid="{00000000-0005-0000-0000-000034120000}"/>
    <cellStyle name="Normal 4 2 2 3 2 4 3 2" xfId="13574" xr:uid="{E2B573A3-5B88-436C-9316-38462A474E09}"/>
    <cellStyle name="Normal 4 2 2 3 2 4 3 3" xfId="22020" xr:uid="{04F3A6B7-E6F3-4A4B-A052-9BE5901A8A70}"/>
    <cellStyle name="Normal 4 2 2 3 2 4 4" xfId="9356" xr:uid="{799F64B8-D05B-4F79-8975-544E8E417584}"/>
    <cellStyle name="Normal 4 2 2 3 2 4 5" xfId="17801" xr:uid="{F88432BF-A129-41BC-9908-07B5DFA63E1D}"/>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750A8E39-877A-48D9-98ED-14C9FCE53D88}"/>
    <cellStyle name="Normal 4 2 2 3 2 5 2 2 3" xfId="24578" xr:uid="{EE3B2300-5F31-439F-8DF2-BCD87CD49F27}"/>
    <cellStyle name="Normal 4 2 2 3 2 5 2 3" xfId="11914" xr:uid="{03AECBEB-5D96-44E1-B908-B3F1FDE98DD4}"/>
    <cellStyle name="Normal 4 2 2 3 2 5 2 4" xfId="20361" xr:uid="{AFDF1777-5ADF-4C42-B329-C883657005AD}"/>
    <cellStyle name="Normal 4 2 2 3 2 5 3" xfId="5545" xr:uid="{00000000-0005-0000-0000-000038120000}"/>
    <cellStyle name="Normal 4 2 2 3 2 5 3 2" xfId="13987" xr:uid="{4B001695-7415-4767-8FD4-66E689CD7243}"/>
    <cellStyle name="Normal 4 2 2 3 2 5 3 3" xfId="22433" xr:uid="{818C2DE9-644A-4E73-8D07-63582F2BF51E}"/>
    <cellStyle name="Normal 4 2 2 3 2 5 4" xfId="9769" xr:uid="{BFC75B56-4111-4B07-9224-7EB4D5CD3E82}"/>
    <cellStyle name="Normal 4 2 2 3 2 5 5" xfId="18214" xr:uid="{5144854E-8A31-4BA7-AE10-8D124719C6AE}"/>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B86AD662-5B96-44A2-B64F-03F3E762A03D}"/>
    <cellStyle name="Normal 4 2 2 3 2 6 2 2 3" xfId="24991" xr:uid="{E888E58A-135B-44F6-931D-0A623C8B8649}"/>
    <cellStyle name="Normal 4 2 2 3 2 6 2 3" xfId="12327" xr:uid="{90B4AD47-B066-424E-ACDE-E14C1FBFE5CB}"/>
    <cellStyle name="Normal 4 2 2 3 2 6 2 4" xfId="20774" xr:uid="{303252FE-42ED-42CD-90FD-1C2E4B416C91}"/>
    <cellStyle name="Normal 4 2 2 3 2 6 3" xfId="5958" xr:uid="{00000000-0005-0000-0000-00003C120000}"/>
    <cellStyle name="Normal 4 2 2 3 2 6 3 2" xfId="14400" xr:uid="{5C797693-E7FF-49CB-B737-7B6CF10E442A}"/>
    <cellStyle name="Normal 4 2 2 3 2 6 3 3" xfId="22846" xr:uid="{882B2C7C-16F9-4191-9493-98F689F20D44}"/>
    <cellStyle name="Normal 4 2 2 3 2 6 4" xfId="10182" xr:uid="{68BC1566-B3E0-4CD0-947B-7A6924BB78AA}"/>
    <cellStyle name="Normal 4 2 2 3 2 6 5" xfId="18627" xr:uid="{CCCA9CE7-7596-460A-8975-7450C9CA7168}"/>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458ED86C-CB71-4246-8EFE-3E8A48A4773C}"/>
    <cellStyle name="Normal 4 2 2 3 2 7 2 2 3" xfId="25404" xr:uid="{1FC2281C-8290-428E-9C2C-C6D2B0363925}"/>
    <cellStyle name="Normal 4 2 2 3 2 7 2 3" xfId="12740" xr:uid="{848659D7-774D-4A2A-863C-9B7E8C541926}"/>
    <cellStyle name="Normal 4 2 2 3 2 7 2 4" xfId="21187" xr:uid="{A97B617B-7774-4753-A143-9F1C6D14A29D}"/>
    <cellStyle name="Normal 4 2 2 3 2 7 3" xfId="6371" xr:uid="{00000000-0005-0000-0000-000040120000}"/>
    <cellStyle name="Normal 4 2 2 3 2 7 3 2" xfId="14813" xr:uid="{CA2593F5-022E-4820-B938-4CB4A270AF7E}"/>
    <cellStyle name="Normal 4 2 2 3 2 7 3 3" xfId="23259" xr:uid="{F483F4E8-CA5E-428C-9290-F42157EC132E}"/>
    <cellStyle name="Normal 4 2 2 3 2 7 4" xfId="10595" xr:uid="{C265E9D3-1856-4551-B743-BB86B4CE0F93}"/>
    <cellStyle name="Normal 4 2 2 3 2 7 5" xfId="19040" xr:uid="{779662BB-DE20-42B8-8077-C001B8E0104B}"/>
    <cellStyle name="Normal 4 2 2 3 2 8" xfId="2500" xr:uid="{00000000-0005-0000-0000-000041120000}"/>
    <cellStyle name="Normal 4 2 2 3 2 8 2" xfId="6784" xr:uid="{00000000-0005-0000-0000-000042120000}"/>
    <cellStyle name="Normal 4 2 2 3 2 8 2 2" xfId="15226" xr:uid="{57FCCAE0-405A-4084-AFDB-3F56B706C09E}"/>
    <cellStyle name="Normal 4 2 2 3 2 8 2 3" xfId="23672" xr:uid="{D6773FFF-7D8D-4878-A320-4E59BFA68964}"/>
    <cellStyle name="Normal 4 2 2 3 2 8 3" xfId="11008" xr:uid="{17BE8FDF-CBE3-411E-859B-8822D40BD574}"/>
    <cellStyle name="Normal 4 2 2 3 2 8 4" xfId="19453" xr:uid="{50EFCF92-F16E-4FAC-A370-48C49C5445D8}"/>
    <cellStyle name="Normal 4 2 2 3 2 9" xfId="4719" xr:uid="{00000000-0005-0000-0000-000043120000}"/>
    <cellStyle name="Normal 4 2 2 3 2 9 2" xfId="13161" xr:uid="{FFE58F4F-02F4-4773-B00E-1737B0499836}"/>
    <cellStyle name="Normal 4 2 2 3 2 9 3" xfId="21607" xr:uid="{BF926CD7-0DEF-4782-9F7A-C475B592FDB2}"/>
    <cellStyle name="Normal 4 2 2 3 3" xfId="344" xr:uid="{00000000-0005-0000-0000-000044120000}"/>
    <cellStyle name="Normal 4 2 2 3 3 10" xfId="17391" xr:uid="{597E05C4-969B-478E-B6E7-141C11F1AB34}"/>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A66E8A40-0BCC-4E3D-99FB-34849075A773}"/>
    <cellStyle name="Normal 4 2 2 3 3 2 2 2 2 3" xfId="24170" xr:uid="{FF1E2135-233A-4999-A0FF-0E60565B6C3E}"/>
    <cellStyle name="Normal 4 2 2 3 3 2 2 2 3" xfId="11506" xr:uid="{29C23B8A-F8D8-48A5-A9DE-3D28FEEF0D3F}"/>
    <cellStyle name="Normal 4 2 2 3 3 2 2 2 4" xfId="19953" xr:uid="{6DF6892A-C750-49DB-BDB9-CC486A27EBE8}"/>
    <cellStyle name="Normal 4 2 2 3 3 2 2 3" xfId="5137" xr:uid="{00000000-0005-0000-0000-000049120000}"/>
    <cellStyle name="Normal 4 2 2 3 3 2 2 3 2" xfId="13579" xr:uid="{529DB642-89CA-40AE-9E90-4EE9B6230299}"/>
    <cellStyle name="Normal 4 2 2 3 3 2 2 3 3" xfId="22025" xr:uid="{17B8A9AE-D48B-4986-89BD-28B118A57F8C}"/>
    <cellStyle name="Normal 4 2 2 3 3 2 2 4" xfId="9361" xr:uid="{0F245449-5981-478D-B5B2-54CF9D8DCEA6}"/>
    <cellStyle name="Normal 4 2 2 3 3 2 2 5" xfId="17806" xr:uid="{50DD528A-E696-4174-A642-059889577291}"/>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A8E65BFC-FA1E-413B-89D2-C06DA165876F}"/>
    <cellStyle name="Normal 4 2 2 3 3 2 3 2 2 3" xfId="24583" xr:uid="{AFD9CF83-4F83-4A64-85B0-EAED4E048590}"/>
    <cellStyle name="Normal 4 2 2 3 3 2 3 2 3" xfId="11919" xr:uid="{FE574ECE-D69F-4010-9F05-AB4D12BE36B7}"/>
    <cellStyle name="Normal 4 2 2 3 3 2 3 2 4" xfId="20366" xr:uid="{8EB05C40-FF3D-4113-8155-1B8F1395B066}"/>
    <cellStyle name="Normal 4 2 2 3 3 2 3 3" xfId="5550" xr:uid="{00000000-0005-0000-0000-00004D120000}"/>
    <cellStyle name="Normal 4 2 2 3 3 2 3 3 2" xfId="13992" xr:uid="{CCD299E9-692C-431B-B180-A7B4C91563BF}"/>
    <cellStyle name="Normal 4 2 2 3 3 2 3 3 3" xfId="22438" xr:uid="{2185F903-8F4E-4A98-930D-2921E01AB891}"/>
    <cellStyle name="Normal 4 2 2 3 3 2 3 4" xfId="9774" xr:uid="{2612646A-C179-44F9-94E0-885B945B66C8}"/>
    <cellStyle name="Normal 4 2 2 3 3 2 3 5" xfId="18219" xr:uid="{0464AF41-A608-4F83-93D1-D29201F74BC1}"/>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7CDD0C22-279A-4FB7-9C48-0F86D4BBB14E}"/>
    <cellStyle name="Normal 4 2 2 3 3 2 4 2 2 3" xfId="24996" xr:uid="{EC6CDEAC-34C4-4BCA-92C3-99AE87939AF8}"/>
    <cellStyle name="Normal 4 2 2 3 3 2 4 2 3" xfId="12332" xr:uid="{E293DF70-7A27-457A-BDCF-F42D4A622533}"/>
    <cellStyle name="Normal 4 2 2 3 3 2 4 2 4" xfId="20779" xr:uid="{0B483D23-B51F-467A-A4F6-A6D4E861A19E}"/>
    <cellStyle name="Normal 4 2 2 3 3 2 4 3" xfId="5963" xr:uid="{00000000-0005-0000-0000-000051120000}"/>
    <cellStyle name="Normal 4 2 2 3 3 2 4 3 2" xfId="14405" xr:uid="{C0809E39-06A6-4862-8566-F5D1ED8F8FE7}"/>
    <cellStyle name="Normal 4 2 2 3 3 2 4 3 3" xfId="22851" xr:uid="{978E0D87-9C3D-4B81-91E0-2845A6A8D4EF}"/>
    <cellStyle name="Normal 4 2 2 3 3 2 4 4" xfId="10187" xr:uid="{ED170353-2F52-4059-A33C-A3F5D2EEC55C}"/>
    <cellStyle name="Normal 4 2 2 3 3 2 4 5" xfId="18632" xr:uid="{47180645-EB8B-451A-9EE5-E1BB7FC044EB}"/>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FDEA1254-EEA6-4662-ADEB-EF88C1045FDF}"/>
    <cellStyle name="Normal 4 2 2 3 3 2 5 2 2 3" xfId="25409" xr:uid="{7413B0D0-1BEE-4727-8263-059B30BFFCA4}"/>
    <cellStyle name="Normal 4 2 2 3 3 2 5 2 3" xfId="12745" xr:uid="{69412939-FDC5-4D5C-AF14-30B9F6F84324}"/>
    <cellStyle name="Normal 4 2 2 3 3 2 5 2 4" xfId="21192" xr:uid="{3AA49EB5-18B3-44AE-891C-80B25AAEF088}"/>
    <cellStyle name="Normal 4 2 2 3 3 2 5 3" xfId="6376" xr:uid="{00000000-0005-0000-0000-000055120000}"/>
    <cellStyle name="Normal 4 2 2 3 3 2 5 3 2" xfId="14818" xr:uid="{DFCF4AE6-56AD-4BC5-8968-6A5EEFCABAFF}"/>
    <cellStyle name="Normal 4 2 2 3 3 2 5 3 3" xfId="23264" xr:uid="{F9F77505-1C68-4F02-9922-35B1FB3E41D2}"/>
    <cellStyle name="Normal 4 2 2 3 3 2 5 4" xfId="10600" xr:uid="{2C13EAA8-8FD4-40C6-BBFA-AA437CC6D362}"/>
    <cellStyle name="Normal 4 2 2 3 3 2 5 5" xfId="19045" xr:uid="{5A8E6131-D671-4CED-BC1C-64FCA25EBD05}"/>
    <cellStyle name="Normal 4 2 2 3 3 2 6" xfId="2505" xr:uid="{00000000-0005-0000-0000-000056120000}"/>
    <cellStyle name="Normal 4 2 2 3 3 2 6 2" xfId="6789" xr:uid="{00000000-0005-0000-0000-000057120000}"/>
    <cellStyle name="Normal 4 2 2 3 3 2 6 2 2" xfId="15231" xr:uid="{2552F21C-ECCE-4052-859A-4C3491686950}"/>
    <cellStyle name="Normal 4 2 2 3 3 2 6 2 3" xfId="23677" xr:uid="{D53761AE-E1E2-4536-AA77-004D69FAA1CD}"/>
    <cellStyle name="Normal 4 2 2 3 3 2 6 3" xfId="11013" xr:uid="{11965FAC-7457-44B1-A970-1942C077F25E}"/>
    <cellStyle name="Normal 4 2 2 3 3 2 6 4" xfId="19458" xr:uid="{E3E43BCD-955A-4710-BFF1-9BEFF6FA8BDD}"/>
    <cellStyle name="Normal 4 2 2 3 3 2 7" xfId="4724" xr:uid="{00000000-0005-0000-0000-000058120000}"/>
    <cellStyle name="Normal 4 2 2 3 3 2 7 2" xfId="13166" xr:uid="{1CBBE927-1B16-452F-8CB8-89DB9FA980C9}"/>
    <cellStyle name="Normal 4 2 2 3 3 2 7 3" xfId="21612" xr:uid="{7DD446F3-7C96-458F-BA93-0BC44686832E}"/>
    <cellStyle name="Normal 4 2 2 3 3 2 8" xfId="8948" xr:uid="{C554146C-5E79-4BC2-BA9A-24B922FFB1D9}"/>
    <cellStyle name="Normal 4 2 2 3 3 2 9" xfId="17392" xr:uid="{0E149F6E-2BBB-44B5-AFFD-A8DB132C9A33}"/>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45B6BBFE-2FC2-4EA5-B942-46B88FC76CEA}"/>
    <cellStyle name="Normal 4 2 2 3 3 3 2 2 3" xfId="24169" xr:uid="{5A55D834-885C-4E2B-9555-0CDD00842CE2}"/>
    <cellStyle name="Normal 4 2 2 3 3 3 2 3" xfId="11505" xr:uid="{C61CE2B1-E083-48A7-A2E7-1C32E89312C2}"/>
    <cellStyle name="Normal 4 2 2 3 3 3 2 4" xfId="19952" xr:uid="{055AE89B-79B6-4E6A-B74E-9B972B690BF3}"/>
    <cellStyle name="Normal 4 2 2 3 3 3 3" xfId="5136" xr:uid="{00000000-0005-0000-0000-00005C120000}"/>
    <cellStyle name="Normal 4 2 2 3 3 3 3 2" xfId="13578" xr:uid="{1AC8F356-85A1-489B-AAED-26A1BFFE9D5C}"/>
    <cellStyle name="Normal 4 2 2 3 3 3 3 3" xfId="22024" xr:uid="{23886F36-56D7-4C5E-BFFD-5C7440C8C8A5}"/>
    <cellStyle name="Normal 4 2 2 3 3 3 4" xfId="9360" xr:uid="{A728A48D-751A-4D63-A003-3D59DB0F2472}"/>
    <cellStyle name="Normal 4 2 2 3 3 3 5" xfId="17805" xr:uid="{68812437-96EB-4282-8641-959ED2D6E9CC}"/>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B3A58E53-862C-4AB8-B15C-4B3D65931B95}"/>
    <cellStyle name="Normal 4 2 2 3 3 4 2 2 3" xfId="24582" xr:uid="{F4BFC789-E1FB-46DA-9602-F529F40B8696}"/>
    <cellStyle name="Normal 4 2 2 3 3 4 2 3" xfId="11918" xr:uid="{B34CD5B4-D3DB-4100-8ACE-928CBA4B2ECC}"/>
    <cellStyle name="Normal 4 2 2 3 3 4 2 4" xfId="20365" xr:uid="{C06B2078-5866-42DF-A6D3-B5735D2F7AAC}"/>
    <cellStyle name="Normal 4 2 2 3 3 4 3" xfId="5549" xr:uid="{00000000-0005-0000-0000-000060120000}"/>
    <cellStyle name="Normal 4 2 2 3 3 4 3 2" xfId="13991" xr:uid="{B67F1B51-5F4B-4797-A32E-155045A72154}"/>
    <cellStyle name="Normal 4 2 2 3 3 4 3 3" xfId="22437" xr:uid="{20F54A2E-07E8-4725-9EE9-A1A328DA30B5}"/>
    <cellStyle name="Normal 4 2 2 3 3 4 4" xfId="9773" xr:uid="{45BE0A32-F597-40CC-AD54-3D6203F23B4F}"/>
    <cellStyle name="Normal 4 2 2 3 3 4 5" xfId="18218" xr:uid="{30D40739-4D59-4875-90B2-162675A9D569}"/>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23A329AC-C19B-415C-AEDB-8B3F05882D0C}"/>
    <cellStyle name="Normal 4 2 2 3 3 5 2 2 3" xfId="24995" xr:uid="{88BC8E8C-4C3A-49F8-BDEA-2A5E2EE95EED}"/>
    <cellStyle name="Normal 4 2 2 3 3 5 2 3" xfId="12331" xr:uid="{17AAB8AA-F70B-4088-BAD3-524E1D39E5CF}"/>
    <cellStyle name="Normal 4 2 2 3 3 5 2 4" xfId="20778" xr:uid="{1F105BCA-D0A3-4006-951E-1FE1BEFB64B7}"/>
    <cellStyle name="Normal 4 2 2 3 3 5 3" xfId="5962" xr:uid="{00000000-0005-0000-0000-000064120000}"/>
    <cellStyle name="Normal 4 2 2 3 3 5 3 2" xfId="14404" xr:uid="{AEDF2287-FA15-4262-A16E-74656316FCF9}"/>
    <cellStyle name="Normal 4 2 2 3 3 5 3 3" xfId="22850" xr:uid="{4DE89973-30A8-4140-8884-1F1C2057BC99}"/>
    <cellStyle name="Normal 4 2 2 3 3 5 4" xfId="10186" xr:uid="{5B50F363-59D2-4A97-9B4E-71C211DD1A92}"/>
    <cellStyle name="Normal 4 2 2 3 3 5 5" xfId="18631" xr:uid="{C250D0A4-50DD-47B2-A3E9-361E32026BF4}"/>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3042313E-6E48-4689-8EEB-ACA8AE401BB3}"/>
    <cellStyle name="Normal 4 2 2 3 3 6 2 2 3" xfId="25408" xr:uid="{E4AB82E3-1190-4D16-9001-9F5F4D9E7C2B}"/>
    <cellStyle name="Normal 4 2 2 3 3 6 2 3" xfId="12744" xr:uid="{EFD4F599-E865-498A-9942-CE5CC7EB60C3}"/>
    <cellStyle name="Normal 4 2 2 3 3 6 2 4" xfId="21191" xr:uid="{192B6FD3-71A5-4FCE-9884-4206A39BDC32}"/>
    <cellStyle name="Normal 4 2 2 3 3 6 3" xfId="6375" xr:uid="{00000000-0005-0000-0000-000068120000}"/>
    <cellStyle name="Normal 4 2 2 3 3 6 3 2" xfId="14817" xr:uid="{0AB65475-DC5A-4246-9168-F43546E71D0E}"/>
    <cellStyle name="Normal 4 2 2 3 3 6 3 3" xfId="23263" xr:uid="{1DE3F7ED-5053-4129-812F-2CE7398B11BC}"/>
    <cellStyle name="Normal 4 2 2 3 3 6 4" xfId="10599" xr:uid="{709E67DA-7B8F-4A7C-8303-52CB90DB2E99}"/>
    <cellStyle name="Normal 4 2 2 3 3 6 5" xfId="19044" xr:uid="{20DA2381-B25D-43D1-BFA8-6BC8A07464CE}"/>
    <cellStyle name="Normal 4 2 2 3 3 7" xfId="2504" xr:uid="{00000000-0005-0000-0000-000069120000}"/>
    <cellStyle name="Normal 4 2 2 3 3 7 2" xfId="6788" xr:uid="{00000000-0005-0000-0000-00006A120000}"/>
    <cellStyle name="Normal 4 2 2 3 3 7 2 2" xfId="15230" xr:uid="{64D1E29A-8CA8-40E5-9518-95AE3B5FE568}"/>
    <cellStyle name="Normal 4 2 2 3 3 7 2 3" xfId="23676" xr:uid="{C96A4211-2472-4618-8084-06DEBC3CCFD5}"/>
    <cellStyle name="Normal 4 2 2 3 3 7 3" xfId="11012" xr:uid="{FA23D92E-FC33-4FFA-9E77-00042A4F04E0}"/>
    <cellStyle name="Normal 4 2 2 3 3 7 4" xfId="19457" xr:uid="{A3452B2C-68EA-4C56-9AD2-CA1EFEC50ADA}"/>
    <cellStyle name="Normal 4 2 2 3 3 8" xfId="4723" xr:uid="{00000000-0005-0000-0000-00006B120000}"/>
    <cellStyle name="Normal 4 2 2 3 3 8 2" xfId="13165" xr:uid="{F2B14F77-302D-4B1D-B806-382586FBDD0A}"/>
    <cellStyle name="Normal 4 2 2 3 3 8 3" xfId="21611" xr:uid="{4A370A7E-760D-438A-8ADA-8D00CA580134}"/>
    <cellStyle name="Normal 4 2 2 3 3 9" xfId="8947" xr:uid="{857898E2-91B3-4B51-BD42-ADBE6B3A3CFE}"/>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E67D7685-6505-4DB3-AC0F-C1B9B3E1494B}"/>
    <cellStyle name="Normal 4 2 2 3 4 2 2 2 3" xfId="24171" xr:uid="{D720C445-30AC-4A15-AF32-4D7E385664AA}"/>
    <cellStyle name="Normal 4 2 2 3 4 2 2 3" xfId="11507" xr:uid="{36569C28-B1B2-4C03-B923-B3DEFC701410}"/>
    <cellStyle name="Normal 4 2 2 3 4 2 2 4" xfId="19954" xr:uid="{54752FE3-5539-4365-A594-140D4101ED74}"/>
    <cellStyle name="Normal 4 2 2 3 4 2 3" xfId="5138" xr:uid="{00000000-0005-0000-0000-000070120000}"/>
    <cellStyle name="Normal 4 2 2 3 4 2 3 2" xfId="13580" xr:uid="{53BB5841-D140-40B7-A654-F8A843A1C7EE}"/>
    <cellStyle name="Normal 4 2 2 3 4 2 3 3" xfId="22026" xr:uid="{76C5DECE-4785-43D3-A1B2-657B0E16724A}"/>
    <cellStyle name="Normal 4 2 2 3 4 2 4" xfId="9362" xr:uid="{37096682-85F2-41AE-8A1A-754236ECD819}"/>
    <cellStyle name="Normal 4 2 2 3 4 2 5" xfId="17807" xr:uid="{6599C8CC-48E2-4DFC-92F4-9B5BAE84900A}"/>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1F8F1645-53F7-4CE9-8AA6-EC0BC2493ED9}"/>
    <cellStyle name="Normal 4 2 2 3 4 3 2 2 3" xfId="24584" xr:uid="{A1B9C717-477E-4E2A-9F21-023BDEF2C53B}"/>
    <cellStyle name="Normal 4 2 2 3 4 3 2 3" xfId="11920" xr:uid="{6A5D31DF-1E9A-47E3-B778-88201AD9A2B4}"/>
    <cellStyle name="Normal 4 2 2 3 4 3 2 4" xfId="20367" xr:uid="{1B0BEBA9-44E0-4BF8-B4D3-7AF9F983B8AF}"/>
    <cellStyle name="Normal 4 2 2 3 4 3 3" xfId="5551" xr:uid="{00000000-0005-0000-0000-000074120000}"/>
    <cellStyle name="Normal 4 2 2 3 4 3 3 2" xfId="13993" xr:uid="{28F2CADD-D507-40D0-811D-2056C49C4F97}"/>
    <cellStyle name="Normal 4 2 2 3 4 3 3 3" xfId="22439" xr:uid="{C85B9B53-C276-46FB-A8D4-9E8C2CFC345E}"/>
    <cellStyle name="Normal 4 2 2 3 4 3 4" xfId="9775" xr:uid="{5CCC7592-994A-4536-86EF-73254DB4FC98}"/>
    <cellStyle name="Normal 4 2 2 3 4 3 5" xfId="18220" xr:uid="{64731891-8E50-432C-A328-1057B5306BA3}"/>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88B5B818-3BFD-4564-A544-F26B509D7067}"/>
    <cellStyle name="Normal 4 2 2 3 4 4 2 2 3" xfId="24997" xr:uid="{BA7BE061-C755-4625-9D0B-EB82DD136B70}"/>
    <cellStyle name="Normal 4 2 2 3 4 4 2 3" xfId="12333" xr:uid="{C32395C1-1F11-4CB3-AB09-7685E97287FD}"/>
    <cellStyle name="Normal 4 2 2 3 4 4 2 4" xfId="20780" xr:uid="{BA9CDE84-B80E-4603-8BDF-4CC523B241EC}"/>
    <cellStyle name="Normal 4 2 2 3 4 4 3" xfId="5964" xr:uid="{00000000-0005-0000-0000-000078120000}"/>
    <cellStyle name="Normal 4 2 2 3 4 4 3 2" xfId="14406" xr:uid="{3354A6C9-FB1C-46E3-83D2-3321F4BC266D}"/>
    <cellStyle name="Normal 4 2 2 3 4 4 3 3" xfId="22852" xr:uid="{D26126DC-72E9-4592-88BE-2763D4E1BDC4}"/>
    <cellStyle name="Normal 4 2 2 3 4 4 4" xfId="10188" xr:uid="{CBEB6D8E-EFE8-48C0-856F-760C9F89366B}"/>
    <cellStyle name="Normal 4 2 2 3 4 4 5" xfId="18633" xr:uid="{43E9D46C-2D00-4D42-9B81-AFD2F9186F2A}"/>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539E18E6-FE28-4868-AC30-7595ABF43AD4}"/>
    <cellStyle name="Normal 4 2 2 3 4 5 2 2 3" xfId="25410" xr:uid="{F4CF2D13-2D8C-47ED-A3A0-61AF089B3EF8}"/>
    <cellStyle name="Normal 4 2 2 3 4 5 2 3" xfId="12746" xr:uid="{D4D4C3C6-AF58-4B2F-8409-F4340FF4910C}"/>
    <cellStyle name="Normal 4 2 2 3 4 5 2 4" xfId="21193" xr:uid="{A84587FC-2DFC-4962-8A8E-A9E6D6AC83F2}"/>
    <cellStyle name="Normal 4 2 2 3 4 5 3" xfId="6377" xr:uid="{00000000-0005-0000-0000-00007C120000}"/>
    <cellStyle name="Normal 4 2 2 3 4 5 3 2" xfId="14819" xr:uid="{1DB549F4-1744-49EB-9F5A-B47A383DF685}"/>
    <cellStyle name="Normal 4 2 2 3 4 5 3 3" xfId="23265" xr:uid="{A7344475-976D-4BD7-8DEA-85C61C9D59FA}"/>
    <cellStyle name="Normal 4 2 2 3 4 5 4" xfId="10601" xr:uid="{A7042044-4D14-49C4-B1B4-6F2BDADDD6E3}"/>
    <cellStyle name="Normal 4 2 2 3 4 5 5" xfId="19046" xr:uid="{A78CB1FB-F43A-4743-833D-96E21B099134}"/>
    <cellStyle name="Normal 4 2 2 3 4 6" xfId="2506" xr:uid="{00000000-0005-0000-0000-00007D120000}"/>
    <cellStyle name="Normal 4 2 2 3 4 6 2" xfId="6790" xr:uid="{00000000-0005-0000-0000-00007E120000}"/>
    <cellStyle name="Normal 4 2 2 3 4 6 2 2" xfId="15232" xr:uid="{1B0C92E6-3CCE-477D-A6A7-430D975967C0}"/>
    <cellStyle name="Normal 4 2 2 3 4 6 2 3" xfId="23678" xr:uid="{D6DB7B0E-FC3D-4D0F-BB2B-D15409E9DBB6}"/>
    <cellStyle name="Normal 4 2 2 3 4 6 3" xfId="11014" xr:uid="{46A26136-8787-42BC-A961-A7E42A499143}"/>
    <cellStyle name="Normal 4 2 2 3 4 6 4" xfId="19459" xr:uid="{D65756D5-AA51-4E80-9EA5-21C869961CA1}"/>
    <cellStyle name="Normal 4 2 2 3 4 7" xfId="4725" xr:uid="{00000000-0005-0000-0000-00007F120000}"/>
    <cellStyle name="Normal 4 2 2 3 4 7 2" xfId="13167" xr:uid="{148A2786-43C9-4B45-AD63-06FE8DAD74E1}"/>
    <cellStyle name="Normal 4 2 2 3 4 7 3" xfId="21613" xr:uid="{75EC796B-4DAE-495A-B576-6AE44713A350}"/>
    <cellStyle name="Normal 4 2 2 3 4 8" xfId="8949" xr:uid="{A0683876-AC8E-4E46-8A2B-7ACE179EAD1D}"/>
    <cellStyle name="Normal 4 2 2 3 4 9" xfId="17393" xr:uid="{51E3A489-F3A6-46C9-8A17-C72C28F6BC77}"/>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C9098A8E-2478-4B47-A3D2-9461B50DCE80}"/>
    <cellStyle name="Normal 4 2 2 3 5 2 2 3" xfId="24164" xr:uid="{6BC7518F-F035-45CF-AE4B-BA0E6AA711F4}"/>
    <cellStyle name="Normal 4 2 2 3 5 2 3" xfId="11500" xr:uid="{28451C45-4C50-44FB-98C3-E9E6701D892A}"/>
    <cellStyle name="Normal 4 2 2 3 5 2 4" xfId="19947" xr:uid="{C480DD9F-5FC4-4415-8A2F-6E052ACC16CD}"/>
    <cellStyle name="Normal 4 2 2 3 5 3" xfId="5131" xr:uid="{00000000-0005-0000-0000-000083120000}"/>
    <cellStyle name="Normal 4 2 2 3 5 3 2" xfId="13573" xr:uid="{BD03609D-8198-4DC2-A5C1-BDC2392B5DF5}"/>
    <cellStyle name="Normal 4 2 2 3 5 3 3" xfId="22019" xr:uid="{8FF72958-C6F8-46EE-82AF-83C524B90594}"/>
    <cellStyle name="Normal 4 2 2 3 5 4" xfId="9355" xr:uid="{9A0EFEF7-4B72-494F-8064-9F7BF62B74FB}"/>
    <cellStyle name="Normal 4 2 2 3 5 5" xfId="17800" xr:uid="{6F2E6938-8C50-4797-BFBD-EEA6A704C19D}"/>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D408ED7F-22CB-4FFC-87A4-20D281E54E11}"/>
    <cellStyle name="Normal 4 2 2 3 6 2 2 3" xfId="24577" xr:uid="{41DE8065-5170-4FDA-B87A-C35830C260D7}"/>
    <cellStyle name="Normal 4 2 2 3 6 2 3" xfId="11913" xr:uid="{D40FD960-2165-4598-BDE7-9C3C9576DA18}"/>
    <cellStyle name="Normal 4 2 2 3 6 2 4" xfId="20360" xr:uid="{3EC3E5E1-B1DE-434A-9364-112CE74BDB1F}"/>
    <cellStyle name="Normal 4 2 2 3 6 3" xfId="5544" xr:uid="{00000000-0005-0000-0000-000087120000}"/>
    <cellStyle name="Normal 4 2 2 3 6 3 2" xfId="13986" xr:uid="{84332877-3BE8-4D73-B973-B98686430F74}"/>
    <cellStyle name="Normal 4 2 2 3 6 3 3" xfId="22432" xr:uid="{5BF4324F-AAF0-46D5-8F30-75D781617854}"/>
    <cellStyle name="Normal 4 2 2 3 6 4" xfId="9768" xr:uid="{8BFD18DC-F29D-4618-BAA8-F288975E1C24}"/>
    <cellStyle name="Normal 4 2 2 3 6 5" xfId="18213" xr:uid="{90C02F00-C60E-47A7-88A9-FF8BD5CDA84B}"/>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0AF68803-1E8F-49A1-A308-061AD96D5D56}"/>
    <cellStyle name="Normal 4 2 2 3 7 2 2 3" xfId="24990" xr:uid="{25A00084-694F-4C1E-ADE7-2FDF3154ABDA}"/>
    <cellStyle name="Normal 4 2 2 3 7 2 3" xfId="12326" xr:uid="{B6853E2E-A9C2-4C3E-B178-CC3BB7B2533E}"/>
    <cellStyle name="Normal 4 2 2 3 7 2 4" xfId="20773" xr:uid="{6D3863CA-A960-49C6-BFF5-5BAE21B28D8D}"/>
    <cellStyle name="Normal 4 2 2 3 7 3" xfId="5957" xr:uid="{00000000-0005-0000-0000-00008B120000}"/>
    <cellStyle name="Normal 4 2 2 3 7 3 2" xfId="14399" xr:uid="{CC0F1CD1-EF9A-44C0-B878-EC1B6060AFE6}"/>
    <cellStyle name="Normal 4 2 2 3 7 3 3" xfId="22845" xr:uid="{8EE6FEE1-322E-4E51-ADA1-3529C24BAE9A}"/>
    <cellStyle name="Normal 4 2 2 3 7 4" xfId="10181" xr:uid="{9D7C9BFB-69DE-4D6E-82E3-636CFA0926C0}"/>
    <cellStyle name="Normal 4 2 2 3 7 5" xfId="18626" xr:uid="{7372BBE7-8762-4ECF-9DBA-6ACED2AB0A30}"/>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55BCFFA3-E75D-4E59-8B45-67B03982D12D}"/>
    <cellStyle name="Normal 4 2 2 3 8 2 2 3" xfId="25403" xr:uid="{F174778D-E0FD-4514-A9AB-FE05F1E0907A}"/>
    <cellStyle name="Normal 4 2 2 3 8 2 3" xfId="12739" xr:uid="{7CB4C384-4F1E-4780-96D6-04477CC863A1}"/>
    <cellStyle name="Normal 4 2 2 3 8 2 4" xfId="21186" xr:uid="{43DE3E8B-0C72-406E-BFD2-D73CB59F2ECB}"/>
    <cellStyle name="Normal 4 2 2 3 8 3" xfId="6370" xr:uid="{00000000-0005-0000-0000-00008F120000}"/>
    <cellStyle name="Normal 4 2 2 3 8 3 2" xfId="14812" xr:uid="{3AE2EC07-A002-41CC-9150-34DFCC3D9AA5}"/>
    <cellStyle name="Normal 4 2 2 3 8 3 3" xfId="23258" xr:uid="{DB3ED89B-86DC-46C5-BE3B-3D7755CB294F}"/>
    <cellStyle name="Normal 4 2 2 3 8 4" xfId="10594" xr:uid="{FE45BC52-995A-41A0-BB2C-ECB7063EF779}"/>
    <cellStyle name="Normal 4 2 2 3 8 5" xfId="19039" xr:uid="{91D217D7-EF14-46C7-9B8A-74BD8722E0AF}"/>
    <cellStyle name="Normal 4 2 2 3 9" xfId="2499" xr:uid="{00000000-0005-0000-0000-000090120000}"/>
    <cellStyle name="Normal 4 2 2 3 9 2" xfId="6783" xr:uid="{00000000-0005-0000-0000-000091120000}"/>
    <cellStyle name="Normal 4 2 2 3 9 2 2" xfId="15225" xr:uid="{0C6A4124-FE69-4C31-9D8B-5E99F8A22EC9}"/>
    <cellStyle name="Normal 4 2 2 3 9 2 3" xfId="23671" xr:uid="{C339FD71-3560-4A77-B72A-94500340EFD1}"/>
    <cellStyle name="Normal 4 2 2 3 9 3" xfId="11007" xr:uid="{7B2F3EF9-4521-4AEE-899B-B3264AA69491}"/>
    <cellStyle name="Normal 4 2 2 3 9 4" xfId="19452" xr:uid="{94E22273-654A-414F-9A14-AD89EFA6597E}"/>
    <cellStyle name="Normal 4 2 2 4" xfId="347" xr:uid="{00000000-0005-0000-0000-000092120000}"/>
    <cellStyle name="Normal 4 2 2 4 10" xfId="8950" xr:uid="{D781D383-3E9C-476F-BF2E-A57BA1DCE992}"/>
    <cellStyle name="Normal 4 2 2 4 11" xfId="17394" xr:uid="{6E506C0B-02EE-44CE-8756-19FFCCC8AF64}"/>
    <cellStyle name="Normal 4 2 2 4 2" xfId="348" xr:uid="{00000000-0005-0000-0000-000093120000}"/>
    <cellStyle name="Normal 4 2 2 4 2 10" xfId="17395" xr:uid="{3F2F2635-6688-49D5-90CC-76E388B92E48}"/>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0F486A88-2FC6-4083-9BE5-8B88F9EDF8F1}"/>
    <cellStyle name="Normal 4 2 2 4 2 2 2 2 2 3" xfId="24174" xr:uid="{BD4CC93F-1E80-4A82-A149-F803FE80ECE9}"/>
    <cellStyle name="Normal 4 2 2 4 2 2 2 2 3" xfId="11510" xr:uid="{3F8EB4ED-F880-4836-A5EB-14947E796A0D}"/>
    <cellStyle name="Normal 4 2 2 4 2 2 2 2 4" xfId="19957" xr:uid="{ABFBA034-3DFD-4A38-9DAA-CABA61DC239C}"/>
    <cellStyle name="Normal 4 2 2 4 2 2 2 3" xfId="5141" xr:uid="{00000000-0005-0000-0000-000098120000}"/>
    <cellStyle name="Normal 4 2 2 4 2 2 2 3 2" xfId="13583" xr:uid="{EA789078-16A6-423C-8F69-9662DDC26CF3}"/>
    <cellStyle name="Normal 4 2 2 4 2 2 2 3 3" xfId="22029" xr:uid="{8040F997-2797-44FF-A620-43A6A93ABF85}"/>
    <cellStyle name="Normal 4 2 2 4 2 2 2 4" xfId="9365" xr:uid="{F8415063-539F-4689-BCBD-4C788989EB64}"/>
    <cellStyle name="Normal 4 2 2 4 2 2 2 5" xfId="17810" xr:uid="{5EC2E534-4612-4BB3-9CA8-C69FDEC50AF2}"/>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AFCCF36E-A63A-421E-BC60-552CE8DE983B}"/>
    <cellStyle name="Normal 4 2 2 4 2 2 3 2 2 3" xfId="24587" xr:uid="{699A4491-05C9-4B41-B5D8-63F5A9B947CE}"/>
    <cellStyle name="Normal 4 2 2 4 2 2 3 2 3" xfId="11923" xr:uid="{F733600E-076E-4F70-9D0F-19CD18E09F1E}"/>
    <cellStyle name="Normal 4 2 2 4 2 2 3 2 4" xfId="20370" xr:uid="{66289FA5-8DDC-4EC9-BDD8-3AD8491FE885}"/>
    <cellStyle name="Normal 4 2 2 4 2 2 3 3" xfId="5554" xr:uid="{00000000-0005-0000-0000-00009C120000}"/>
    <cellStyle name="Normal 4 2 2 4 2 2 3 3 2" xfId="13996" xr:uid="{66A18587-2DA3-4B1A-A95D-B25A224E1B6D}"/>
    <cellStyle name="Normal 4 2 2 4 2 2 3 3 3" xfId="22442" xr:uid="{5E7115DB-DC77-49A0-AB2D-6D3C2BF7F76C}"/>
    <cellStyle name="Normal 4 2 2 4 2 2 3 4" xfId="9778" xr:uid="{4455D7B4-A754-4CFF-BB93-0E789FEF5CD6}"/>
    <cellStyle name="Normal 4 2 2 4 2 2 3 5" xfId="18223" xr:uid="{BE082A25-98B9-4D42-99F7-89B8AED27DD2}"/>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6D0384B0-7407-42D3-BB78-E35E9AD4BFCC}"/>
    <cellStyle name="Normal 4 2 2 4 2 2 4 2 2 3" xfId="25000" xr:uid="{28CD3951-DFFF-4D7E-B9F6-BEB5EC42E37C}"/>
    <cellStyle name="Normal 4 2 2 4 2 2 4 2 3" xfId="12336" xr:uid="{1D84BDFE-2E82-4EC3-AB7E-7A0B0EF0A86F}"/>
    <cellStyle name="Normal 4 2 2 4 2 2 4 2 4" xfId="20783" xr:uid="{09E24BC2-E707-4F82-9E54-A5D1CF171614}"/>
    <cellStyle name="Normal 4 2 2 4 2 2 4 3" xfId="5967" xr:uid="{00000000-0005-0000-0000-0000A0120000}"/>
    <cellStyle name="Normal 4 2 2 4 2 2 4 3 2" xfId="14409" xr:uid="{FAD97633-6144-4368-9984-939DB9A6C720}"/>
    <cellStyle name="Normal 4 2 2 4 2 2 4 3 3" xfId="22855" xr:uid="{4118FF28-F56F-472C-9C4D-9F2323AAA297}"/>
    <cellStyle name="Normal 4 2 2 4 2 2 4 4" xfId="10191" xr:uid="{0CE4A74E-0275-4B4A-8289-9EF48503BFE3}"/>
    <cellStyle name="Normal 4 2 2 4 2 2 4 5" xfId="18636" xr:uid="{987F7F31-7B81-45ED-840B-E71931FC726D}"/>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5835428A-87A6-44D7-946D-3F2823FCAB90}"/>
    <cellStyle name="Normal 4 2 2 4 2 2 5 2 2 3" xfId="25413" xr:uid="{6804D096-9DFC-40A6-B3B4-9E6C22A5981F}"/>
    <cellStyle name="Normal 4 2 2 4 2 2 5 2 3" xfId="12749" xr:uid="{2A0B4B0C-39C5-4444-A2DD-2A0E7207B0E7}"/>
    <cellStyle name="Normal 4 2 2 4 2 2 5 2 4" xfId="21196" xr:uid="{52DCA01C-1E8A-4173-8774-5D2C75C34B0B}"/>
    <cellStyle name="Normal 4 2 2 4 2 2 5 3" xfId="6380" xr:uid="{00000000-0005-0000-0000-0000A4120000}"/>
    <cellStyle name="Normal 4 2 2 4 2 2 5 3 2" xfId="14822" xr:uid="{57F6B329-E3CB-4A50-ACBE-A976FA2E09D8}"/>
    <cellStyle name="Normal 4 2 2 4 2 2 5 3 3" xfId="23268" xr:uid="{7C0D2F8A-DF56-4BEB-97EB-D5CC893DC0F4}"/>
    <cellStyle name="Normal 4 2 2 4 2 2 5 4" xfId="10604" xr:uid="{566D0781-FA21-479B-B0C4-0E23348DA729}"/>
    <cellStyle name="Normal 4 2 2 4 2 2 5 5" xfId="19049" xr:uid="{06BABE7A-A0DC-4D0D-81BB-B1C77CD495C8}"/>
    <cellStyle name="Normal 4 2 2 4 2 2 6" xfId="2509" xr:uid="{00000000-0005-0000-0000-0000A5120000}"/>
    <cellStyle name="Normal 4 2 2 4 2 2 6 2" xfId="6793" xr:uid="{00000000-0005-0000-0000-0000A6120000}"/>
    <cellStyle name="Normal 4 2 2 4 2 2 6 2 2" xfId="15235" xr:uid="{1268EC1B-14CB-4281-8D82-AE495FE96322}"/>
    <cellStyle name="Normal 4 2 2 4 2 2 6 2 3" xfId="23681" xr:uid="{C6A1D1ED-9566-4E7F-ABA1-480B710086C8}"/>
    <cellStyle name="Normal 4 2 2 4 2 2 6 3" xfId="11017" xr:uid="{298EB258-6125-4DD1-91D0-7B769EAE564B}"/>
    <cellStyle name="Normal 4 2 2 4 2 2 6 4" xfId="19462" xr:uid="{794C25E7-DA34-4D77-ADC4-AB2B8E445A3F}"/>
    <cellStyle name="Normal 4 2 2 4 2 2 7" xfId="4728" xr:uid="{00000000-0005-0000-0000-0000A7120000}"/>
    <cellStyle name="Normal 4 2 2 4 2 2 7 2" xfId="13170" xr:uid="{C8746E18-D19B-4233-A344-F068854DF57A}"/>
    <cellStyle name="Normal 4 2 2 4 2 2 7 3" xfId="21616" xr:uid="{505357A0-1AED-4F9E-B4AE-8D2993A3B72A}"/>
    <cellStyle name="Normal 4 2 2 4 2 2 8" xfId="8952" xr:uid="{863C308B-CC09-41A1-A948-CF5BEBB4A914}"/>
    <cellStyle name="Normal 4 2 2 4 2 2 9" xfId="17396" xr:uid="{54D10DA8-2048-4E05-B750-9A2CB5E833ED}"/>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C80BFDB8-3E94-4B51-BD6C-E506B133663E}"/>
    <cellStyle name="Normal 4 2 2 4 2 3 2 2 3" xfId="24173" xr:uid="{4DFD07B7-FB91-498E-9D6F-D2F9225E10DD}"/>
    <cellStyle name="Normal 4 2 2 4 2 3 2 3" xfId="11509" xr:uid="{0D3481F4-9B4D-4026-B4A9-A8D91443FFD7}"/>
    <cellStyle name="Normal 4 2 2 4 2 3 2 4" xfId="19956" xr:uid="{60011154-A5D1-4820-ABD8-08B6DEE382FB}"/>
    <cellStyle name="Normal 4 2 2 4 2 3 3" xfId="5140" xr:uid="{00000000-0005-0000-0000-0000AB120000}"/>
    <cellStyle name="Normal 4 2 2 4 2 3 3 2" xfId="13582" xr:uid="{F8C8B2B5-5D51-4948-8B03-846E4DB9F6E2}"/>
    <cellStyle name="Normal 4 2 2 4 2 3 3 3" xfId="22028" xr:uid="{A17225AC-75FB-45F0-B0B2-B109013F0E3D}"/>
    <cellStyle name="Normal 4 2 2 4 2 3 4" xfId="9364" xr:uid="{041D3B9D-2E0A-4C5C-9579-DDA1796CD1CF}"/>
    <cellStyle name="Normal 4 2 2 4 2 3 5" xfId="17809" xr:uid="{42D688EE-2B40-4057-8C0A-278A2FAF6B1A}"/>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3DB737DB-731D-4FB4-A86A-C781F2215D5B}"/>
    <cellStyle name="Normal 4 2 2 4 2 4 2 2 3" xfId="24586" xr:uid="{B5612182-3B06-4022-95B6-E3A8DBFEBCEE}"/>
    <cellStyle name="Normal 4 2 2 4 2 4 2 3" xfId="11922" xr:uid="{54B78B3F-5848-4D94-BB28-1476213F50B3}"/>
    <cellStyle name="Normal 4 2 2 4 2 4 2 4" xfId="20369" xr:uid="{BED90DFD-45B1-48E6-987B-51CBAFF935B7}"/>
    <cellStyle name="Normal 4 2 2 4 2 4 3" xfId="5553" xr:uid="{00000000-0005-0000-0000-0000AF120000}"/>
    <cellStyle name="Normal 4 2 2 4 2 4 3 2" xfId="13995" xr:uid="{DD9376AF-8F03-40CC-AB4B-112938B9776D}"/>
    <cellStyle name="Normal 4 2 2 4 2 4 3 3" xfId="22441" xr:uid="{FD36818B-2AB2-433C-A08E-3A04FA71F276}"/>
    <cellStyle name="Normal 4 2 2 4 2 4 4" xfId="9777" xr:uid="{9C2F92C5-8F84-4A8E-875D-DD9AB71BEAD7}"/>
    <cellStyle name="Normal 4 2 2 4 2 4 5" xfId="18222" xr:uid="{9C80D3DA-B8FB-4410-832E-82A2D4DAA739}"/>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70F63132-0DFC-476A-A90A-392CB01BC4FD}"/>
    <cellStyle name="Normal 4 2 2 4 2 5 2 2 3" xfId="24999" xr:uid="{FAED501E-D77E-41AB-ADA4-89ADDD62DEED}"/>
    <cellStyle name="Normal 4 2 2 4 2 5 2 3" xfId="12335" xr:uid="{78679B5A-38C7-4C9F-A8C5-29127C22CEC4}"/>
    <cellStyle name="Normal 4 2 2 4 2 5 2 4" xfId="20782" xr:uid="{19A3EB61-12FA-4EF4-9105-0F8D1F2D7C56}"/>
    <cellStyle name="Normal 4 2 2 4 2 5 3" xfId="5966" xr:uid="{00000000-0005-0000-0000-0000B3120000}"/>
    <cellStyle name="Normal 4 2 2 4 2 5 3 2" xfId="14408" xr:uid="{707F9BE0-CE32-4B1B-ABA5-049E514372A3}"/>
    <cellStyle name="Normal 4 2 2 4 2 5 3 3" xfId="22854" xr:uid="{EDBF68C1-D53F-4AA7-A6F4-850BB2418838}"/>
    <cellStyle name="Normal 4 2 2 4 2 5 4" xfId="10190" xr:uid="{96B8EAE5-2A4E-49D8-845E-D3EE5354CA15}"/>
    <cellStyle name="Normal 4 2 2 4 2 5 5" xfId="18635" xr:uid="{2CAF68BC-94D5-4819-930F-F88B7FEB7685}"/>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AA93A88F-2E4D-4F0F-9930-8940DF2A693C}"/>
    <cellStyle name="Normal 4 2 2 4 2 6 2 2 3" xfId="25412" xr:uid="{82541304-0C4B-4041-A15B-58CA9CC995B9}"/>
    <cellStyle name="Normal 4 2 2 4 2 6 2 3" xfId="12748" xr:uid="{27D569C0-3633-40CD-AAB8-75139BD0C7AB}"/>
    <cellStyle name="Normal 4 2 2 4 2 6 2 4" xfId="21195" xr:uid="{38254771-D443-48FB-8A7A-574AF7896C98}"/>
    <cellStyle name="Normal 4 2 2 4 2 6 3" xfId="6379" xr:uid="{00000000-0005-0000-0000-0000B7120000}"/>
    <cellStyle name="Normal 4 2 2 4 2 6 3 2" xfId="14821" xr:uid="{48DC839C-4D39-4BAF-93F3-305B20A65AA6}"/>
    <cellStyle name="Normal 4 2 2 4 2 6 3 3" xfId="23267" xr:uid="{C0BA9B4E-D7D0-4F61-ABA1-2D144608BC2D}"/>
    <cellStyle name="Normal 4 2 2 4 2 6 4" xfId="10603" xr:uid="{CA26A5DB-3F01-4DB1-B648-A63F2381B750}"/>
    <cellStyle name="Normal 4 2 2 4 2 6 5" xfId="19048" xr:uid="{3BB40AF6-FC53-49C6-BF85-FAEF97844A7B}"/>
    <cellStyle name="Normal 4 2 2 4 2 7" xfId="2508" xr:uid="{00000000-0005-0000-0000-0000B8120000}"/>
    <cellStyle name="Normal 4 2 2 4 2 7 2" xfId="6792" xr:uid="{00000000-0005-0000-0000-0000B9120000}"/>
    <cellStyle name="Normal 4 2 2 4 2 7 2 2" xfId="15234" xr:uid="{E83CA961-65DF-4CBD-A6A8-FC301AC715F9}"/>
    <cellStyle name="Normal 4 2 2 4 2 7 2 3" xfId="23680" xr:uid="{32F3DB7D-2F3F-4AE0-B3D6-F75C0B393402}"/>
    <cellStyle name="Normal 4 2 2 4 2 7 3" xfId="11016" xr:uid="{C6C7066A-0DE4-4B9F-88F2-865B792C163D}"/>
    <cellStyle name="Normal 4 2 2 4 2 7 4" xfId="19461" xr:uid="{DED1BA5A-BE19-4118-B8E2-AEF5A2BCEC23}"/>
    <cellStyle name="Normal 4 2 2 4 2 8" xfId="4727" xr:uid="{00000000-0005-0000-0000-0000BA120000}"/>
    <cellStyle name="Normal 4 2 2 4 2 8 2" xfId="13169" xr:uid="{068B6FE4-14E0-41D2-AC12-1877B3F55C46}"/>
    <cellStyle name="Normal 4 2 2 4 2 8 3" xfId="21615" xr:uid="{5CB300EB-68AE-47E9-BA59-5B96CE9B694A}"/>
    <cellStyle name="Normal 4 2 2 4 2 9" xfId="8951" xr:uid="{6613D87A-4CAD-4869-B87F-70175B3580EF}"/>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AEA0F9FE-E14D-4990-92CC-C2A4F70CAD55}"/>
    <cellStyle name="Normal 4 2 2 4 3 2 2 2 3" xfId="24175" xr:uid="{82844490-BE00-4295-A4F4-95FB93F2E939}"/>
    <cellStyle name="Normal 4 2 2 4 3 2 2 3" xfId="11511" xr:uid="{94260F08-3DC9-4F43-B9F7-F2921E70F8F4}"/>
    <cellStyle name="Normal 4 2 2 4 3 2 2 4" xfId="19958" xr:uid="{CC71E754-FF1B-410C-B556-3C89558CF580}"/>
    <cellStyle name="Normal 4 2 2 4 3 2 3" xfId="5142" xr:uid="{00000000-0005-0000-0000-0000BF120000}"/>
    <cellStyle name="Normal 4 2 2 4 3 2 3 2" xfId="13584" xr:uid="{1A3E359F-80AB-498B-9FD0-272CE21AEFDF}"/>
    <cellStyle name="Normal 4 2 2 4 3 2 3 3" xfId="22030" xr:uid="{7C4506F7-AF63-4045-AB04-6A725EC54A09}"/>
    <cellStyle name="Normal 4 2 2 4 3 2 4" xfId="9366" xr:uid="{BD2A35FD-8F87-49AF-9000-CB2A0154F277}"/>
    <cellStyle name="Normal 4 2 2 4 3 2 5" xfId="17811" xr:uid="{6882E4BF-CCBD-4401-804E-4B809D47E699}"/>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E59CCFBD-3E2D-4A36-9F2B-592687CECB42}"/>
    <cellStyle name="Normal 4 2 2 4 3 3 2 2 3" xfId="24588" xr:uid="{F30A1E8C-14AC-4140-A561-163FDEA9128E}"/>
    <cellStyle name="Normal 4 2 2 4 3 3 2 3" xfId="11924" xr:uid="{4830C05D-CA26-4580-B24E-247247EF9FAB}"/>
    <cellStyle name="Normal 4 2 2 4 3 3 2 4" xfId="20371" xr:uid="{C8D89F21-14A7-44AC-9C87-433D897705E4}"/>
    <cellStyle name="Normal 4 2 2 4 3 3 3" xfId="5555" xr:uid="{00000000-0005-0000-0000-0000C3120000}"/>
    <cellStyle name="Normal 4 2 2 4 3 3 3 2" xfId="13997" xr:uid="{0E54BE3A-052D-4655-836F-2F7247D49E7B}"/>
    <cellStyle name="Normal 4 2 2 4 3 3 3 3" xfId="22443" xr:uid="{785825DE-1B2A-4221-B0A0-D3037071DF6D}"/>
    <cellStyle name="Normal 4 2 2 4 3 3 4" xfId="9779" xr:uid="{906E8267-D0F8-402B-9251-A6624D3351C0}"/>
    <cellStyle name="Normal 4 2 2 4 3 3 5" xfId="18224" xr:uid="{48714DF7-140C-4EB6-8675-575714109095}"/>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95AE7AD0-AD5C-4AE7-99EF-710EAD7FD856}"/>
    <cellStyle name="Normal 4 2 2 4 3 4 2 2 3" xfId="25001" xr:uid="{BE4FD04D-996A-41BF-B43D-69AE3607EFE3}"/>
    <cellStyle name="Normal 4 2 2 4 3 4 2 3" xfId="12337" xr:uid="{60C82C7F-6FEA-4978-B53C-F446EF215E30}"/>
    <cellStyle name="Normal 4 2 2 4 3 4 2 4" xfId="20784" xr:uid="{5B8A8B79-9188-4EF6-9E0C-877E9C96581C}"/>
    <cellStyle name="Normal 4 2 2 4 3 4 3" xfId="5968" xr:uid="{00000000-0005-0000-0000-0000C7120000}"/>
    <cellStyle name="Normal 4 2 2 4 3 4 3 2" xfId="14410" xr:uid="{BCC3209C-4741-49EE-94C7-22D0E534023C}"/>
    <cellStyle name="Normal 4 2 2 4 3 4 3 3" xfId="22856" xr:uid="{78A3933D-E1D9-4D5A-9870-B96E0DFB170C}"/>
    <cellStyle name="Normal 4 2 2 4 3 4 4" xfId="10192" xr:uid="{AA307943-18C8-490D-A20D-0D548D8C8BA5}"/>
    <cellStyle name="Normal 4 2 2 4 3 4 5" xfId="18637" xr:uid="{2B3CF8D8-E405-4B3A-A4FD-E91F4BCDB039}"/>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C1507A22-AE47-408D-A30E-3188DA322159}"/>
    <cellStyle name="Normal 4 2 2 4 3 5 2 2 3" xfId="25414" xr:uid="{F91CD6E9-4C81-4719-B27A-DF8BEBF5C115}"/>
    <cellStyle name="Normal 4 2 2 4 3 5 2 3" xfId="12750" xr:uid="{68FDCEA7-C80C-4770-9E85-98ECFA6E34A5}"/>
    <cellStyle name="Normal 4 2 2 4 3 5 2 4" xfId="21197" xr:uid="{15DFA6BB-67F0-405A-ADC5-9327A39F65B7}"/>
    <cellStyle name="Normal 4 2 2 4 3 5 3" xfId="6381" xr:uid="{00000000-0005-0000-0000-0000CB120000}"/>
    <cellStyle name="Normal 4 2 2 4 3 5 3 2" xfId="14823" xr:uid="{E463D533-B872-4CA3-8363-823C07C154F9}"/>
    <cellStyle name="Normal 4 2 2 4 3 5 3 3" xfId="23269" xr:uid="{4B077F70-8527-4493-AF7B-E69355F1D065}"/>
    <cellStyle name="Normal 4 2 2 4 3 5 4" xfId="10605" xr:uid="{6EF1611F-2E17-4BCD-BB6B-DF4A158A44C1}"/>
    <cellStyle name="Normal 4 2 2 4 3 5 5" xfId="19050" xr:uid="{E2430DA3-B5B0-47B6-B69F-673B45F89C64}"/>
    <cellStyle name="Normal 4 2 2 4 3 6" xfId="2510" xr:uid="{00000000-0005-0000-0000-0000CC120000}"/>
    <cellStyle name="Normal 4 2 2 4 3 6 2" xfId="6794" xr:uid="{00000000-0005-0000-0000-0000CD120000}"/>
    <cellStyle name="Normal 4 2 2 4 3 6 2 2" xfId="15236" xr:uid="{5F9F6C94-9644-465A-A2BD-62B439C4D00F}"/>
    <cellStyle name="Normal 4 2 2 4 3 6 2 3" xfId="23682" xr:uid="{DB4C29B1-EAC8-4201-97C3-8E9C7B0044D6}"/>
    <cellStyle name="Normal 4 2 2 4 3 6 3" xfId="11018" xr:uid="{D8027A20-0490-4575-8580-82C997884E0E}"/>
    <cellStyle name="Normal 4 2 2 4 3 6 4" xfId="19463" xr:uid="{38855422-D999-46C6-8E55-72294417E02C}"/>
    <cellStyle name="Normal 4 2 2 4 3 7" xfId="4729" xr:uid="{00000000-0005-0000-0000-0000CE120000}"/>
    <cellStyle name="Normal 4 2 2 4 3 7 2" xfId="13171" xr:uid="{7DEE77E5-083F-45B1-8D68-21D401932AB6}"/>
    <cellStyle name="Normal 4 2 2 4 3 7 3" xfId="21617" xr:uid="{7138F660-4ABF-4FEA-AC85-0A381332982C}"/>
    <cellStyle name="Normal 4 2 2 4 3 8" xfId="8953" xr:uid="{AF5C1FC4-731C-485C-8B1F-BB1AED255F6D}"/>
    <cellStyle name="Normal 4 2 2 4 3 9" xfId="17397" xr:uid="{A30E3A38-D84D-4995-A665-978C4EB5E216}"/>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1501418E-4E92-4438-A41B-CC85419F3AE3}"/>
    <cellStyle name="Normal 4 2 2 4 4 2 2 3" xfId="24172" xr:uid="{1EFEA0FA-B05A-415F-9C67-097F3F061DE4}"/>
    <cellStyle name="Normal 4 2 2 4 4 2 3" xfId="11508" xr:uid="{23476888-B7AA-4F84-96F8-93660FE7828D}"/>
    <cellStyle name="Normal 4 2 2 4 4 2 4" xfId="19955" xr:uid="{F1F42B22-0262-4877-B3B9-FACFA36813D3}"/>
    <cellStyle name="Normal 4 2 2 4 4 3" xfId="5139" xr:uid="{00000000-0005-0000-0000-0000D2120000}"/>
    <cellStyle name="Normal 4 2 2 4 4 3 2" xfId="13581" xr:uid="{DB33FEEB-037D-4183-8050-E1E1380C05C6}"/>
    <cellStyle name="Normal 4 2 2 4 4 3 3" xfId="22027" xr:uid="{DD71739D-F11F-4C10-92A9-6C3FB72C8599}"/>
    <cellStyle name="Normal 4 2 2 4 4 4" xfId="9363" xr:uid="{A115279B-66EB-4062-AE0D-5C1FBF316FB6}"/>
    <cellStyle name="Normal 4 2 2 4 4 5" xfId="17808" xr:uid="{15D5DC86-EB24-4A4B-B9E0-5F7C2052566B}"/>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D92098DC-D669-4E4B-B340-26452CBE6EAC}"/>
    <cellStyle name="Normal 4 2 2 4 5 2 2 3" xfId="24585" xr:uid="{48D5EA01-4B28-4630-83B5-0396DA5D8F94}"/>
    <cellStyle name="Normal 4 2 2 4 5 2 3" xfId="11921" xr:uid="{3C223E94-59E8-4E97-AEFF-B812C2B234E5}"/>
    <cellStyle name="Normal 4 2 2 4 5 2 4" xfId="20368" xr:uid="{A28FFDED-CAC5-4FF1-9545-FA5BA7AB0830}"/>
    <cellStyle name="Normal 4 2 2 4 5 3" xfId="5552" xr:uid="{00000000-0005-0000-0000-0000D6120000}"/>
    <cellStyle name="Normal 4 2 2 4 5 3 2" xfId="13994" xr:uid="{3A0DD67C-6C98-40C4-BEEA-3108B4263952}"/>
    <cellStyle name="Normal 4 2 2 4 5 3 3" xfId="22440" xr:uid="{C0F7C9F3-349B-419C-9DAF-47820E4E88CC}"/>
    <cellStyle name="Normal 4 2 2 4 5 4" xfId="9776" xr:uid="{94B78FA3-79C1-4D70-9710-57EE86633EE1}"/>
    <cellStyle name="Normal 4 2 2 4 5 5" xfId="18221" xr:uid="{7949F0EA-4D05-4184-ABDC-E0453E1E8D54}"/>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75FF160A-C447-44E6-B2FA-4EA1AA3B303D}"/>
    <cellStyle name="Normal 4 2 2 4 6 2 2 3" xfId="24998" xr:uid="{B8EB9684-90F0-46DA-A3B6-5051C8255466}"/>
    <cellStyle name="Normal 4 2 2 4 6 2 3" xfId="12334" xr:uid="{4FF9999F-CAC1-40B7-A78B-8E0A781835B5}"/>
    <cellStyle name="Normal 4 2 2 4 6 2 4" xfId="20781" xr:uid="{A14BC7BC-7833-471C-A85D-C74F33496FD9}"/>
    <cellStyle name="Normal 4 2 2 4 6 3" xfId="5965" xr:uid="{00000000-0005-0000-0000-0000DA120000}"/>
    <cellStyle name="Normal 4 2 2 4 6 3 2" xfId="14407" xr:uid="{2576EB2A-449A-458E-977E-16B7A533E7AA}"/>
    <cellStyle name="Normal 4 2 2 4 6 3 3" xfId="22853" xr:uid="{A43E00D5-ABE7-49FF-94A3-2A9074ADD9F8}"/>
    <cellStyle name="Normal 4 2 2 4 6 4" xfId="10189" xr:uid="{034B4F95-23E9-4B68-B560-62F009863586}"/>
    <cellStyle name="Normal 4 2 2 4 6 5" xfId="18634" xr:uid="{9EC6F6F4-733F-40FD-8A43-B19ED2217AF6}"/>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D4C182E1-22B2-438F-BD74-1D9232CA54D0}"/>
    <cellStyle name="Normal 4 2 2 4 7 2 2 3" xfId="25411" xr:uid="{BE288CCB-0B3D-47C3-8D78-7D867D9B9006}"/>
    <cellStyle name="Normal 4 2 2 4 7 2 3" xfId="12747" xr:uid="{8C930043-2F43-4695-B249-D049B2FF5D89}"/>
    <cellStyle name="Normal 4 2 2 4 7 2 4" xfId="21194" xr:uid="{E8248548-8460-4E0A-94C2-073658A03343}"/>
    <cellStyle name="Normal 4 2 2 4 7 3" xfId="6378" xr:uid="{00000000-0005-0000-0000-0000DE120000}"/>
    <cellStyle name="Normal 4 2 2 4 7 3 2" xfId="14820" xr:uid="{D4367312-A4AE-4935-B546-296450FE6F4E}"/>
    <cellStyle name="Normal 4 2 2 4 7 3 3" xfId="23266" xr:uid="{1A9479E6-AAAA-4591-948A-4ED3C0A9D969}"/>
    <cellStyle name="Normal 4 2 2 4 7 4" xfId="10602" xr:uid="{A10BB906-2285-4062-8D9E-3D5AE0789510}"/>
    <cellStyle name="Normal 4 2 2 4 7 5" xfId="19047" xr:uid="{4E917C5E-56F7-4628-9015-3CADAD23FC30}"/>
    <cellStyle name="Normal 4 2 2 4 8" xfId="2507" xr:uid="{00000000-0005-0000-0000-0000DF120000}"/>
    <cellStyle name="Normal 4 2 2 4 8 2" xfId="6791" xr:uid="{00000000-0005-0000-0000-0000E0120000}"/>
    <cellStyle name="Normal 4 2 2 4 8 2 2" xfId="15233" xr:uid="{F9118152-F4C3-4254-815E-10851BF134A7}"/>
    <cellStyle name="Normal 4 2 2 4 8 2 3" xfId="23679" xr:uid="{849DCBEF-26DF-48EB-BFAB-A840CFB6A2C0}"/>
    <cellStyle name="Normal 4 2 2 4 8 3" xfId="11015" xr:uid="{808A6FB7-5C48-4455-9C37-286EA6F60942}"/>
    <cellStyle name="Normal 4 2 2 4 8 4" xfId="19460" xr:uid="{BA4B6A62-3442-4B6E-A659-79E764117DDB}"/>
    <cellStyle name="Normal 4 2 2 4 9" xfId="4726" xr:uid="{00000000-0005-0000-0000-0000E1120000}"/>
    <cellStyle name="Normal 4 2 2 4 9 2" xfId="13168" xr:uid="{CF2BD239-D100-4F66-9BF3-03355CC44D0F}"/>
    <cellStyle name="Normal 4 2 2 4 9 3" xfId="21614" xr:uid="{C1D66BBA-F117-47A9-A9C9-7742EC684CB5}"/>
    <cellStyle name="Normal 4 2 2 5" xfId="351" xr:uid="{00000000-0005-0000-0000-0000E2120000}"/>
    <cellStyle name="Normal 4 2 2 5 10" xfId="17398" xr:uid="{08921847-54C0-4326-BB5F-1798D7B716AF}"/>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37FD6F9D-98A3-4891-9C96-B56D4D61E428}"/>
    <cellStyle name="Normal 4 2 2 5 2 2 2 2 3" xfId="24177" xr:uid="{1E2293EB-422D-4CFF-AE2F-39EBCC2F8D18}"/>
    <cellStyle name="Normal 4 2 2 5 2 2 2 3" xfId="11513" xr:uid="{674A5830-A3E8-45AF-8504-DD6DCFAF3708}"/>
    <cellStyle name="Normal 4 2 2 5 2 2 2 4" xfId="19960" xr:uid="{11E95347-B675-4C8E-B660-FEB5265A1577}"/>
    <cellStyle name="Normal 4 2 2 5 2 2 3" xfId="5144" xr:uid="{00000000-0005-0000-0000-0000E7120000}"/>
    <cellStyle name="Normal 4 2 2 5 2 2 3 2" xfId="13586" xr:uid="{D25A5C7A-D594-4ED7-B799-9DA054C304B7}"/>
    <cellStyle name="Normal 4 2 2 5 2 2 3 3" xfId="22032" xr:uid="{7609D7BF-DD79-413D-97B8-3A73CC8731D2}"/>
    <cellStyle name="Normal 4 2 2 5 2 2 4" xfId="9368" xr:uid="{DE813939-EF97-470A-92DD-8348C92F97F3}"/>
    <cellStyle name="Normal 4 2 2 5 2 2 5" xfId="17813" xr:uid="{3C96EC7F-784C-4C7D-8139-682F940850B9}"/>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2D2D5CBF-BBF5-4D1F-8778-B43C54510588}"/>
    <cellStyle name="Normal 4 2 2 5 2 3 2 2 3" xfId="24590" xr:uid="{86105ACC-DC1F-4BAF-99B3-7EC699F4D658}"/>
    <cellStyle name="Normal 4 2 2 5 2 3 2 3" xfId="11926" xr:uid="{BB024078-0B80-48D8-898C-473897CF828F}"/>
    <cellStyle name="Normal 4 2 2 5 2 3 2 4" xfId="20373" xr:uid="{6293BD0F-6C8E-495A-B062-17128BE6290F}"/>
    <cellStyle name="Normal 4 2 2 5 2 3 3" xfId="5557" xr:uid="{00000000-0005-0000-0000-0000EB120000}"/>
    <cellStyle name="Normal 4 2 2 5 2 3 3 2" xfId="13999" xr:uid="{D724B45B-2759-4016-B87C-DFFB545D6D14}"/>
    <cellStyle name="Normal 4 2 2 5 2 3 3 3" xfId="22445" xr:uid="{5D7566E1-3626-4760-BC02-04A9E8801C90}"/>
    <cellStyle name="Normal 4 2 2 5 2 3 4" xfId="9781" xr:uid="{FBF88A4F-9967-46D5-B793-B08B667BA0EA}"/>
    <cellStyle name="Normal 4 2 2 5 2 3 5" xfId="18226" xr:uid="{335BDFCE-C102-45D5-A5E5-582603F34708}"/>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2A9A983A-C85E-41AE-8C71-FBB7D19C081F}"/>
    <cellStyle name="Normal 4 2 2 5 2 4 2 2 3" xfId="25003" xr:uid="{572D78B9-CA15-443A-AEE4-461560146873}"/>
    <cellStyle name="Normal 4 2 2 5 2 4 2 3" xfId="12339" xr:uid="{324AE19A-0333-461B-8151-1C305DE86E0E}"/>
    <cellStyle name="Normal 4 2 2 5 2 4 2 4" xfId="20786" xr:uid="{4BF56B53-3A50-48AF-B071-A83D4885EE30}"/>
    <cellStyle name="Normal 4 2 2 5 2 4 3" xfId="5970" xr:uid="{00000000-0005-0000-0000-0000EF120000}"/>
    <cellStyle name="Normal 4 2 2 5 2 4 3 2" xfId="14412" xr:uid="{E2970BBC-3DEA-4D16-87DB-486B21F7A03E}"/>
    <cellStyle name="Normal 4 2 2 5 2 4 3 3" xfId="22858" xr:uid="{491784DD-DB4E-4A5C-9E56-F5BAA5E8BD1B}"/>
    <cellStyle name="Normal 4 2 2 5 2 4 4" xfId="10194" xr:uid="{8A40F06B-5B85-4134-A972-3067AD6BA322}"/>
    <cellStyle name="Normal 4 2 2 5 2 4 5" xfId="18639" xr:uid="{06E243B0-10B3-40A5-9913-51072179CF8D}"/>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BBC15E9C-D6A5-4E1D-A563-016B07652DB9}"/>
    <cellStyle name="Normal 4 2 2 5 2 5 2 2 3" xfId="25416" xr:uid="{4BBE7D54-EC11-4E95-A713-C084A43DDEA6}"/>
    <cellStyle name="Normal 4 2 2 5 2 5 2 3" xfId="12752" xr:uid="{6E0B99A5-E718-4A76-BBF2-D8BB4CA4A629}"/>
    <cellStyle name="Normal 4 2 2 5 2 5 2 4" xfId="21199" xr:uid="{545D7674-89A7-4582-B763-6C4EBCE9DE7A}"/>
    <cellStyle name="Normal 4 2 2 5 2 5 3" xfId="6383" xr:uid="{00000000-0005-0000-0000-0000F3120000}"/>
    <cellStyle name="Normal 4 2 2 5 2 5 3 2" xfId="14825" xr:uid="{873CF416-BE46-41E6-B991-F66640B442B5}"/>
    <cellStyle name="Normal 4 2 2 5 2 5 3 3" xfId="23271" xr:uid="{D26CD4F5-79BA-49A2-95BE-ACA6E64E19BE}"/>
    <cellStyle name="Normal 4 2 2 5 2 5 4" xfId="10607" xr:uid="{FA2D9777-895A-4497-B39C-44CF43CE6FF1}"/>
    <cellStyle name="Normal 4 2 2 5 2 5 5" xfId="19052" xr:uid="{9C29B879-280F-49B3-B629-32072E886410}"/>
    <cellStyle name="Normal 4 2 2 5 2 6" xfId="2512" xr:uid="{00000000-0005-0000-0000-0000F4120000}"/>
    <cellStyle name="Normal 4 2 2 5 2 6 2" xfId="6796" xr:uid="{00000000-0005-0000-0000-0000F5120000}"/>
    <cellStyle name="Normal 4 2 2 5 2 6 2 2" xfId="15238" xr:uid="{AEA10C83-5F37-4C29-AE9E-F955B81AAA71}"/>
    <cellStyle name="Normal 4 2 2 5 2 6 2 3" xfId="23684" xr:uid="{8C68B36D-FF36-4EC1-BE67-AC6AAB0667CA}"/>
    <cellStyle name="Normal 4 2 2 5 2 6 3" xfId="11020" xr:uid="{1713A7A0-EE20-4716-AD9D-B0D4812ABE9A}"/>
    <cellStyle name="Normal 4 2 2 5 2 6 4" xfId="19465" xr:uid="{4B7E13C0-B17D-47D9-9092-47BFE4A1585A}"/>
    <cellStyle name="Normal 4 2 2 5 2 7" xfId="4731" xr:uid="{00000000-0005-0000-0000-0000F6120000}"/>
    <cellStyle name="Normal 4 2 2 5 2 7 2" xfId="13173" xr:uid="{70726B7A-5765-468C-BE78-7F94D22545D4}"/>
    <cellStyle name="Normal 4 2 2 5 2 7 3" xfId="21619" xr:uid="{3C6D62F4-9BDE-4249-8520-2FC44D1446C1}"/>
    <cellStyle name="Normal 4 2 2 5 2 8" xfId="8955" xr:uid="{E9B9239B-F3AF-4726-A1E1-CC488758EDBB}"/>
    <cellStyle name="Normal 4 2 2 5 2 9" xfId="17399" xr:uid="{F2748867-49B2-4E48-BFCF-A9EC216E077D}"/>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543086F7-4055-4732-9AF3-FE7F81E88266}"/>
    <cellStyle name="Normal 4 2 2 5 3 2 2 3" xfId="24176" xr:uid="{3CB0E136-95AA-4680-92B1-889164A222DB}"/>
    <cellStyle name="Normal 4 2 2 5 3 2 3" xfId="11512" xr:uid="{2FF0E288-70DF-4130-A631-57BA2BC829AA}"/>
    <cellStyle name="Normal 4 2 2 5 3 2 4" xfId="19959" xr:uid="{FA513DEF-958E-4A25-9A6E-85AF58FF60B2}"/>
    <cellStyle name="Normal 4 2 2 5 3 3" xfId="5143" xr:uid="{00000000-0005-0000-0000-0000FA120000}"/>
    <cellStyle name="Normal 4 2 2 5 3 3 2" xfId="13585" xr:uid="{CA70F605-8D42-4A13-9F1E-0B8F2D3B6C6F}"/>
    <cellStyle name="Normal 4 2 2 5 3 3 3" xfId="22031" xr:uid="{D566F8F7-DD0B-496F-97F7-E484793EE695}"/>
    <cellStyle name="Normal 4 2 2 5 3 4" xfId="9367" xr:uid="{4EF20984-725E-4068-A003-3EB1AF24BA1F}"/>
    <cellStyle name="Normal 4 2 2 5 3 5" xfId="17812" xr:uid="{1D256E45-0082-4690-93E1-F55C820E159E}"/>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F0D9FFB1-48EF-415B-BA72-17036D947929}"/>
    <cellStyle name="Normal 4 2 2 5 4 2 2 3" xfId="24589" xr:uid="{74BE4265-3BA5-49AC-B6A8-269D49172944}"/>
    <cellStyle name="Normal 4 2 2 5 4 2 3" xfId="11925" xr:uid="{DB273C7F-5BE6-4B15-9FB7-C32248F08C87}"/>
    <cellStyle name="Normal 4 2 2 5 4 2 4" xfId="20372" xr:uid="{F76CB396-B8AE-4B6A-92A0-FDD92443F74A}"/>
    <cellStyle name="Normal 4 2 2 5 4 3" xfId="5556" xr:uid="{00000000-0005-0000-0000-0000FE120000}"/>
    <cellStyle name="Normal 4 2 2 5 4 3 2" xfId="13998" xr:uid="{E060A3FC-7DDF-4BB9-B953-FD205162B93E}"/>
    <cellStyle name="Normal 4 2 2 5 4 3 3" xfId="22444" xr:uid="{24C39259-EAD1-4A12-B1EB-81239225624D}"/>
    <cellStyle name="Normal 4 2 2 5 4 4" xfId="9780" xr:uid="{41C1770A-9576-47AB-8582-67738AC23064}"/>
    <cellStyle name="Normal 4 2 2 5 4 5" xfId="18225" xr:uid="{57841A6F-2D32-4C2F-B8B2-D778D72117F9}"/>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FBE844D4-6DD2-414E-93EC-46861E1524BE}"/>
    <cellStyle name="Normal 4 2 2 5 5 2 2 3" xfId="25002" xr:uid="{6446D702-8D1B-4FDD-9DC2-22AD21355430}"/>
    <cellStyle name="Normal 4 2 2 5 5 2 3" xfId="12338" xr:uid="{C5AE4AC7-FB38-40CF-A85D-B33A97A867B1}"/>
    <cellStyle name="Normal 4 2 2 5 5 2 4" xfId="20785" xr:uid="{9A21B304-9D54-4836-A12D-4EFFB9F77881}"/>
    <cellStyle name="Normal 4 2 2 5 5 3" xfId="5969" xr:uid="{00000000-0005-0000-0000-000002130000}"/>
    <cellStyle name="Normal 4 2 2 5 5 3 2" xfId="14411" xr:uid="{79AA0092-68F1-4464-86ED-1790C1247413}"/>
    <cellStyle name="Normal 4 2 2 5 5 3 3" xfId="22857" xr:uid="{4C4F1E5E-121F-4867-A836-F93D01CA5ED7}"/>
    <cellStyle name="Normal 4 2 2 5 5 4" xfId="10193" xr:uid="{95735D9A-1529-4CEC-A36E-7E7C93BA325F}"/>
    <cellStyle name="Normal 4 2 2 5 5 5" xfId="18638" xr:uid="{34092F18-1C4A-4C4E-A671-54692329B3D4}"/>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37D9CF01-CBE2-451E-AFA1-E752A9DB62A7}"/>
    <cellStyle name="Normal 4 2 2 5 6 2 2 3" xfId="25415" xr:uid="{C43686BA-E41D-419C-9BE0-577C5CA5E559}"/>
    <cellStyle name="Normal 4 2 2 5 6 2 3" xfId="12751" xr:uid="{B69B5EC1-AD8E-45EF-83AD-CA0B01223099}"/>
    <cellStyle name="Normal 4 2 2 5 6 2 4" xfId="21198" xr:uid="{74885AB0-F0F4-418A-845A-2DFD3A68CC10}"/>
    <cellStyle name="Normal 4 2 2 5 6 3" xfId="6382" xr:uid="{00000000-0005-0000-0000-000006130000}"/>
    <cellStyle name="Normal 4 2 2 5 6 3 2" xfId="14824" xr:uid="{AC52E44B-9F54-4366-9E5A-A511F94891DD}"/>
    <cellStyle name="Normal 4 2 2 5 6 3 3" xfId="23270" xr:uid="{7EFE3275-4B39-425C-B9FE-3636D0A1CCC2}"/>
    <cellStyle name="Normal 4 2 2 5 6 4" xfId="10606" xr:uid="{5312D039-6B3F-435F-AF11-26B71F6DCB71}"/>
    <cellStyle name="Normal 4 2 2 5 6 5" xfId="19051" xr:uid="{3DA94397-25C6-402D-B9DB-A2F7C5505619}"/>
    <cellStyle name="Normal 4 2 2 5 7" xfId="2511" xr:uid="{00000000-0005-0000-0000-000007130000}"/>
    <cellStyle name="Normal 4 2 2 5 7 2" xfId="6795" xr:uid="{00000000-0005-0000-0000-000008130000}"/>
    <cellStyle name="Normal 4 2 2 5 7 2 2" xfId="15237" xr:uid="{4498C92B-0D20-4B6D-B938-254EF2F586C8}"/>
    <cellStyle name="Normal 4 2 2 5 7 2 3" xfId="23683" xr:uid="{F4622282-A1FD-4E36-A849-EFA10792934E}"/>
    <cellStyle name="Normal 4 2 2 5 7 3" xfId="11019" xr:uid="{61ADB4A8-C3B3-4059-9F9C-C239A72C97EC}"/>
    <cellStyle name="Normal 4 2 2 5 7 4" xfId="19464" xr:uid="{7CF31157-7F52-439B-8A7D-0A0FE24C8E48}"/>
    <cellStyle name="Normal 4 2 2 5 8" xfId="4730" xr:uid="{00000000-0005-0000-0000-000009130000}"/>
    <cellStyle name="Normal 4 2 2 5 8 2" xfId="13172" xr:uid="{4890E26E-32F6-41C7-86B5-BA78D7930EB7}"/>
    <cellStyle name="Normal 4 2 2 5 8 3" xfId="21618" xr:uid="{3D99D475-5272-4787-900C-254990A4A3F3}"/>
    <cellStyle name="Normal 4 2 2 5 9" xfId="8954" xr:uid="{ECB39D66-EB6B-4F36-B881-6C11506C69A4}"/>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6EAC0804-81F1-4E83-A796-4BAD035D5D10}"/>
    <cellStyle name="Normal 4 2 2 6 2 2 2 3" xfId="24178" xr:uid="{8BC2824B-40F6-4909-9DD4-897AA24BC6E6}"/>
    <cellStyle name="Normal 4 2 2 6 2 2 3" xfId="11514" xr:uid="{422E0A2C-EB32-425C-B3A8-E2D31398B497}"/>
    <cellStyle name="Normal 4 2 2 6 2 2 4" xfId="19961" xr:uid="{8B5D7707-76CA-4E40-8ADD-6969A9BEFE36}"/>
    <cellStyle name="Normal 4 2 2 6 2 3" xfId="5145" xr:uid="{00000000-0005-0000-0000-00000E130000}"/>
    <cellStyle name="Normal 4 2 2 6 2 3 2" xfId="13587" xr:uid="{B4E85367-D4B2-47A5-9E86-CA2052E6CB5F}"/>
    <cellStyle name="Normal 4 2 2 6 2 3 3" xfId="22033" xr:uid="{B264A38E-DE03-4D91-8354-19057FB019EB}"/>
    <cellStyle name="Normal 4 2 2 6 2 4" xfId="9369" xr:uid="{40FC493F-AD79-4765-861D-7AC2D5788BA8}"/>
    <cellStyle name="Normal 4 2 2 6 2 5" xfId="17814" xr:uid="{20AB4E57-9193-492C-9C64-1E68D2622DA6}"/>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959A1177-ED39-4060-86F5-D3B834D282D3}"/>
    <cellStyle name="Normal 4 2 2 6 3 2 2 3" xfId="24591" xr:uid="{500596CF-B826-4E4F-BA55-4A3ABE9B4740}"/>
    <cellStyle name="Normal 4 2 2 6 3 2 3" xfId="11927" xr:uid="{8BF0AE0D-9EF0-4F2E-88F5-39D344E5C753}"/>
    <cellStyle name="Normal 4 2 2 6 3 2 4" xfId="20374" xr:uid="{F3751092-23D1-48D7-B37E-C1D825D9ED17}"/>
    <cellStyle name="Normal 4 2 2 6 3 3" xfId="5558" xr:uid="{00000000-0005-0000-0000-000012130000}"/>
    <cellStyle name="Normal 4 2 2 6 3 3 2" xfId="14000" xr:uid="{40DC010A-E6BB-4992-875A-9008D0024EFC}"/>
    <cellStyle name="Normal 4 2 2 6 3 3 3" xfId="22446" xr:uid="{3CBBCF75-47AE-44CB-B200-3DEC8371D8E2}"/>
    <cellStyle name="Normal 4 2 2 6 3 4" xfId="9782" xr:uid="{DDE11380-A9A9-4EDA-9920-B60733667BAB}"/>
    <cellStyle name="Normal 4 2 2 6 3 5" xfId="18227" xr:uid="{2B8971D3-3DCE-41DD-BC4B-3BD682058CED}"/>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E34AFD1E-9377-4B76-9A7B-7AE5A9CDF13E}"/>
    <cellStyle name="Normal 4 2 2 6 4 2 2 3" xfId="25004" xr:uid="{FC5B571F-D2BC-4EF4-8DF8-DCD12D9B0CCD}"/>
    <cellStyle name="Normal 4 2 2 6 4 2 3" xfId="12340" xr:uid="{60F5FFF7-65A1-4E1F-9E69-7D0FB591868F}"/>
    <cellStyle name="Normal 4 2 2 6 4 2 4" xfId="20787" xr:uid="{2207D846-EF87-460D-AA62-DA898C65636F}"/>
    <cellStyle name="Normal 4 2 2 6 4 3" xfId="5971" xr:uid="{00000000-0005-0000-0000-000016130000}"/>
    <cellStyle name="Normal 4 2 2 6 4 3 2" xfId="14413" xr:uid="{767518C4-E7C5-4D4B-A3DC-EC456B3AA92B}"/>
    <cellStyle name="Normal 4 2 2 6 4 3 3" xfId="22859" xr:uid="{2F455D71-AD39-4056-A01F-1E8A334E166A}"/>
    <cellStyle name="Normal 4 2 2 6 4 4" xfId="10195" xr:uid="{66B877DC-CFD0-4B0D-A28B-EEF51A3623D2}"/>
    <cellStyle name="Normal 4 2 2 6 4 5" xfId="18640" xr:uid="{ABEC6120-CC59-4313-B710-D16FFEEF90C8}"/>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02121DDD-E224-412B-BACA-C3DAAB19B5EC}"/>
    <cellStyle name="Normal 4 2 2 6 5 2 2 3" xfId="25417" xr:uid="{9ECD50D2-349F-4B61-BFE4-6EDD9ECE4D5E}"/>
    <cellStyle name="Normal 4 2 2 6 5 2 3" xfId="12753" xr:uid="{44BD37E1-65E1-4B0A-AAF8-9899D36C42D8}"/>
    <cellStyle name="Normal 4 2 2 6 5 2 4" xfId="21200" xr:uid="{26A7228B-2C56-4113-BD6C-D0B3FC973ED5}"/>
    <cellStyle name="Normal 4 2 2 6 5 3" xfId="6384" xr:uid="{00000000-0005-0000-0000-00001A130000}"/>
    <cellStyle name="Normal 4 2 2 6 5 3 2" xfId="14826" xr:uid="{BBE22957-8453-499E-BC61-F41196C2B455}"/>
    <cellStyle name="Normal 4 2 2 6 5 3 3" xfId="23272" xr:uid="{8F9BFEB2-8147-4C64-A529-E4904EDDCCBE}"/>
    <cellStyle name="Normal 4 2 2 6 5 4" xfId="10608" xr:uid="{429320CD-951D-4EE3-B7AD-CF9C8211FF57}"/>
    <cellStyle name="Normal 4 2 2 6 5 5" xfId="19053" xr:uid="{5A3969B3-64EB-4D52-8950-A54F2E66066C}"/>
    <cellStyle name="Normal 4 2 2 6 6" xfId="2513" xr:uid="{00000000-0005-0000-0000-00001B130000}"/>
    <cellStyle name="Normal 4 2 2 6 6 2" xfId="6797" xr:uid="{00000000-0005-0000-0000-00001C130000}"/>
    <cellStyle name="Normal 4 2 2 6 6 2 2" xfId="15239" xr:uid="{0CC7B206-E25C-4B3B-9432-DFF7FE6F3A32}"/>
    <cellStyle name="Normal 4 2 2 6 6 2 3" xfId="23685" xr:uid="{5C383BCC-BC47-4E5F-84E9-D4B730F2BFF0}"/>
    <cellStyle name="Normal 4 2 2 6 6 3" xfId="11021" xr:uid="{7F1A7B07-83FC-4037-89E1-8BB6FC2039FF}"/>
    <cellStyle name="Normal 4 2 2 6 6 4" xfId="19466" xr:uid="{46DDB075-432C-4833-AF2C-CFEB0F65AE63}"/>
    <cellStyle name="Normal 4 2 2 6 7" xfId="4732" xr:uid="{00000000-0005-0000-0000-00001D130000}"/>
    <cellStyle name="Normal 4 2 2 6 7 2" xfId="13174" xr:uid="{D67200A6-254C-439A-AA0B-B61971E0C9A7}"/>
    <cellStyle name="Normal 4 2 2 6 7 3" xfId="21620" xr:uid="{C4B67B95-A759-46C7-AB21-061982D381DE}"/>
    <cellStyle name="Normal 4 2 2 6 8" xfId="8956" xr:uid="{6D046DC5-787F-4D3F-B9BE-4C610D053808}"/>
    <cellStyle name="Normal 4 2 2 6 9" xfId="17400" xr:uid="{34F0832A-1C6F-4BE0-AC9A-40CAACD6101F}"/>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9C31BBE6-E8DF-44A5-847B-89D3D9E73686}"/>
    <cellStyle name="Normal 4 2 2 7 2 2 3" xfId="24163" xr:uid="{E6B23657-33F1-4141-B530-9B6ABFBD1996}"/>
    <cellStyle name="Normal 4 2 2 7 2 3" xfId="11499" xr:uid="{6C1F3247-AE92-4731-89F5-D9F6D3AB7609}"/>
    <cellStyle name="Normal 4 2 2 7 2 4" xfId="19946" xr:uid="{E8F4713F-95C8-42F1-B071-5705FA0A1BC2}"/>
    <cellStyle name="Normal 4 2 2 7 3" xfId="5130" xr:uid="{00000000-0005-0000-0000-000021130000}"/>
    <cellStyle name="Normal 4 2 2 7 3 2" xfId="13572" xr:uid="{9972DD07-B8B5-439A-BCE9-7A6B4FD022FC}"/>
    <cellStyle name="Normal 4 2 2 7 3 3" xfId="22018" xr:uid="{31CEF7F6-43D0-4939-BF35-15FA2525AFE7}"/>
    <cellStyle name="Normal 4 2 2 7 4" xfId="9354" xr:uid="{66463722-A641-4EB7-80D7-CC9CD489763D}"/>
    <cellStyle name="Normal 4 2 2 7 5" xfId="17799" xr:uid="{63225756-2634-47F1-9DE9-35F894469BD2}"/>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BD0F20B0-6EF6-4FC6-A2E7-50566CC8CAD3}"/>
    <cellStyle name="Normal 4 2 2 8 2 2 3" xfId="24576" xr:uid="{5E1BAD10-A809-4783-B0ED-8EEC3402CED9}"/>
    <cellStyle name="Normal 4 2 2 8 2 3" xfId="11912" xr:uid="{2473FA8D-7DDB-4757-947D-F95E20C8E15F}"/>
    <cellStyle name="Normal 4 2 2 8 2 4" xfId="20359" xr:uid="{665FAECA-BBEC-40C4-B44B-C163BC151CA5}"/>
    <cellStyle name="Normal 4 2 2 8 3" xfId="5543" xr:uid="{00000000-0005-0000-0000-000025130000}"/>
    <cellStyle name="Normal 4 2 2 8 3 2" xfId="13985" xr:uid="{6FEDC430-A217-4F3F-8DD6-FF50CBD13236}"/>
    <cellStyle name="Normal 4 2 2 8 3 3" xfId="22431" xr:uid="{F0142B6C-853E-440E-A9CD-0C82EA46BFE1}"/>
    <cellStyle name="Normal 4 2 2 8 4" xfId="9767" xr:uid="{ABC991C3-BCE1-4D30-A009-A90A0DFB5D8F}"/>
    <cellStyle name="Normal 4 2 2 8 5" xfId="18212" xr:uid="{B7B4143D-84CE-4887-99B9-2D2D8EFF38C7}"/>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2A3481F8-4094-49E2-AEB7-F5DC951A319F}"/>
    <cellStyle name="Normal 4 2 2 9 2 2 3" xfId="24989" xr:uid="{7727F34E-5808-411A-BA7A-24108125E875}"/>
    <cellStyle name="Normal 4 2 2 9 2 3" xfId="12325" xr:uid="{187A0A2D-BB8F-472A-88BB-BAA552E39FDF}"/>
    <cellStyle name="Normal 4 2 2 9 2 4" xfId="20772" xr:uid="{65F45FD7-17DF-40F8-A37E-614C8CEBE6BF}"/>
    <cellStyle name="Normal 4 2 2 9 3" xfId="5956" xr:uid="{00000000-0005-0000-0000-000029130000}"/>
    <cellStyle name="Normal 4 2 2 9 3 2" xfId="14398" xr:uid="{AD25F8E6-F3B3-43EC-9A64-B3EAEBBC6298}"/>
    <cellStyle name="Normal 4 2 2 9 3 3" xfId="22844" xr:uid="{A5E1C260-8064-46CA-8F09-A00A52A6D5A3}"/>
    <cellStyle name="Normal 4 2 2 9 4" xfId="10180" xr:uid="{08CCCB0C-80D5-4083-BB83-152A6FDEA6AF}"/>
    <cellStyle name="Normal 4 2 2 9 5" xfId="18625" xr:uid="{6A1F0BCB-BF3E-411C-AB6E-6BC9D806F1B7}"/>
    <cellStyle name="Normal 4 2 3" xfId="354" xr:uid="{00000000-0005-0000-0000-00002A130000}"/>
    <cellStyle name="Normal 4 2 3 2" xfId="25650" xr:uid="{8473D580-4920-4F5D-9DA7-84E62DA23815}"/>
    <cellStyle name="Normal 4 2 3 3" xfId="25715" xr:uid="{0028B20C-A3BE-41F0-9CBD-622155F3C2F6}"/>
    <cellStyle name="Normal 4 2 3 4" xfId="25700" xr:uid="{1DE6A943-CF74-4B9E-93B0-E16ECAD4CD14}"/>
    <cellStyle name="Normal 4 2 3_Dropdowns" xfId="25707" xr:uid="{99A27F34-7EA1-429F-97E2-E9FDA2488560}"/>
    <cellStyle name="Normal 4 2 4" xfId="355" xr:uid="{00000000-0005-0000-0000-00002B130000}"/>
    <cellStyle name="Normal 4 2 4 10" xfId="4733" xr:uid="{00000000-0005-0000-0000-00002C130000}"/>
    <cellStyle name="Normal 4 2 4 10 2" xfId="13175" xr:uid="{7566F3C6-E046-45DC-AFE8-559682F6CD34}"/>
    <cellStyle name="Normal 4 2 4 10 3" xfId="21621" xr:uid="{8B70C942-86A0-4D8F-9AED-6DE35E56CE19}"/>
    <cellStyle name="Normal 4 2 4 11" xfId="8957" xr:uid="{ACC56A17-73B9-485C-A0C4-0A0C96522B70}"/>
    <cellStyle name="Normal 4 2 4 12" xfId="17401" xr:uid="{B5FA0FC6-891F-44F7-8A97-267F39AF1D72}"/>
    <cellStyle name="Normal 4 2 4 13" xfId="25694" xr:uid="{C29A632B-BA97-4661-8B8B-B0480AE32291}"/>
    <cellStyle name="Normal 4 2 4 2" xfId="356" xr:uid="{00000000-0005-0000-0000-00002D130000}"/>
    <cellStyle name="Normal 4 2 4 2 10" xfId="8958" xr:uid="{A9EB18F9-245D-4B54-86C7-25EBEF20B2C9}"/>
    <cellStyle name="Normal 4 2 4 2 11" xfId="17402" xr:uid="{5B85CF0B-4147-4F31-ABC4-7DE96080A518}"/>
    <cellStyle name="Normal 4 2 4 2 2" xfId="357" xr:uid="{00000000-0005-0000-0000-00002E130000}"/>
    <cellStyle name="Normal 4 2 4 2 2 10" xfId="17403" xr:uid="{9C9D4797-5357-4A36-8ED4-F23EBFA4D187}"/>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8107686F-87EF-4A75-A9EA-3BD2404A69A9}"/>
    <cellStyle name="Normal 4 2 4 2 2 2 2 2 2 3" xfId="24182" xr:uid="{6772AC80-8309-403F-A8D5-044B3C72BA71}"/>
    <cellStyle name="Normal 4 2 4 2 2 2 2 2 3" xfId="11518" xr:uid="{9F8BCD0C-78AE-4E0D-9ED1-9C66DCBD5484}"/>
    <cellStyle name="Normal 4 2 4 2 2 2 2 2 4" xfId="19965" xr:uid="{2CCAD884-4670-48B6-9391-8F398FA3DCA2}"/>
    <cellStyle name="Normal 4 2 4 2 2 2 2 3" xfId="5149" xr:uid="{00000000-0005-0000-0000-000033130000}"/>
    <cellStyle name="Normal 4 2 4 2 2 2 2 3 2" xfId="13591" xr:uid="{3DC7E3B4-E8C9-47A1-AD04-3F7E13E8E8B2}"/>
    <cellStyle name="Normal 4 2 4 2 2 2 2 3 3" xfId="22037" xr:uid="{162684C2-C65C-4E24-AAFB-8338887314EE}"/>
    <cellStyle name="Normal 4 2 4 2 2 2 2 4" xfId="9373" xr:uid="{6250E319-4E2B-4AED-942C-EF90CFFA4E47}"/>
    <cellStyle name="Normal 4 2 4 2 2 2 2 5" xfId="17818" xr:uid="{76F5924C-127E-4661-9ACD-EFECBA4BD5EA}"/>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0C5C8183-CA0B-422E-BAE6-4F3E95544C9A}"/>
    <cellStyle name="Normal 4 2 4 2 2 2 3 2 2 3" xfId="24595" xr:uid="{24600A13-FE94-4468-87EA-2F2AF94CDAE7}"/>
    <cellStyle name="Normal 4 2 4 2 2 2 3 2 3" xfId="11931" xr:uid="{BECDF0AF-8E02-4277-9503-CB0B9D07EC56}"/>
    <cellStyle name="Normal 4 2 4 2 2 2 3 2 4" xfId="20378" xr:uid="{150BACFD-46BD-4F92-B3F7-97C10B0BE8E4}"/>
    <cellStyle name="Normal 4 2 4 2 2 2 3 3" xfId="5562" xr:uid="{00000000-0005-0000-0000-000037130000}"/>
    <cellStyle name="Normal 4 2 4 2 2 2 3 3 2" xfId="14004" xr:uid="{76B3A4B7-7530-4712-B877-0D9006A200F9}"/>
    <cellStyle name="Normal 4 2 4 2 2 2 3 3 3" xfId="22450" xr:uid="{18D16042-CA3A-42EC-8343-3AA129EA4A65}"/>
    <cellStyle name="Normal 4 2 4 2 2 2 3 4" xfId="9786" xr:uid="{1EDB4E1B-FA09-4EE9-9288-63D5B9897FE1}"/>
    <cellStyle name="Normal 4 2 4 2 2 2 3 5" xfId="18231" xr:uid="{7D533BB8-B7B6-4BCD-849D-7DA648BCEF99}"/>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6E74E27A-DED1-4CD8-B6AB-DD192B47CD1C}"/>
    <cellStyle name="Normal 4 2 4 2 2 2 4 2 2 3" xfId="25008" xr:uid="{B952BE6D-622B-4E54-9EDD-C6FE791D8E0F}"/>
    <cellStyle name="Normal 4 2 4 2 2 2 4 2 3" xfId="12344" xr:uid="{49BE0BDF-ACA9-4828-8C25-A14A47162AD0}"/>
    <cellStyle name="Normal 4 2 4 2 2 2 4 2 4" xfId="20791" xr:uid="{1EDC5C37-2F4F-4622-B717-EB5F6FC790A9}"/>
    <cellStyle name="Normal 4 2 4 2 2 2 4 3" xfId="5975" xr:uid="{00000000-0005-0000-0000-00003B130000}"/>
    <cellStyle name="Normal 4 2 4 2 2 2 4 3 2" xfId="14417" xr:uid="{426802B7-3980-42D5-895A-81754167E02D}"/>
    <cellStyle name="Normal 4 2 4 2 2 2 4 3 3" xfId="22863" xr:uid="{CD480CBD-8CC8-4213-A76D-4ADE5C205174}"/>
    <cellStyle name="Normal 4 2 4 2 2 2 4 4" xfId="10199" xr:uid="{819A3E41-3A3B-4AFC-BA86-72E35B300B3D}"/>
    <cellStyle name="Normal 4 2 4 2 2 2 4 5" xfId="18644" xr:uid="{BE969516-D691-4139-BD8D-D350E2933DBD}"/>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E4D8788C-F483-4690-A3BA-70285A5A0EE7}"/>
    <cellStyle name="Normal 4 2 4 2 2 2 5 2 2 3" xfId="25421" xr:uid="{23BD5A9A-A644-47DD-8D16-22A29ECE216A}"/>
    <cellStyle name="Normal 4 2 4 2 2 2 5 2 3" xfId="12757" xr:uid="{6752769F-5D4E-4823-BD0C-5A7ACC492154}"/>
    <cellStyle name="Normal 4 2 4 2 2 2 5 2 4" xfId="21204" xr:uid="{938D5FBA-74D5-483B-A505-7354BBDBF150}"/>
    <cellStyle name="Normal 4 2 4 2 2 2 5 3" xfId="6388" xr:uid="{00000000-0005-0000-0000-00003F130000}"/>
    <cellStyle name="Normal 4 2 4 2 2 2 5 3 2" xfId="14830" xr:uid="{87366526-EEE8-4A16-8A63-40F67C6355F9}"/>
    <cellStyle name="Normal 4 2 4 2 2 2 5 3 3" xfId="23276" xr:uid="{88232FC7-D90E-4A51-99F5-1ECBBB446979}"/>
    <cellStyle name="Normal 4 2 4 2 2 2 5 4" xfId="10612" xr:uid="{CB057C6C-5A32-4AE5-8C8C-9DBCF9DA2570}"/>
    <cellStyle name="Normal 4 2 4 2 2 2 5 5" xfId="19057" xr:uid="{C0BF953E-9322-4382-AD8F-BA7FE8000D18}"/>
    <cellStyle name="Normal 4 2 4 2 2 2 6" xfId="2517" xr:uid="{00000000-0005-0000-0000-000040130000}"/>
    <cellStyle name="Normal 4 2 4 2 2 2 6 2" xfId="6801" xr:uid="{00000000-0005-0000-0000-000041130000}"/>
    <cellStyle name="Normal 4 2 4 2 2 2 6 2 2" xfId="15243" xr:uid="{6274BD27-1C06-4A69-880F-1E2AC9FA15F1}"/>
    <cellStyle name="Normal 4 2 4 2 2 2 6 2 3" xfId="23689" xr:uid="{211F24CF-50ED-4CF4-B720-1CBFECD677E1}"/>
    <cellStyle name="Normal 4 2 4 2 2 2 6 3" xfId="11025" xr:uid="{D9F3DD2B-C377-47E3-9798-C25138A24D66}"/>
    <cellStyle name="Normal 4 2 4 2 2 2 6 4" xfId="19470" xr:uid="{D5BFAE4D-3E4A-4B33-8A47-48E6D3EA2EA8}"/>
    <cellStyle name="Normal 4 2 4 2 2 2 7" xfId="4736" xr:uid="{00000000-0005-0000-0000-000042130000}"/>
    <cellStyle name="Normal 4 2 4 2 2 2 7 2" xfId="13178" xr:uid="{63A6DE20-D030-48F8-B250-99FFBF0AD458}"/>
    <cellStyle name="Normal 4 2 4 2 2 2 7 3" xfId="21624" xr:uid="{D0AD29C6-E212-4577-B05B-DCF58608FC06}"/>
    <cellStyle name="Normal 4 2 4 2 2 2 8" xfId="8960" xr:uid="{48516A2E-701F-4878-BE78-19E9EF4A43C0}"/>
    <cellStyle name="Normal 4 2 4 2 2 2 9" xfId="17404" xr:uid="{AF8DFC37-F7E0-47C2-88D6-A815F4081E7F}"/>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107B8D35-C079-4C6F-B680-5BFF7726974E}"/>
    <cellStyle name="Normal 4 2 4 2 2 3 2 2 3" xfId="24181" xr:uid="{77D35A20-CEAB-43D3-A380-450361EDA899}"/>
    <cellStyle name="Normal 4 2 4 2 2 3 2 3" xfId="11517" xr:uid="{6B352AB0-4450-449C-ADD2-392B85C4491D}"/>
    <cellStyle name="Normal 4 2 4 2 2 3 2 4" xfId="19964" xr:uid="{B1F1E295-32B7-4865-8317-0DE01C2DBE29}"/>
    <cellStyle name="Normal 4 2 4 2 2 3 3" xfId="5148" xr:uid="{00000000-0005-0000-0000-000046130000}"/>
    <cellStyle name="Normal 4 2 4 2 2 3 3 2" xfId="13590" xr:uid="{2DEA1C20-FD46-46F4-B0BD-021565A9E90E}"/>
    <cellStyle name="Normal 4 2 4 2 2 3 3 3" xfId="22036" xr:uid="{BB67BD66-E4AD-419B-AA15-43AA5CB9F540}"/>
    <cellStyle name="Normal 4 2 4 2 2 3 4" xfId="9372" xr:uid="{E6BA5C2F-7EB7-4951-A676-301B21E2E061}"/>
    <cellStyle name="Normal 4 2 4 2 2 3 5" xfId="17817" xr:uid="{3DD39EB1-0483-4936-ACEC-B9191ABE6C5E}"/>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CDA1CB6C-DD3C-4B29-8289-76E935C5017E}"/>
    <cellStyle name="Normal 4 2 4 2 2 4 2 2 3" xfId="24594" xr:uid="{14C04925-DCC7-407F-AC6D-29433C794989}"/>
    <cellStyle name="Normal 4 2 4 2 2 4 2 3" xfId="11930" xr:uid="{3A345355-613E-4C7B-84B4-BF2ED169C359}"/>
    <cellStyle name="Normal 4 2 4 2 2 4 2 4" xfId="20377" xr:uid="{1709E5B7-F740-49EE-B3C6-574DD173897A}"/>
    <cellStyle name="Normal 4 2 4 2 2 4 3" xfId="5561" xr:uid="{00000000-0005-0000-0000-00004A130000}"/>
    <cellStyle name="Normal 4 2 4 2 2 4 3 2" xfId="14003" xr:uid="{2D95742B-EDFC-4C3F-A0B6-DC9465BB2C60}"/>
    <cellStyle name="Normal 4 2 4 2 2 4 3 3" xfId="22449" xr:uid="{196810BE-50AA-483A-922F-5D97D0C0880E}"/>
    <cellStyle name="Normal 4 2 4 2 2 4 4" xfId="9785" xr:uid="{C18FBC24-3319-4FB1-93CE-BA0E152E6EA6}"/>
    <cellStyle name="Normal 4 2 4 2 2 4 5" xfId="18230" xr:uid="{838EB2C0-0ED0-4DFE-9C32-E3B307B51D2F}"/>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ED62927B-6C55-452E-AFA8-AED2A0ADCD71}"/>
    <cellStyle name="Normal 4 2 4 2 2 5 2 2 3" xfId="25007" xr:uid="{F2B45D63-B912-4B1D-9380-D4E5725144DB}"/>
    <cellStyle name="Normal 4 2 4 2 2 5 2 3" xfId="12343" xr:uid="{BE9B81E1-8123-4D05-89D3-2525ACFF635E}"/>
    <cellStyle name="Normal 4 2 4 2 2 5 2 4" xfId="20790" xr:uid="{D56911DB-1710-4EED-8268-75D4C429F832}"/>
    <cellStyle name="Normal 4 2 4 2 2 5 3" xfId="5974" xr:uid="{00000000-0005-0000-0000-00004E130000}"/>
    <cellStyle name="Normal 4 2 4 2 2 5 3 2" xfId="14416" xr:uid="{252AE2BF-C408-45FF-A816-65FD855CF684}"/>
    <cellStyle name="Normal 4 2 4 2 2 5 3 3" xfId="22862" xr:uid="{2FCD9F0C-6B67-4CA9-B419-7C81AB224FDC}"/>
    <cellStyle name="Normal 4 2 4 2 2 5 4" xfId="10198" xr:uid="{EFEB5169-3713-464E-AC38-CE921569F70D}"/>
    <cellStyle name="Normal 4 2 4 2 2 5 5" xfId="18643" xr:uid="{7D88D384-610F-4F60-835E-7B5E0E53EE48}"/>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9804929F-A927-4DC6-B4A1-A0E81BAC4F9C}"/>
    <cellStyle name="Normal 4 2 4 2 2 6 2 2 3" xfId="25420" xr:uid="{A69128AC-0B45-433D-80BF-6497FB3CA1EF}"/>
    <cellStyle name="Normal 4 2 4 2 2 6 2 3" xfId="12756" xr:uid="{12AEE924-5BB9-4115-935F-5755903231F5}"/>
    <cellStyle name="Normal 4 2 4 2 2 6 2 4" xfId="21203" xr:uid="{E435BDC0-1772-417E-A16E-EF8707CCEAD4}"/>
    <cellStyle name="Normal 4 2 4 2 2 6 3" xfId="6387" xr:uid="{00000000-0005-0000-0000-000052130000}"/>
    <cellStyle name="Normal 4 2 4 2 2 6 3 2" xfId="14829" xr:uid="{89E7D44B-BDE1-4388-B9A7-1850F164E27B}"/>
    <cellStyle name="Normal 4 2 4 2 2 6 3 3" xfId="23275" xr:uid="{350BE231-34FA-4787-886F-81C6B1F9A15D}"/>
    <cellStyle name="Normal 4 2 4 2 2 6 4" xfId="10611" xr:uid="{16671003-A75A-423F-910A-523E4B8703B5}"/>
    <cellStyle name="Normal 4 2 4 2 2 6 5" xfId="19056" xr:uid="{1791271E-4A4B-44AB-B86D-4AEC745A9607}"/>
    <cellStyle name="Normal 4 2 4 2 2 7" xfId="2516" xr:uid="{00000000-0005-0000-0000-000053130000}"/>
    <cellStyle name="Normal 4 2 4 2 2 7 2" xfId="6800" xr:uid="{00000000-0005-0000-0000-000054130000}"/>
    <cellStyle name="Normal 4 2 4 2 2 7 2 2" xfId="15242" xr:uid="{3144FF84-244E-429E-9419-77FAE4728045}"/>
    <cellStyle name="Normal 4 2 4 2 2 7 2 3" xfId="23688" xr:uid="{715E778E-95E3-40A6-9B6B-1CFCB3355A79}"/>
    <cellStyle name="Normal 4 2 4 2 2 7 3" xfId="11024" xr:uid="{B546ADCB-78B5-48A4-82B3-6AA2670114EA}"/>
    <cellStyle name="Normal 4 2 4 2 2 7 4" xfId="19469" xr:uid="{ABD1E7ED-2524-4365-85C5-CF693570D921}"/>
    <cellStyle name="Normal 4 2 4 2 2 8" xfId="4735" xr:uid="{00000000-0005-0000-0000-000055130000}"/>
    <cellStyle name="Normal 4 2 4 2 2 8 2" xfId="13177" xr:uid="{19E234F6-A239-4765-9C31-DD0ABE3F7C2E}"/>
    <cellStyle name="Normal 4 2 4 2 2 8 3" xfId="21623" xr:uid="{DBC1DB3D-0390-494B-81F7-BD74D3C7826B}"/>
    <cellStyle name="Normal 4 2 4 2 2 9" xfId="8959" xr:uid="{1A941872-C1E1-4881-895B-F0C4B6E63436}"/>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CDE52CA9-93A1-41C4-BE2A-8C98974484EC}"/>
    <cellStyle name="Normal 4 2 4 2 3 2 2 2 3" xfId="24183" xr:uid="{A26137DD-8465-412C-9880-FAB0382507F3}"/>
    <cellStyle name="Normal 4 2 4 2 3 2 2 3" xfId="11519" xr:uid="{1C0685E7-40E7-4513-951C-6DA4BD6F5DC8}"/>
    <cellStyle name="Normal 4 2 4 2 3 2 2 4" xfId="19966" xr:uid="{A00BA6CB-B3B8-4C79-9FD7-AB79E38264C1}"/>
    <cellStyle name="Normal 4 2 4 2 3 2 3" xfId="5150" xr:uid="{00000000-0005-0000-0000-00005A130000}"/>
    <cellStyle name="Normal 4 2 4 2 3 2 3 2" xfId="13592" xr:uid="{B4F0E5BA-3AB4-42FB-B235-BF20B1146504}"/>
    <cellStyle name="Normal 4 2 4 2 3 2 3 3" xfId="22038" xr:uid="{6E2F40E5-B911-4CF7-ACB8-1A2FA2F1F84D}"/>
    <cellStyle name="Normal 4 2 4 2 3 2 4" xfId="9374" xr:uid="{59732E03-8415-467F-B2C6-710F27BB9525}"/>
    <cellStyle name="Normal 4 2 4 2 3 2 5" xfId="17819" xr:uid="{3905878E-6480-4583-88E2-2572B139C332}"/>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AE39541A-908F-4543-BB3A-3AD597ED6F23}"/>
    <cellStyle name="Normal 4 2 4 2 3 3 2 2 3" xfId="24596" xr:uid="{005ABBF6-0505-427F-A8BE-FE67EF3C43C8}"/>
    <cellStyle name="Normal 4 2 4 2 3 3 2 3" xfId="11932" xr:uid="{B97C4171-6687-47D9-89B4-87B932A0DE9A}"/>
    <cellStyle name="Normal 4 2 4 2 3 3 2 4" xfId="20379" xr:uid="{A71BB75B-799A-46D9-98C5-C33C8FAACCDC}"/>
    <cellStyle name="Normal 4 2 4 2 3 3 3" xfId="5563" xr:uid="{00000000-0005-0000-0000-00005E130000}"/>
    <cellStyle name="Normal 4 2 4 2 3 3 3 2" xfId="14005" xr:uid="{6FB60105-AE50-4729-B7EF-C4C6E0AB4F88}"/>
    <cellStyle name="Normal 4 2 4 2 3 3 3 3" xfId="22451" xr:uid="{203EB128-A5AD-40DE-99E2-1509D6DD38DB}"/>
    <cellStyle name="Normal 4 2 4 2 3 3 4" xfId="9787" xr:uid="{E234013B-F5E3-4CC8-902B-2179B5F47867}"/>
    <cellStyle name="Normal 4 2 4 2 3 3 5" xfId="18232" xr:uid="{6C92CED0-DE76-491A-8EF3-6BDBE5D96232}"/>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CA329025-B282-48AD-AF6B-3FB9149B7463}"/>
    <cellStyle name="Normal 4 2 4 2 3 4 2 2 3" xfId="25009" xr:uid="{AC7B9E4C-2D37-4C94-A86A-0E9D989ADA23}"/>
    <cellStyle name="Normal 4 2 4 2 3 4 2 3" xfId="12345" xr:uid="{D4889457-C936-4A3B-8A80-D157C4A0761F}"/>
    <cellStyle name="Normal 4 2 4 2 3 4 2 4" xfId="20792" xr:uid="{DFB5EFC2-EBAD-4FB8-A188-5F2E94C9873D}"/>
    <cellStyle name="Normal 4 2 4 2 3 4 3" xfId="5976" xr:uid="{00000000-0005-0000-0000-000062130000}"/>
    <cellStyle name="Normal 4 2 4 2 3 4 3 2" xfId="14418" xr:uid="{320EE29F-8D86-46FA-B39C-07DE476F84A5}"/>
    <cellStyle name="Normal 4 2 4 2 3 4 3 3" xfId="22864" xr:uid="{52C52C73-1DC8-4E54-A5D9-CCE79D35E9F1}"/>
    <cellStyle name="Normal 4 2 4 2 3 4 4" xfId="10200" xr:uid="{3BE75424-8C1A-4AE9-946B-6F988D3CDDBD}"/>
    <cellStyle name="Normal 4 2 4 2 3 4 5" xfId="18645" xr:uid="{C40F3283-E703-4469-9DB8-2BD23DF4D2A8}"/>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6B6DB763-CE57-4E06-B0BA-26889FB6E71F}"/>
    <cellStyle name="Normal 4 2 4 2 3 5 2 2 3" xfId="25422" xr:uid="{F9A5BF3E-05F5-4FA3-9F4D-978579F63EDB}"/>
    <cellStyle name="Normal 4 2 4 2 3 5 2 3" xfId="12758" xr:uid="{DF65BF66-49C3-4DF1-849C-BED7B359604B}"/>
    <cellStyle name="Normal 4 2 4 2 3 5 2 4" xfId="21205" xr:uid="{499A3451-2E52-4B50-AFC3-6C03665A9687}"/>
    <cellStyle name="Normal 4 2 4 2 3 5 3" xfId="6389" xr:uid="{00000000-0005-0000-0000-000066130000}"/>
    <cellStyle name="Normal 4 2 4 2 3 5 3 2" xfId="14831" xr:uid="{AAF93BD8-F20B-4490-ACD3-EFA88A83F59F}"/>
    <cellStyle name="Normal 4 2 4 2 3 5 3 3" xfId="23277" xr:uid="{EBBC4C4C-277E-42B7-BA3F-C556A8FF10F6}"/>
    <cellStyle name="Normal 4 2 4 2 3 5 4" xfId="10613" xr:uid="{55A7054B-4432-4309-B773-C17BE43CCE95}"/>
    <cellStyle name="Normal 4 2 4 2 3 5 5" xfId="19058" xr:uid="{6F18A0CE-C368-47AC-9356-280BDD9FDA5E}"/>
    <cellStyle name="Normal 4 2 4 2 3 6" xfId="2518" xr:uid="{00000000-0005-0000-0000-000067130000}"/>
    <cellStyle name="Normal 4 2 4 2 3 6 2" xfId="6802" xr:uid="{00000000-0005-0000-0000-000068130000}"/>
    <cellStyle name="Normal 4 2 4 2 3 6 2 2" xfId="15244" xr:uid="{8BC45137-3573-44F6-88CD-57B833D8E7F9}"/>
    <cellStyle name="Normal 4 2 4 2 3 6 2 3" xfId="23690" xr:uid="{C690931C-916A-4A9A-B83F-1B32D5C3556C}"/>
    <cellStyle name="Normal 4 2 4 2 3 6 3" xfId="11026" xr:uid="{A2925696-CE24-4F30-B3B8-911E225B421E}"/>
    <cellStyle name="Normal 4 2 4 2 3 6 4" xfId="19471" xr:uid="{1832C74A-5DE4-4886-B9F8-72DEF4AF2376}"/>
    <cellStyle name="Normal 4 2 4 2 3 7" xfId="4737" xr:uid="{00000000-0005-0000-0000-000069130000}"/>
    <cellStyle name="Normal 4 2 4 2 3 7 2" xfId="13179" xr:uid="{5F29377A-3A77-4284-A0C4-A387328BA39B}"/>
    <cellStyle name="Normal 4 2 4 2 3 7 3" xfId="21625" xr:uid="{2D1D7285-E8E4-4734-8AF6-B7CBD4D78A0B}"/>
    <cellStyle name="Normal 4 2 4 2 3 8" xfId="8961" xr:uid="{991C95E9-073A-4245-B1A9-7BCDEE648E52}"/>
    <cellStyle name="Normal 4 2 4 2 3 9" xfId="17405" xr:uid="{9F426EE7-EBBA-4690-B14F-DACB529F8558}"/>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C6617514-1C8A-4610-A652-0C1E41CCA9BB}"/>
    <cellStyle name="Normal 4 2 4 2 4 2 2 3" xfId="24180" xr:uid="{A4D17050-0D77-4DCF-8995-736540CF0339}"/>
    <cellStyle name="Normal 4 2 4 2 4 2 3" xfId="11516" xr:uid="{5B172EF3-0816-4D17-A3DA-8A03F5E02415}"/>
    <cellStyle name="Normal 4 2 4 2 4 2 4" xfId="19963" xr:uid="{C09AD453-59D3-4B27-964B-3B8912B037A4}"/>
    <cellStyle name="Normal 4 2 4 2 4 3" xfId="5147" xr:uid="{00000000-0005-0000-0000-00006D130000}"/>
    <cellStyle name="Normal 4 2 4 2 4 3 2" xfId="13589" xr:uid="{A6EEA9C7-AFDC-4D9C-860E-0EF8455C3D6F}"/>
    <cellStyle name="Normal 4 2 4 2 4 3 3" xfId="22035" xr:uid="{9B107B9A-E555-4749-9A55-B358C407E3C7}"/>
    <cellStyle name="Normal 4 2 4 2 4 4" xfId="9371" xr:uid="{44E51F93-EF31-4BB4-966C-F29D55AEC29A}"/>
    <cellStyle name="Normal 4 2 4 2 4 5" xfId="17816" xr:uid="{228BD14E-E208-41F9-A024-4FCCBC77BDF5}"/>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3AFD1550-CB9D-4369-9633-B227365B5A97}"/>
    <cellStyle name="Normal 4 2 4 2 5 2 2 3" xfId="24593" xr:uid="{41AB7A60-DEEB-4783-941B-415C6F6FF000}"/>
    <cellStyle name="Normal 4 2 4 2 5 2 3" xfId="11929" xr:uid="{8C642470-DD48-4906-B784-AB3662DE8EEF}"/>
    <cellStyle name="Normal 4 2 4 2 5 2 4" xfId="20376" xr:uid="{D4A0E453-9B29-4277-977D-5AF7E993A65D}"/>
    <cellStyle name="Normal 4 2 4 2 5 3" xfId="5560" xr:uid="{00000000-0005-0000-0000-000071130000}"/>
    <cellStyle name="Normal 4 2 4 2 5 3 2" xfId="14002" xr:uid="{DB07DF2E-980A-4FE1-AD81-3CBEFB4FCFBC}"/>
    <cellStyle name="Normal 4 2 4 2 5 3 3" xfId="22448" xr:uid="{15E9F358-5514-4272-AC9C-01E8CE9E772B}"/>
    <cellStyle name="Normal 4 2 4 2 5 4" xfId="9784" xr:uid="{02FFAF4B-818B-4358-9A39-0B903A8D1A5D}"/>
    <cellStyle name="Normal 4 2 4 2 5 5" xfId="18229" xr:uid="{DD871CDB-A260-4646-8503-171BFF222CC1}"/>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2551F5ED-235E-44C5-B7C2-D86C07BD3552}"/>
    <cellStyle name="Normal 4 2 4 2 6 2 2 3" xfId="25006" xr:uid="{D8837FE2-AB27-43EC-BE7A-7FD47BC58E5C}"/>
    <cellStyle name="Normal 4 2 4 2 6 2 3" xfId="12342" xr:uid="{7B60BD32-7D31-41BC-A70E-17081195FFD5}"/>
    <cellStyle name="Normal 4 2 4 2 6 2 4" xfId="20789" xr:uid="{0C9327B9-5187-445E-879E-6ECCB7B5A23B}"/>
    <cellStyle name="Normal 4 2 4 2 6 3" xfId="5973" xr:uid="{00000000-0005-0000-0000-000075130000}"/>
    <cellStyle name="Normal 4 2 4 2 6 3 2" xfId="14415" xr:uid="{EA2ADC80-4229-4A25-9A17-74507F89D56F}"/>
    <cellStyle name="Normal 4 2 4 2 6 3 3" xfId="22861" xr:uid="{47033D62-739F-418B-8353-8069D2605A67}"/>
    <cellStyle name="Normal 4 2 4 2 6 4" xfId="10197" xr:uid="{D452E600-9672-4D91-9EAA-3630D1387B34}"/>
    <cellStyle name="Normal 4 2 4 2 6 5" xfId="18642" xr:uid="{A1516CD1-52C0-4A6C-84A0-8040503C5C46}"/>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C26034CF-4737-476D-8757-BF2D0D57C522}"/>
    <cellStyle name="Normal 4 2 4 2 7 2 2 3" xfId="25419" xr:uid="{3A3B33CC-88B9-44DA-A7BA-27896B4E335E}"/>
    <cellStyle name="Normal 4 2 4 2 7 2 3" xfId="12755" xr:uid="{783BE7E3-B215-4FBA-8548-3945F1CC63A0}"/>
    <cellStyle name="Normal 4 2 4 2 7 2 4" xfId="21202" xr:uid="{5984A211-1D44-4EF1-9848-2A49E96D859B}"/>
    <cellStyle name="Normal 4 2 4 2 7 3" xfId="6386" xr:uid="{00000000-0005-0000-0000-000079130000}"/>
    <cellStyle name="Normal 4 2 4 2 7 3 2" xfId="14828" xr:uid="{1E975410-0336-448F-B610-3ABF151363DE}"/>
    <cellStyle name="Normal 4 2 4 2 7 3 3" xfId="23274" xr:uid="{374B6073-5334-4585-BF5F-A93C894FE2A2}"/>
    <cellStyle name="Normal 4 2 4 2 7 4" xfId="10610" xr:uid="{94427ABE-A757-4A8D-94CC-0A4B53BEAB0C}"/>
    <cellStyle name="Normal 4 2 4 2 7 5" xfId="19055" xr:uid="{C831607B-A3EE-4799-819C-65588C338BC3}"/>
    <cellStyle name="Normal 4 2 4 2 8" xfId="2515" xr:uid="{00000000-0005-0000-0000-00007A130000}"/>
    <cellStyle name="Normal 4 2 4 2 8 2" xfId="6799" xr:uid="{00000000-0005-0000-0000-00007B130000}"/>
    <cellStyle name="Normal 4 2 4 2 8 2 2" xfId="15241" xr:uid="{AF3784B8-75A1-4CB4-85EE-B7E6A382CB6C}"/>
    <cellStyle name="Normal 4 2 4 2 8 2 3" xfId="23687" xr:uid="{B578DD09-7936-4685-A3D9-3BF414F276A4}"/>
    <cellStyle name="Normal 4 2 4 2 8 3" xfId="11023" xr:uid="{C8D062B1-5140-4C85-B034-CE3D0F293868}"/>
    <cellStyle name="Normal 4 2 4 2 8 4" xfId="19468" xr:uid="{F6116434-892F-4E2F-8484-9E7BCB56A0B1}"/>
    <cellStyle name="Normal 4 2 4 2 9" xfId="4734" xr:uid="{00000000-0005-0000-0000-00007C130000}"/>
    <cellStyle name="Normal 4 2 4 2 9 2" xfId="13176" xr:uid="{7C6047DA-A946-455E-8935-D27AFF651485}"/>
    <cellStyle name="Normal 4 2 4 2 9 3" xfId="21622" xr:uid="{76EB1332-4488-4C1A-998B-9B7C0B66E892}"/>
    <cellStyle name="Normal 4 2 4 3" xfId="360" xr:uid="{00000000-0005-0000-0000-00007D130000}"/>
    <cellStyle name="Normal 4 2 4 3 10" xfId="17406" xr:uid="{8CFD2FEB-6550-49A3-A964-376463C5EDA1}"/>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B87E3763-12B7-4DAB-86C5-E92784CEE3AC}"/>
    <cellStyle name="Normal 4 2 4 3 2 2 2 2 3" xfId="24185" xr:uid="{5C96CFDD-0AC1-4C9D-9A40-04DEDC9CA438}"/>
    <cellStyle name="Normal 4 2 4 3 2 2 2 3" xfId="11521" xr:uid="{A7E4521F-8F4E-4327-9296-FD681B4D02C2}"/>
    <cellStyle name="Normal 4 2 4 3 2 2 2 4" xfId="19968" xr:uid="{EE8729D2-C4AD-4F85-B971-5DC60733053F}"/>
    <cellStyle name="Normal 4 2 4 3 2 2 3" xfId="5152" xr:uid="{00000000-0005-0000-0000-000082130000}"/>
    <cellStyle name="Normal 4 2 4 3 2 2 3 2" xfId="13594" xr:uid="{36DDCA58-097C-4FF5-85D2-26F7C96CE613}"/>
    <cellStyle name="Normal 4 2 4 3 2 2 3 3" xfId="22040" xr:uid="{4CACC8CF-8F00-4632-B1D0-0F3B3DBD8E52}"/>
    <cellStyle name="Normal 4 2 4 3 2 2 4" xfId="9376" xr:uid="{44E6CDA3-1172-4808-9A4B-7BBFAFD030DD}"/>
    <cellStyle name="Normal 4 2 4 3 2 2 5" xfId="17821" xr:uid="{9081FC9B-9976-4B73-B48E-008816AB0B86}"/>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6CBA4A93-B9E1-4EE8-883A-6B4D9246105D}"/>
    <cellStyle name="Normal 4 2 4 3 2 3 2 2 3" xfId="24598" xr:uid="{68D20703-7EA9-43AD-9DF1-ECA3C4E8A793}"/>
    <cellStyle name="Normal 4 2 4 3 2 3 2 3" xfId="11934" xr:uid="{B6DE11EA-9C6C-441E-A728-12FAA405978D}"/>
    <cellStyle name="Normal 4 2 4 3 2 3 2 4" xfId="20381" xr:uid="{822E8FAD-4BF1-423A-9AF8-D96934D267B5}"/>
    <cellStyle name="Normal 4 2 4 3 2 3 3" xfId="5565" xr:uid="{00000000-0005-0000-0000-000086130000}"/>
    <cellStyle name="Normal 4 2 4 3 2 3 3 2" xfId="14007" xr:uid="{13C66EDF-A891-4437-A9B1-AD79FB10CD5E}"/>
    <cellStyle name="Normal 4 2 4 3 2 3 3 3" xfId="22453" xr:uid="{E33FE1D3-15CF-4044-8812-6FD61CC5684C}"/>
    <cellStyle name="Normal 4 2 4 3 2 3 4" xfId="9789" xr:uid="{92858F5E-8545-49DD-9823-ABFCFEF538DC}"/>
    <cellStyle name="Normal 4 2 4 3 2 3 5" xfId="18234" xr:uid="{067C1965-86F3-4477-85D3-443D5ACC31E8}"/>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8CCF8DCB-24E3-4924-872D-8F743A2BB1DC}"/>
    <cellStyle name="Normal 4 2 4 3 2 4 2 2 3" xfId="25011" xr:uid="{C31242B3-423F-4FA1-9338-0B6D7497AC56}"/>
    <cellStyle name="Normal 4 2 4 3 2 4 2 3" xfId="12347" xr:uid="{7A1C4F5D-A213-43AA-903A-A6BC614CFC3A}"/>
    <cellStyle name="Normal 4 2 4 3 2 4 2 4" xfId="20794" xr:uid="{0DD382C0-5B64-495E-A457-B68C18B983F2}"/>
    <cellStyle name="Normal 4 2 4 3 2 4 3" xfId="5978" xr:uid="{00000000-0005-0000-0000-00008A130000}"/>
    <cellStyle name="Normal 4 2 4 3 2 4 3 2" xfId="14420" xr:uid="{5AC54453-CD78-4F2D-87D8-2079074F891E}"/>
    <cellStyle name="Normal 4 2 4 3 2 4 3 3" xfId="22866" xr:uid="{1EF55389-D15E-4A33-9B6A-8CBFB9007BE3}"/>
    <cellStyle name="Normal 4 2 4 3 2 4 4" xfId="10202" xr:uid="{5D6D93F2-DBC9-44BD-B4AB-D792CC7B48A0}"/>
    <cellStyle name="Normal 4 2 4 3 2 4 5" xfId="18647" xr:uid="{40346DE0-2CB0-4A69-A077-5DCFC3A0E2D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9CBDD536-EB8E-41B6-BF6E-CCD48B0F10A7}"/>
    <cellStyle name="Normal 4 2 4 3 2 5 2 2 3" xfId="25424" xr:uid="{BECD0200-9BCD-4196-A740-10789A0DF52E}"/>
    <cellStyle name="Normal 4 2 4 3 2 5 2 3" xfId="12760" xr:uid="{458391F8-4A40-4803-8BEA-5B330CE201C6}"/>
    <cellStyle name="Normal 4 2 4 3 2 5 2 4" xfId="21207" xr:uid="{2996FF7B-FD7B-4186-9D6E-0A5737211F8A}"/>
    <cellStyle name="Normal 4 2 4 3 2 5 3" xfId="6391" xr:uid="{00000000-0005-0000-0000-00008E130000}"/>
    <cellStyle name="Normal 4 2 4 3 2 5 3 2" xfId="14833" xr:uid="{407CC359-8628-4662-A09C-8DE541795FA9}"/>
    <cellStyle name="Normal 4 2 4 3 2 5 3 3" xfId="23279" xr:uid="{557CEF3D-830B-41C5-87B2-3D91C1EF4EA6}"/>
    <cellStyle name="Normal 4 2 4 3 2 5 4" xfId="10615" xr:uid="{C4EB9386-1698-4159-9F9D-957E25B2057F}"/>
    <cellStyle name="Normal 4 2 4 3 2 5 5" xfId="19060" xr:uid="{33647BC4-8254-442F-B5F7-CDBE05B6B305}"/>
    <cellStyle name="Normal 4 2 4 3 2 6" xfId="2520" xr:uid="{00000000-0005-0000-0000-00008F130000}"/>
    <cellStyle name="Normal 4 2 4 3 2 6 2" xfId="6804" xr:uid="{00000000-0005-0000-0000-000090130000}"/>
    <cellStyle name="Normal 4 2 4 3 2 6 2 2" xfId="15246" xr:uid="{CD997749-6256-40C8-9B72-B4D1E9302718}"/>
    <cellStyle name="Normal 4 2 4 3 2 6 2 3" xfId="23692" xr:uid="{5AA5338A-C234-4168-8DBD-092ACDD7D2C4}"/>
    <cellStyle name="Normal 4 2 4 3 2 6 3" xfId="11028" xr:uid="{4B856831-FAD7-4C0B-81AB-611FC105EC49}"/>
    <cellStyle name="Normal 4 2 4 3 2 6 4" xfId="19473" xr:uid="{555CD6E6-4716-4FF5-8B4F-6505DB205350}"/>
    <cellStyle name="Normal 4 2 4 3 2 7" xfId="4739" xr:uid="{00000000-0005-0000-0000-000091130000}"/>
    <cellStyle name="Normal 4 2 4 3 2 7 2" xfId="13181" xr:uid="{6F0987F9-5C9F-48A3-8B80-8FF7E3385F00}"/>
    <cellStyle name="Normal 4 2 4 3 2 7 3" xfId="21627" xr:uid="{F3F91C28-72C6-4389-AD0E-894E9DFAF96D}"/>
    <cellStyle name="Normal 4 2 4 3 2 8" xfId="8963" xr:uid="{4C94EEA5-4791-4EF7-B3C7-FBE6CB53FE95}"/>
    <cellStyle name="Normal 4 2 4 3 2 9" xfId="17407" xr:uid="{E28CDD36-EDEC-4972-801B-9A2CBA655CBB}"/>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A31E8A29-AD81-4DF5-B496-740B28019131}"/>
    <cellStyle name="Normal 4 2 4 3 3 2 2 3" xfId="24184" xr:uid="{F7D73511-59C9-4AA4-B646-769075B69BAB}"/>
    <cellStyle name="Normal 4 2 4 3 3 2 3" xfId="11520" xr:uid="{925B1309-7273-4353-A68B-F404F35295A9}"/>
    <cellStyle name="Normal 4 2 4 3 3 2 4" xfId="19967" xr:uid="{7E51535F-A4DE-49EE-A9FB-EFF5244E9543}"/>
    <cellStyle name="Normal 4 2 4 3 3 3" xfId="5151" xr:uid="{00000000-0005-0000-0000-000095130000}"/>
    <cellStyle name="Normal 4 2 4 3 3 3 2" xfId="13593" xr:uid="{634F974E-7B74-4AC5-A084-A5E36EBDF64A}"/>
    <cellStyle name="Normal 4 2 4 3 3 3 3" xfId="22039" xr:uid="{5D512764-8D79-49FD-9002-5DD472A3503F}"/>
    <cellStyle name="Normal 4 2 4 3 3 4" xfId="9375" xr:uid="{85DA5264-D5C4-48DC-A5E8-9ABB3A10E289}"/>
    <cellStyle name="Normal 4 2 4 3 3 5" xfId="17820" xr:uid="{D24697C3-BB22-499F-B81A-0CB2799CBB96}"/>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8904AEB6-F254-4351-AB65-251915214CB8}"/>
    <cellStyle name="Normal 4 2 4 3 4 2 2 3" xfId="24597" xr:uid="{B078A285-467E-453B-88F8-ECE3AF772B5E}"/>
    <cellStyle name="Normal 4 2 4 3 4 2 3" xfId="11933" xr:uid="{0044148F-590E-4710-BBB0-A37BD0277C9B}"/>
    <cellStyle name="Normal 4 2 4 3 4 2 4" xfId="20380" xr:uid="{2EDD8556-0695-4121-BE61-23D292034C07}"/>
    <cellStyle name="Normal 4 2 4 3 4 3" xfId="5564" xr:uid="{00000000-0005-0000-0000-000099130000}"/>
    <cellStyle name="Normal 4 2 4 3 4 3 2" xfId="14006" xr:uid="{3CDAD2EA-445A-4F74-8D2F-544AF87E7184}"/>
    <cellStyle name="Normal 4 2 4 3 4 3 3" xfId="22452" xr:uid="{B425245C-3C54-4882-9C4B-A6D516A79D2C}"/>
    <cellStyle name="Normal 4 2 4 3 4 4" xfId="9788" xr:uid="{ED650ABA-7AB1-42A8-B58E-7E4C8524760B}"/>
    <cellStyle name="Normal 4 2 4 3 4 5" xfId="18233" xr:uid="{8F86DADE-8F8C-4D81-A345-5F3BA8E6F5F4}"/>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256B57B0-D538-46A3-B67F-02AB19F10162}"/>
    <cellStyle name="Normal 4 2 4 3 5 2 2 3" xfId="25010" xr:uid="{B591AB38-A0DE-4E9B-87DA-BC13C6B4CAF7}"/>
    <cellStyle name="Normal 4 2 4 3 5 2 3" xfId="12346" xr:uid="{9080B60B-BF9D-4D78-8F06-0C10E72645DF}"/>
    <cellStyle name="Normal 4 2 4 3 5 2 4" xfId="20793" xr:uid="{30EFCAFE-0FF1-42C1-AFC5-A37625D56468}"/>
    <cellStyle name="Normal 4 2 4 3 5 3" xfId="5977" xr:uid="{00000000-0005-0000-0000-00009D130000}"/>
    <cellStyle name="Normal 4 2 4 3 5 3 2" xfId="14419" xr:uid="{022FA815-A7ED-4CC5-B60A-B9371BD06D4C}"/>
    <cellStyle name="Normal 4 2 4 3 5 3 3" xfId="22865" xr:uid="{67546280-9337-4B72-BFD5-969C4FD43E0F}"/>
    <cellStyle name="Normal 4 2 4 3 5 4" xfId="10201" xr:uid="{C1A489EE-07BF-462C-8475-74C8A51912AB}"/>
    <cellStyle name="Normal 4 2 4 3 5 5" xfId="18646" xr:uid="{8CEA3D6B-CA69-4A96-A573-91CE95047AD0}"/>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7B732E40-E264-4EA7-8515-10966269BA1D}"/>
    <cellStyle name="Normal 4 2 4 3 6 2 2 3" xfId="25423" xr:uid="{157E7C57-A16D-44D2-B0EB-04D83529359B}"/>
    <cellStyle name="Normal 4 2 4 3 6 2 3" xfId="12759" xr:uid="{71C3FD95-B24D-4BAE-B530-7FC2EBC71D2C}"/>
    <cellStyle name="Normal 4 2 4 3 6 2 4" xfId="21206" xr:uid="{83465EC3-A00A-4787-920C-A46CAFC06A16}"/>
    <cellStyle name="Normal 4 2 4 3 6 3" xfId="6390" xr:uid="{00000000-0005-0000-0000-0000A1130000}"/>
    <cellStyle name="Normal 4 2 4 3 6 3 2" xfId="14832" xr:uid="{0DA6E8F8-C85F-4C54-B7B1-C384D839637A}"/>
    <cellStyle name="Normal 4 2 4 3 6 3 3" xfId="23278" xr:uid="{7F8B4B06-1BDC-4E0C-845B-10637D8A9384}"/>
    <cellStyle name="Normal 4 2 4 3 6 4" xfId="10614" xr:uid="{162BB421-6A90-4711-A48F-F00E63834014}"/>
    <cellStyle name="Normal 4 2 4 3 6 5" xfId="19059" xr:uid="{F0F0448E-1C14-4750-8174-37E081F4DC76}"/>
    <cellStyle name="Normal 4 2 4 3 7" xfId="2519" xr:uid="{00000000-0005-0000-0000-0000A2130000}"/>
    <cellStyle name="Normal 4 2 4 3 7 2" xfId="6803" xr:uid="{00000000-0005-0000-0000-0000A3130000}"/>
    <cellStyle name="Normal 4 2 4 3 7 2 2" xfId="15245" xr:uid="{4990CF05-98EA-4264-B8BB-43D05C3F8283}"/>
    <cellStyle name="Normal 4 2 4 3 7 2 3" xfId="23691" xr:uid="{63F4A93B-CBEA-496F-9756-DD551C75BF2B}"/>
    <cellStyle name="Normal 4 2 4 3 7 3" xfId="11027" xr:uid="{A5914F9B-C7F1-4043-BCC9-317A9918EBBD}"/>
    <cellStyle name="Normal 4 2 4 3 7 4" xfId="19472" xr:uid="{EA3D69A1-BD12-44DC-BA91-3D9175508104}"/>
    <cellStyle name="Normal 4 2 4 3 8" xfId="4738" xr:uid="{00000000-0005-0000-0000-0000A4130000}"/>
    <cellStyle name="Normal 4 2 4 3 8 2" xfId="13180" xr:uid="{AD4C93A1-6E87-4888-AFE3-98D8DAB362C4}"/>
    <cellStyle name="Normal 4 2 4 3 8 3" xfId="21626" xr:uid="{D9443809-9E1B-45F5-B1FD-76F90487ED38}"/>
    <cellStyle name="Normal 4 2 4 3 9" xfId="8962" xr:uid="{6A6EFFE2-57AB-4883-AF91-31D9CAC151FF}"/>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26167DDA-F1BE-46C7-B991-D6127A76CED9}"/>
    <cellStyle name="Normal 4 2 4 4 2 2 2 3" xfId="24186" xr:uid="{939B8D5B-90C5-4522-BE36-B163FAD0C148}"/>
    <cellStyle name="Normal 4 2 4 4 2 2 3" xfId="11522" xr:uid="{3BCB71D6-4BFD-4A7C-86F7-4D756A835249}"/>
    <cellStyle name="Normal 4 2 4 4 2 2 4" xfId="19969" xr:uid="{E94BD80D-336B-4347-9CF0-717A66BBCFA2}"/>
    <cellStyle name="Normal 4 2 4 4 2 3" xfId="5153" xr:uid="{00000000-0005-0000-0000-0000A9130000}"/>
    <cellStyle name="Normal 4 2 4 4 2 3 2" xfId="13595" xr:uid="{3DDFD0FF-21E3-4C49-8B63-61D0FAAD7240}"/>
    <cellStyle name="Normal 4 2 4 4 2 3 3" xfId="22041" xr:uid="{F0F266E9-1E13-43EA-835F-88AC8BDF3967}"/>
    <cellStyle name="Normal 4 2 4 4 2 4" xfId="9377" xr:uid="{3176C241-88E4-43BC-B90E-659953ADFE61}"/>
    <cellStyle name="Normal 4 2 4 4 2 5" xfId="17822" xr:uid="{0C31F5D0-9452-4978-977A-EF80B9884765}"/>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0FAD7425-F2CF-4404-B9DD-7E015329CC84}"/>
    <cellStyle name="Normal 4 2 4 4 3 2 2 3" xfId="24599" xr:uid="{80A9877A-5417-43CC-8480-A967E5A2C421}"/>
    <cellStyle name="Normal 4 2 4 4 3 2 3" xfId="11935" xr:uid="{4F721C1D-F263-4931-920B-AB1763C58F32}"/>
    <cellStyle name="Normal 4 2 4 4 3 2 4" xfId="20382" xr:uid="{4044F53B-1E4C-49B4-9A38-137E549C7A9A}"/>
    <cellStyle name="Normal 4 2 4 4 3 3" xfId="5566" xr:uid="{00000000-0005-0000-0000-0000AD130000}"/>
    <cellStyle name="Normal 4 2 4 4 3 3 2" xfId="14008" xr:uid="{042B1A60-014F-4245-BBC6-D076B1670EAB}"/>
    <cellStyle name="Normal 4 2 4 4 3 3 3" xfId="22454" xr:uid="{D776D97C-6EDB-442B-8A8C-0BCC2C80FCF5}"/>
    <cellStyle name="Normal 4 2 4 4 3 4" xfId="9790" xr:uid="{8E7C7DC9-6F7A-448C-8BDE-EF6A303A26F6}"/>
    <cellStyle name="Normal 4 2 4 4 3 5" xfId="18235" xr:uid="{A0FDF6D8-5683-4BF5-983C-1D3846DE299B}"/>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41AF0901-8222-4334-B84C-00B7C08293A5}"/>
    <cellStyle name="Normal 4 2 4 4 4 2 2 3" xfId="25012" xr:uid="{D0875841-6411-4D0E-B918-BB026A7F157C}"/>
    <cellStyle name="Normal 4 2 4 4 4 2 3" xfId="12348" xr:uid="{2E80C9EC-701D-48AD-9D00-8F4308003450}"/>
    <cellStyle name="Normal 4 2 4 4 4 2 4" xfId="20795" xr:uid="{60B6D557-A6C8-4706-BDA3-ECECDD294963}"/>
    <cellStyle name="Normal 4 2 4 4 4 3" xfId="5979" xr:uid="{00000000-0005-0000-0000-0000B1130000}"/>
    <cellStyle name="Normal 4 2 4 4 4 3 2" xfId="14421" xr:uid="{B885E602-EDCB-4C54-9D36-4A3FBEE2C5C8}"/>
    <cellStyle name="Normal 4 2 4 4 4 3 3" xfId="22867" xr:uid="{1179F4BD-F13B-450C-A652-82E83B83627D}"/>
    <cellStyle name="Normal 4 2 4 4 4 4" xfId="10203" xr:uid="{1AEDBD1B-402A-4747-A29B-AD4F6BF39220}"/>
    <cellStyle name="Normal 4 2 4 4 4 5" xfId="18648" xr:uid="{49677400-5856-47E0-A705-F9100B0B088E}"/>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6E0918AE-4553-47E0-9CD0-E7BB5547620E}"/>
    <cellStyle name="Normal 4 2 4 4 5 2 2 3" xfId="25425" xr:uid="{CD2672DE-168D-4196-8C9F-262B50338A4E}"/>
    <cellStyle name="Normal 4 2 4 4 5 2 3" xfId="12761" xr:uid="{C2B47214-F6DF-4E33-BCDD-6B6E1A3CA585}"/>
    <cellStyle name="Normal 4 2 4 4 5 2 4" xfId="21208" xr:uid="{701CBC79-BCD2-41DF-8B10-A55905A5775E}"/>
    <cellStyle name="Normal 4 2 4 4 5 3" xfId="6392" xr:uid="{00000000-0005-0000-0000-0000B5130000}"/>
    <cellStyle name="Normal 4 2 4 4 5 3 2" xfId="14834" xr:uid="{2B438848-A274-4A2F-978C-77A85DD1CDCB}"/>
    <cellStyle name="Normal 4 2 4 4 5 3 3" xfId="23280" xr:uid="{09B63608-D1AA-4097-8967-9142CF8A931D}"/>
    <cellStyle name="Normal 4 2 4 4 5 4" xfId="10616" xr:uid="{5C158ACF-1D1A-4325-9E28-DD9E57166E37}"/>
    <cellStyle name="Normal 4 2 4 4 5 5" xfId="19061" xr:uid="{69713D65-C5C0-4AA5-8412-6D112235082E}"/>
    <cellStyle name="Normal 4 2 4 4 6" xfId="2521" xr:uid="{00000000-0005-0000-0000-0000B6130000}"/>
    <cellStyle name="Normal 4 2 4 4 6 2" xfId="6805" xr:uid="{00000000-0005-0000-0000-0000B7130000}"/>
    <cellStyle name="Normal 4 2 4 4 6 2 2" xfId="15247" xr:uid="{4321FF13-D13B-4F5C-A763-7A9F9C37D493}"/>
    <cellStyle name="Normal 4 2 4 4 6 2 3" xfId="23693" xr:uid="{ABAC91BE-E1D1-49C7-9986-943DF045B666}"/>
    <cellStyle name="Normal 4 2 4 4 6 3" xfId="11029" xr:uid="{6F1056C2-7E17-4FFD-8C63-05AF687451D0}"/>
    <cellStyle name="Normal 4 2 4 4 6 4" xfId="19474" xr:uid="{E0C10C41-362B-4754-BF4F-4E9AB2D83B06}"/>
    <cellStyle name="Normal 4 2 4 4 7" xfId="4740" xr:uid="{00000000-0005-0000-0000-0000B8130000}"/>
    <cellStyle name="Normal 4 2 4 4 7 2" xfId="13182" xr:uid="{FFB3801B-BFA7-419F-94C6-21644C409DF0}"/>
    <cellStyle name="Normal 4 2 4 4 7 3" xfId="21628" xr:uid="{D3515031-E199-4FF6-8AC4-4A11CC83DB57}"/>
    <cellStyle name="Normal 4 2 4 4 8" xfId="8964" xr:uid="{28BFD5AF-C110-4A13-BA9E-EE1766404329}"/>
    <cellStyle name="Normal 4 2 4 4 9" xfId="17408" xr:uid="{F3BF9D6C-6154-4806-8447-BADE19F52057}"/>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86EDBA4A-36C1-4028-85A5-D08C0DF1B0F7}"/>
    <cellStyle name="Normal 4 2 4 5 2 2 3" xfId="24179" xr:uid="{6E01CCAB-2369-4BF0-9A6A-C6A542FD529C}"/>
    <cellStyle name="Normal 4 2 4 5 2 3" xfId="11515" xr:uid="{074EA8B3-330D-42AE-ABA0-E3DE46685383}"/>
    <cellStyle name="Normal 4 2 4 5 2 4" xfId="19962" xr:uid="{FFF636D3-937C-41DC-B8AF-E526872B0905}"/>
    <cellStyle name="Normal 4 2 4 5 3" xfId="5146" xr:uid="{00000000-0005-0000-0000-0000BC130000}"/>
    <cellStyle name="Normal 4 2 4 5 3 2" xfId="13588" xr:uid="{BE308DC8-D69C-4258-AA7F-93D893A638C8}"/>
    <cellStyle name="Normal 4 2 4 5 3 3" xfId="22034" xr:uid="{682403FE-3FC1-44B9-A5C3-42B92980BD03}"/>
    <cellStyle name="Normal 4 2 4 5 4" xfId="9370" xr:uid="{B7434BDD-80D2-4EA6-8579-C694012C1E37}"/>
    <cellStyle name="Normal 4 2 4 5 5" xfId="17815" xr:uid="{34BD7F31-AEE7-4C60-8C67-C8DB0107841B}"/>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742787D9-1B46-411E-B24F-B7AF3909A732}"/>
    <cellStyle name="Normal 4 2 4 6 2 2 3" xfId="24592" xr:uid="{30262E3A-81B2-44AA-9C6E-BD8A5BC3B313}"/>
    <cellStyle name="Normal 4 2 4 6 2 3" xfId="11928" xr:uid="{DB53359E-4907-4C73-B422-84EF01EA656C}"/>
    <cellStyle name="Normal 4 2 4 6 2 4" xfId="20375" xr:uid="{BFFC41A9-DD06-440F-B998-84DE8486A681}"/>
    <cellStyle name="Normal 4 2 4 6 3" xfId="5559" xr:uid="{00000000-0005-0000-0000-0000C0130000}"/>
    <cellStyle name="Normal 4 2 4 6 3 2" xfId="14001" xr:uid="{EA5780B4-CB31-47C8-AF96-CBECCF9F7046}"/>
    <cellStyle name="Normal 4 2 4 6 3 3" xfId="22447" xr:uid="{FFB57977-3E1B-4A02-8FD7-1321BCB90231}"/>
    <cellStyle name="Normal 4 2 4 6 4" xfId="9783" xr:uid="{C1642B9F-A7CD-48D0-91DB-29F1B5738198}"/>
    <cellStyle name="Normal 4 2 4 6 5" xfId="18228" xr:uid="{D3FD0882-9080-4C7C-96EB-B1B23B6AD02B}"/>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0CC9977F-253F-4D46-98E0-998CF732EAFF}"/>
    <cellStyle name="Normal 4 2 4 7 2 2 3" xfId="25005" xr:uid="{9A49BFF5-F055-4C36-AB14-54C45D158D96}"/>
    <cellStyle name="Normal 4 2 4 7 2 3" xfId="12341" xr:uid="{98625046-E6CC-43CC-982B-804713FA72EF}"/>
    <cellStyle name="Normal 4 2 4 7 2 4" xfId="20788" xr:uid="{0D4CD895-3811-4F52-A683-8F92C76F5F64}"/>
    <cellStyle name="Normal 4 2 4 7 3" xfId="5972" xr:uid="{00000000-0005-0000-0000-0000C4130000}"/>
    <cellStyle name="Normal 4 2 4 7 3 2" xfId="14414" xr:uid="{973969F1-FC8F-49D8-983D-1757AAB97BC0}"/>
    <cellStyle name="Normal 4 2 4 7 3 3" xfId="22860" xr:uid="{0613CC2A-D674-4D81-BC7F-464F82CE64EC}"/>
    <cellStyle name="Normal 4 2 4 7 4" xfId="10196" xr:uid="{F55E1D0D-74BC-4BFB-A6E8-1B504A23E9FF}"/>
    <cellStyle name="Normal 4 2 4 7 5" xfId="18641" xr:uid="{1CF5B0D4-C4E8-4446-8140-9BAC33D75AAE}"/>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A7771C53-79B5-4349-BD33-57A37132C5BB}"/>
    <cellStyle name="Normal 4 2 4 8 2 2 3" xfId="25418" xr:uid="{4BDB094D-C042-474A-A47F-EB42EA821BCB}"/>
    <cellStyle name="Normal 4 2 4 8 2 3" xfId="12754" xr:uid="{E4B77BE5-E809-461D-8ABA-F87A08F47641}"/>
    <cellStyle name="Normal 4 2 4 8 2 4" xfId="21201" xr:uid="{B3FB0134-0766-4616-A149-4C6CCA5D2AB4}"/>
    <cellStyle name="Normal 4 2 4 8 3" xfId="6385" xr:uid="{00000000-0005-0000-0000-0000C8130000}"/>
    <cellStyle name="Normal 4 2 4 8 3 2" xfId="14827" xr:uid="{1908C160-F0D9-4329-9028-521293E3375C}"/>
    <cellStyle name="Normal 4 2 4 8 3 3" xfId="23273" xr:uid="{051362BB-26D9-4314-B00A-FA36148E2C35}"/>
    <cellStyle name="Normal 4 2 4 8 4" xfId="10609" xr:uid="{C4EB8442-63A9-40BB-8E09-26587033D333}"/>
    <cellStyle name="Normal 4 2 4 8 5" xfId="19054" xr:uid="{EB10E857-66C7-4721-8BBE-D73EBAC7FBBC}"/>
    <cellStyle name="Normal 4 2 4 9" xfId="2514" xr:uid="{00000000-0005-0000-0000-0000C9130000}"/>
    <cellStyle name="Normal 4 2 4 9 2" xfId="6798" xr:uid="{00000000-0005-0000-0000-0000CA130000}"/>
    <cellStyle name="Normal 4 2 4 9 2 2" xfId="15240" xr:uid="{11323027-7625-4BB8-8D96-ECEC5EA3AE98}"/>
    <cellStyle name="Normal 4 2 4 9 2 3" xfId="23686" xr:uid="{B93EB5A1-746E-49B3-8FB0-A03806513CCB}"/>
    <cellStyle name="Normal 4 2 4 9 3" xfId="11022" xr:uid="{9EF6BC34-A499-4D2C-8441-A8D49B394A35}"/>
    <cellStyle name="Normal 4 2 4 9 4" xfId="19467" xr:uid="{91B95D18-2D0B-4294-A581-8882AD3CA1AD}"/>
    <cellStyle name="Normal 4 2 5" xfId="363" xr:uid="{00000000-0005-0000-0000-0000CB130000}"/>
    <cellStyle name="Normal 4 2 5 10" xfId="17409" xr:uid="{57EB1CA5-21A9-4BB4-95CD-7018955258B6}"/>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5A6229FD-054C-4089-AE84-BFEB18D6ADE8}"/>
    <cellStyle name="Normal 4 2 5 2 2 2 2 3" xfId="24188" xr:uid="{62394A0E-5573-42F3-BCF2-182AEBE1B7C0}"/>
    <cellStyle name="Normal 4 2 5 2 2 2 3" xfId="11524" xr:uid="{042AB6E9-4FB6-4BC1-ACE3-13F15E7E4727}"/>
    <cellStyle name="Normal 4 2 5 2 2 2 4" xfId="19971" xr:uid="{7A441521-3CAF-4EB8-9BAE-0A3C6FA1296D}"/>
    <cellStyle name="Normal 4 2 5 2 2 3" xfId="5155" xr:uid="{00000000-0005-0000-0000-0000D0130000}"/>
    <cellStyle name="Normal 4 2 5 2 2 3 2" xfId="13597" xr:uid="{BE10BB38-9064-464E-9E4F-88909A9F135F}"/>
    <cellStyle name="Normal 4 2 5 2 2 3 3" xfId="22043" xr:uid="{3E328EA3-585E-423D-B129-2E9EA21C6263}"/>
    <cellStyle name="Normal 4 2 5 2 2 4" xfId="9379" xr:uid="{A120AF33-8F10-48DB-8BB8-4FB9F6B8BCD4}"/>
    <cellStyle name="Normal 4 2 5 2 2 5" xfId="17824" xr:uid="{C841A78E-7831-4B39-89D2-7D4BD89FCF09}"/>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99AB7DC8-5E75-47C6-A7F9-A812BF5D8EDE}"/>
    <cellStyle name="Normal 4 2 5 2 3 2 2 3" xfId="24601" xr:uid="{AF3CF3FF-14FD-4624-9035-67D4A956D02C}"/>
    <cellStyle name="Normal 4 2 5 2 3 2 3" xfId="11937" xr:uid="{01C4D1DA-7414-42D2-9B0F-165F7EF53A7A}"/>
    <cellStyle name="Normal 4 2 5 2 3 2 4" xfId="20384" xr:uid="{6431C0C0-944F-4BA4-9FC4-B97882872F55}"/>
    <cellStyle name="Normal 4 2 5 2 3 3" xfId="5568" xr:uid="{00000000-0005-0000-0000-0000D4130000}"/>
    <cellStyle name="Normal 4 2 5 2 3 3 2" xfId="14010" xr:uid="{6BBEF79C-CC25-4344-B2F9-B56078E6EC3F}"/>
    <cellStyle name="Normal 4 2 5 2 3 3 3" xfId="22456" xr:uid="{AD895741-F6FB-4C77-98A3-BDC72871D5DF}"/>
    <cellStyle name="Normal 4 2 5 2 3 4" xfId="9792" xr:uid="{C7B5A9FF-29C0-4866-9067-AD7460801789}"/>
    <cellStyle name="Normal 4 2 5 2 3 5" xfId="18237" xr:uid="{69D4E0EF-393A-44CA-AC07-D80E93D944B4}"/>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3991754E-57FB-4A5B-9598-3EEEA1CC5BBC}"/>
    <cellStyle name="Normal 4 2 5 2 4 2 2 3" xfId="25014" xr:uid="{3BCB6A81-FD46-420A-8EC4-BBB746BD8B4E}"/>
    <cellStyle name="Normal 4 2 5 2 4 2 3" xfId="12350" xr:uid="{0DDE27AD-23E9-42EF-9AF1-F910D1F71263}"/>
    <cellStyle name="Normal 4 2 5 2 4 2 4" xfId="20797" xr:uid="{607F994A-3E12-440C-ADE2-6E1092EB891E}"/>
    <cellStyle name="Normal 4 2 5 2 4 3" xfId="5981" xr:uid="{00000000-0005-0000-0000-0000D8130000}"/>
    <cellStyle name="Normal 4 2 5 2 4 3 2" xfId="14423" xr:uid="{1AA51AF4-B2DF-4078-BC28-5D7372D9BD68}"/>
    <cellStyle name="Normal 4 2 5 2 4 3 3" xfId="22869" xr:uid="{C133D593-CD6E-4DA1-BC4F-B54A19AE59AC}"/>
    <cellStyle name="Normal 4 2 5 2 4 4" xfId="10205" xr:uid="{ECC0CD5A-0152-4EBC-959B-3CB4C8622612}"/>
    <cellStyle name="Normal 4 2 5 2 4 5" xfId="18650" xr:uid="{31BE29BB-8AB3-491B-B2BB-4D0563250E7A}"/>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6CDC4CD1-7969-42C1-BA9F-17076E82AA30}"/>
    <cellStyle name="Normal 4 2 5 2 5 2 2 3" xfId="25427" xr:uid="{DA07C806-B709-4546-86A3-25494A173096}"/>
    <cellStyle name="Normal 4 2 5 2 5 2 3" xfId="12763" xr:uid="{0CAB4D7A-CABD-40F7-9D05-7B1C068C027C}"/>
    <cellStyle name="Normal 4 2 5 2 5 2 4" xfId="21210" xr:uid="{2DCABE99-8DAA-4E17-BA9E-854E4ECBAAD9}"/>
    <cellStyle name="Normal 4 2 5 2 5 3" xfId="6394" xr:uid="{00000000-0005-0000-0000-0000DC130000}"/>
    <cellStyle name="Normal 4 2 5 2 5 3 2" xfId="14836" xr:uid="{E8340104-EFBD-4566-82D1-26A691253831}"/>
    <cellStyle name="Normal 4 2 5 2 5 3 3" xfId="23282" xr:uid="{77DC315F-ABE7-4830-8234-0D1D76184E65}"/>
    <cellStyle name="Normal 4 2 5 2 5 4" xfId="10618" xr:uid="{F8E24194-0D40-48D0-AE04-809F29BABB49}"/>
    <cellStyle name="Normal 4 2 5 2 5 5" xfId="19063" xr:uid="{97FE4011-4E48-484E-AA1B-A2573CD774B6}"/>
    <cellStyle name="Normal 4 2 5 2 6" xfId="2523" xr:uid="{00000000-0005-0000-0000-0000DD130000}"/>
    <cellStyle name="Normal 4 2 5 2 6 2" xfId="6807" xr:uid="{00000000-0005-0000-0000-0000DE130000}"/>
    <cellStyle name="Normal 4 2 5 2 6 2 2" xfId="15249" xr:uid="{C71DA7F6-6483-4FE7-B629-B97FC0B5506A}"/>
    <cellStyle name="Normal 4 2 5 2 6 2 3" xfId="23695" xr:uid="{C7EE34D9-F0D8-41DB-960F-A67B32F34E6B}"/>
    <cellStyle name="Normal 4 2 5 2 6 3" xfId="11031" xr:uid="{6CE720C6-DED1-46E8-BB3A-5E810F8744F5}"/>
    <cellStyle name="Normal 4 2 5 2 6 4" xfId="19476" xr:uid="{204340DA-5360-4EFD-8865-35739D567684}"/>
    <cellStyle name="Normal 4 2 5 2 7" xfId="4742" xr:uid="{00000000-0005-0000-0000-0000DF130000}"/>
    <cellStyle name="Normal 4 2 5 2 7 2" xfId="13184" xr:uid="{68E1C55D-6026-4982-917D-F1605EE7FE88}"/>
    <cellStyle name="Normal 4 2 5 2 7 3" xfId="21630" xr:uid="{5EEECC0A-C722-4DD1-86F7-CBBC1B53D3AE}"/>
    <cellStyle name="Normal 4 2 5 2 8" xfId="8966" xr:uid="{04E90ED1-9CA1-428B-BC15-A778E6A48B87}"/>
    <cellStyle name="Normal 4 2 5 2 9" xfId="17410" xr:uid="{99756311-A06D-4A0A-BB17-A350D30309F2}"/>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0142198F-E03B-458C-8074-F82D1718AE87}"/>
    <cellStyle name="Normal 4 2 5 3 2 2 3" xfId="24187" xr:uid="{50A8836A-658C-44B0-81B0-62E18DE0455D}"/>
    <cellStyle name="Normal 4 2 5 3 2 3" xfId="11523" xr:uid="{6CED59BB-FE5B-4C2E-8AFC-6B7D81B5791D}"/>
    <cellStyle name="Normal 4 2 5 3 2 4" xfId="19970" xr:uid="{EA4CD042-BCD3-4331-9609-859C97160429}"/>
    <cellStyle name="Normal 4 2 5 3 3" xfId="5154" xr:uid="{00000000-0005-0000-0000-0000E3130000}"/>
    <cellStyle name="Normal 4 2 5 3 3 2" xfId="13596" xr:uid="{FC70846A-54A7-4027-B49C-A37B50C2DB10}"/>
    <cellStyle name="Normal 4 2 5 3 3 3" xfId="22042" xr:uid="{ADE5727A-A83C-40B4-BB7D-1A1CA8EC6C09}"/>
    <cellStyle name="Normal 4 2 5 3 4" xfId="9378" xr:uid="{1EE6513D-BA0F-4CDA-A7A0-8EF61896C4E0}"/>
    <cellStyle name="Normal 4 2 5 3 5" xfId="17823" xr:uid="{1800108E-3692-4000-9651-013A7F3F41B6}"/>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79FA0E72-E9BC-45B4-B747-851769FAE26A}"/>
    <cellStyle name="Normal 4 2 5 4 2 2 3" xfId="24600" xr:uid="{68E4E671-CF54-43FA-821B-5EA26AB4B0CE}"/>
    <cellStyle name="Normal 4 2 5 4 2 3" xfId="11936" xr:uid="{2CBFF266-2376-4720-9FFD-A0A515151826}"/>
    <cellStyle name="Normal 4 2 5 4 2 4" xfId="20383" xr:uid="{DEE408EC-637E-4FDC-BC35-C252390D658B}"/>
    <cellStyle name="Normal 4 2 5 4 3" xfId="5567" xr:uid="{00000000-0005-0000-0000-0000E7130000}"/>
    <cellStyle name="Normal 4 2 5 4 3 2" xfId="14009" xr:uid="{946DCE30-9B26-4005-AC4C-EADAEA58489A}"/>
    <cellStyle name="Normal 4 2 5 4 3 3" xfId="22455" xr:uid="{686835FC-C970-46DE-838C-FE3A169DD1F6}"/>
    <cellStyle name="Normal 4 2 5 4 4" xfId="9791" xr:uid="{99CECAA3-9014-4D67-A298-BE8121326930}"/>
    <cellStyle name="Normal 4 2 5 4 5" xfId="18236" xr:uid="{EA56FD77-A8A7-4E16-9119-67B283583056}"/>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307815E1-3A8D-4E3E-B784-AAE8B0339AFC}"/>
    <cellStyle name="Normal 4 2 5 5 2 2 3" xfId="25013" xr:uid="{89AD5D2F-76A8-4E60-BA59-7EB10CF3AA46}"/>
    <cellStyle name="Normal 4 2 5 5 2 3" xfId="12349" xr:uid="{AAE15F2E-1E94-49A7-952E-8432731D86F2}"/>
    <cellStyle name="Normal 4 2 5 5 2 4" xfId="20796" xr:uid="{33D90FE8-319F-427A-B5DE-67644B2E23CE}"/>
    <cellStyle name="Normal 4 2 5 5 3" xfId="5980" xr:uid="{00000000-0005-0000-0000-0000EB130000}"/>
    <cellStyle name="Normal 4 2 5 5 3 2" xfId="14422" xr:uid="{795C9E71-40D1-4CD2-9C88-D0E92E194B61}"/>
    <cellStyle name="Normal 4 2 5 5 3 3" xfId="22868" xr:uid="{36033418-DD87-4E53-A460-356B24767666}"/>
    <cellStyle name="Normal 4 2 5 5 4" xfId="10204" xr:uid="{8FA6A743-7290-42F0-BA94-1550B417DFF6}"/>
    <cellStyle name="Normal 4 2 5 5 5" xfId="18649" xr:uid="{920FE6C9-E5FB-4644-BC27-DA52114B40BF}"/>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1B9292D3-C2C3-478F-993C-B57BD9BBD6CA}"/>
    <cellStyle name="Normal 4 2 5 6 2 2 3" xfId="25426" xr:uid="{BA4DA421-2A0E-4E00-B72C-C6ECB93CA3FC}"/>
    <cellStyle name="Normal 4 2 5 6 2 3" xfId="12762" xr:uid="{10DDD804-285C-4488-B12D-362702915D27}"/>
    <cellStyle name="Normal 4 2 5 6 2 4" xfId="21209" xr:uid="{FAA00254-E127-4F1A-8178-C044461CFD34}"/>
    <cellStyle name="Normal 4 2 5 6 3" xfId="6393" xr:uid="{00000000-0005-0000-0000-0000EF130000}"/>
    <cellStyle name="Normal 4 2 5 6 3 2" xfId="14835" xr:uid="{83FDE63F-DEF1-4FDA-9DAB-8B2F2F04D7F0}"/>
    <cellStyle name="Normal 4 2 5 6 3 3" xfId="23281" xr:uid="{35D85863-97B7-4312-B925-C900830CE3C7}"/>
    <cellStyle name="Normal 4 2 5 6 4" xfId="10617" xr:uid="{4AD7360D-7F28-42A1-9765-FCF9A7321275}"/>
    <cellStyle name="Normal 4 2 5 6 5" xfId="19062" xr:uid="{CA651D1B-1255-4E9F-B0B1-E90B6211025E}"/>
    <cellStyle name="Normal 4 2 5 7" xfId="2522" xr:uid="{00000000-0005-0000-0000-0000F0130000}"/>
    <cellStyle name="Normal 4 2 5 7 2" xfId="6806" xr:uid="{00000000-0005-0000-0000-0000F1130000}"/>
    <cellStyle name="Normal 4 2 5 7 2 2" xfId="15248" xr:uid="{023EA8E2-64D4-41EB-A7A5-56AA453EF4BC}"/>
    <cellStyle name="Normal 4 2 5 7 2 3" xfId="23694" xr:uid="{64CD4E2E-14C1-4B33-91E7-08E85D2A28FE}"/>
    <cellStyle name="Normal 4 2 5 7 3" xfId="11030" xr:uid="{9905A9B3-25A3-4F8B-B271-A41D0B3652D2}"/>
    <cellStyle name="Normal 4 2 5 7 4" xfId="19475" xr:uid="{B40546F9-ABC9-4E6C-BEA2-CB90F549AB02}"/>
    <cellStyle name="Normal 4 2 5 8" xfId="4741" xr:uid="{00000000-0005-0000-0000-0000F2130000}"/>
    <cellStyle name="Normal 4 2 5 8 2" xfId="13183" xr:uid="{1F343F76-C4B6-4C93-BB54-105ADA6D85C2}"/>
    <cellStyle name="Normal 4 2 5 8 3" xfId="21629" xr:uid="{CFD02B73-3BEF-4714-93BA-CFFAA68B0C71}"/>
    <cellStyle name="Normal 4 2 5 9" xfId="8965" xr:uid="{37620993-8535-44CF-BDA1-1689A92B603C}"/>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6D8AAF90-B81F-4EB5-B23A-CE8C72D690BD}"/>
    <cellStyle name="Normal 4 2 6 2 2 2 3" xfId="24189" xr:uid="{90F8C97C-B464-4CBA-81FC-F1AAF3BEBAFE}"/>
    <cellStyle name="Normal 4 2 6 2 2 3" xfId="11525" xr:uid="{D9B62002-20D0-40DF-B4AD-9CE3D4769DDE}"/>
    <cellStyle name="Normal 4 2 6 2 2 4" xfId="19972" xr:uid="{BE89FAD0-BD54-4231-8932-690B34004865}"/>
    <cellStyle name="Normal 4 2 6 2 3" xfId="5156" xr:uid="{00000000-0005-0000-0000-0000F7130000}"/>
    <cellStyle name="Normal 4 2 6 2 3 2" xfId="13598" xr:uid="{73959E09-BBAF-4634-9A81-A5A605755F85}"/>
    <cellStyle name="Normal 4 2 6 2 3 3" xfId="22044" xr:uid="{987A7118-7125-427E-B4CA-001657D88754}"/>
    <cellStyle name="Normal 4 2 6 2 4" xfId="9380" xr:uid="{CF126907-3F1B-4E7D-9E0F-648C0975D39E}"/>
    <cellStyle name="Normal 4 2 6 2 5" xfId="17825" xr:uid="{06BF8F9C-C0F6-4C99-9375-287D21EC58B5}"/>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6C305C16-80FF-4ABE-A6E8-00F7E77DA34F}"/>
    <cellStyle name="Normal 4 2 6 3 2 2 3" xfId="24602" xr:uid="{4EF2B0DF-B612-497C-92D9-352D7D4F6FB2}"/>
    <cellStyle name="Normal 4 2 6 3 2 3" xfId="11938" xr:uid="{6BA68D2A-BC6E-45AA-BCAB-6DAA3883497D}"/>
    <cellStyle name="Normal 4 2 6 3 2 4" xfId="20385" xr:uid="{BDE173FD-A3CB-481E-9002-87A2D5AB82D0}"/>
    <cellStyle name="Normal 4 2 6 3 3" xfId="5569" xr:uid="{00000000-0005-0000-0000-0000FB130000}"/>
    <cellStyle name="Normal 4 2 6 3 3 2" xfId="14011" xr:uid="{4E266708-1994-4EF4-A690-8C7B27931741}"/>
    <cellStyle name="Normal 4 2 6 3 3 3" xfId="22457" xr:uid="{DCE6D063-A61A-4F43-B5FB-BF0B30388781}"/>
    <cellStyle name="Normal 4 2 6 3 4" xfId="9793" xr:uid="{D6E3F1E5-B8D1-4C60-8C6F-CD7C28F3AD9E}"/>
    <cellStyle name="Normal 4 2 6 3 5" xfId="18238" xr:uid="{07DA318B-6DC2-4D30-B8BD-890056052A61}"/>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F466090B-5A82-47BF-81A9-105E347D63CF}"/>
    <cellStyle name="Normal 4 2 6 4 2 2 3" xfId="25015" xr:uid="{905657A6-F369-4D0B-85D8-CFF9D94D8F4B}"/>
    <cellStyle name="Normal 4 2 6 4 2 3" xfId="12351" xr:uid="{C3F32765-75D0-4BB3-AEEA-1ACA06FC2880}"/>
    <cellStyle name="Normal 4 2 6 4 2 4" xfId="20798" xr:uid="{F4D58DFB-3D51-421D-A3A9-5B22B9B08E1F}"/>
    <cellStyle name="Normal 4 2 6 4 3" xfId="5982" xr:uid="{00000000-0005-0000-0000-0000FF130000}"/>
    <cellStyle name="Normal 4 2 6 4 3 2" xfId="14424" xr:uid="{BB25AEBF-2FE2-4AC1-BA66-93CBCF098533}"/>
    <cellStyle name="Normal 4 2 6 4 3 3" xfId="22870" xr:uid="{3B0AC083-09E4-4C11-9596-58D77496DFF6}"/>
    <cellStyle name="Normal 4 2 6 4 4" xfId="10206" xr:uid="{853A813F-7224-4016-9FFF-78506636D124}"/>
    <cellStyle name="Normal 4 2 6 4 5" xfId="18651" xr:uid="{D929215C-0930-427D-BBAC-CB70F43FCEE1}"/>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02EED1F6-0485-4268-93DE-BE25A42AC74B}"/>
    <cellStyle name="Normal 4 2 6 5 2 2 3" xfId="25428" xr:uid="{F52FB79F-FAD2-4C41-88A9-8CACA8C640D0}"/>
    <cellStyle name="Normal 4 2 6 5 2 3" xfId="12764" xr:uid="{A0DCE178-6B37-42E8-82FB-D3F8D373DA3D}"/>
    <cellStyle name="Normal 4 2 6 5 2 4" xfId="21211" xr:uid="{25D32F45-CA1C-4A4C-88A2-3E19C6D3214F}"/>
    <cellStyle name="Normal 4 2 6 5 3" xfId="6395" xr:uid="{00000000-0005-0000-0000-000003140000}"/>
    <cellStyle name="Normal 4 2 6 5 3 2" xfId="14837" xr:uid="{0590EEBF-A2F6-4A5F-8DC1-BED2170CA057}"/>
    <cellStyle name="Normal 4 2 6 5 3 3" xfId="23283" xr:uid="{8288DB10-2510-4867-997C-E1929DD9544E}"/>
    <cellStyle name="Normal 4 2 6 5 4" xfId="10619" xr:uid="{71A91157-1B19-4E27-AF20-2247BBC144F4}"/>
    <cellStyle name="Normal 4 2 6 5 5" xfId="19064" xr:uid="{8E793E38-BA56-48D1-824A-43D618410F27}"/>
    <cellStyle name="Normal 4 2 6 6" xfId="2524" xr:uid="{00000000-0005-0000-0000-000004140000}"/>
    <cellStyle name="Normal 4 2 6 6 2" xfId="6808" xr:uid="{00000000-0005-0000-0000-000005140000}"/>
    <cellStyle name="Normal 4 2 6 6 2 2" xfId="15250" xr:uid="{04A72451-163A-451C-B308-DBDAA601DBEC}"/>
    <cellStyle name="Normal 4 2 6 6 2 3" xfId="23696" xr:uid="{F84770C0-9874-4051-8E9A-47C903954E3C}"/>
    <cellStyle name="Normal 4 2 6 6 3" xfId="11032" xr:uid="{B28092CF-1958-446A-BF98-92E1CC9625BE}"/>
    <cellStyle name="Normal 4 2 6 6 4" xfId="19477" xr:uid="{74D48A13-927E-477E-91B5-052A674BD2C0}"/>
    <cellStyle name="Normal 4 2 6 7" xfId="4743" xr:uid="{00000000-0005-0000-0000-000006140000}"/>
    <cellStyle name="Normal 4 2 6 7 2" xfId="13185" xr:uid="{165B8B25-B391-4246-9A0E-9A36546DF66D}"/>
    <cellStyle name="Normal 4 2 6 7 3" xfId="21631" xr:uid="{63A81119-0A12-4D34-931C-13CD1623B006}"/>
    <cellStyle name="Normal 4 2 6 8" xfId="8967" xr:uid="{A159DB32-CD5A-4DDE-9CE3-9505B3E3E202}"/>
    <cellStyle name="Normal 4 2 6 9" xfId="17411" xr:uid="{E99D33CE-AD8B-47B6-9F8B-659307AC6D42}"/>
    <cellStyle name="Normal 4 2 7" xfId="25685" xr:uid="{047A7C6F-46C8-4512-A7F9-F71DC320E068}"/>
    <cellStyle name="Normal 4 2_Item C7" xfId="25742" xr:uid="{B8384638-5DA8-44F4-BFAE-BAA740DF5CD5}"/>
    <cellStyle name="Normal 4 3" xfId="366" xr:uid="{00000000-0005-0000-0000-000007140000}"/>
    <cellStyle name="Normal 4 3 10" xfId="8968" xr:uid="{A637641F-91D4-4CB6-9E83-B8928B2E32A0}"/>
    <cellStyle name="Normal 4 3 11" xfId="17412" xr:uid="{D9A299B0-FD87-474D-B953-873B725252C5}"/>
    <cellStyle name="Normal 4 3 12" xfId="25622" xr:uid="{936F620A-D86E-4A72-B75A-3225183BAE3E}"/>
    <cellStyle name="Normal 4 3 2" xfId="367" xr:uid="{00000000-0005-0000-0000-000008140000}"/>
    <cellStyle name="Normal 4 3 2 2" xfId="368" xr:uid="{00000000-0005-0000-0000-000009140000}"/>
    <cellStyle name="Normal 4 3 2 2 2" xfId="369" xr:uid="{00000000-0005-0000-0000-00000A140000}"/>
    <cellStyle name="Normal 4 3 2 2 2 10" xfId="8969" xr:uid="{70BE6771-D47D-440B-9120-2DA57E63F045}"/>
    <cellStyle name="Normal 4 3 2 2 2 11" xfId="17413" xr:uid="{6BA0DC72-EAF5-47F3-B5F4-56636BDBE5C6}"/>
    <cellStyle name="Normal 4 3 2 2 2 2" xfId="370" xr:uid="{00000000-0005-0000-0000-00000B140000}"/>
    <cellStyle name="Normal 4 3 2 2 2 2 10" xfId="17414" xr:uid="{31D48F97-FF24-4DA9-8C80-EDFDB6EDBE41}"/>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2A911D11-9D17-4196-891E-8F9D80878C8E}"/>
    <cellStyle name="Normal 4 3 2 2 2 2 2 2 2 2 3" xfId="24193" xr:uid="{45739ED5-B0B0-4D87-BCFA-FBCA3DE7A5C2}"/>
    <cellStyle name="Normal 4 3 2 2 2 2 2 2 2 3" xfId="11529" xr:uid="{947A5262-F251-4DE1-B594-24936BEE6DB3}"/>
    <cellStyle name="Normal 4 3 2 2 2 2 2 2 2 4" xfId="19976" xr:uid="{06E0C8D5-CF57-402C-897F-18E7D77B017D}"/>
    <cellStyle name="Normal 4 3 2 2 2 2 2 2 3" xfId="5160" xr:uid="{00000000-0005-0000-0000-000010140000}"/>
    <cellStyle name="Normal 4 3 2 2 2 2 2 2 3 2" xfId="13602" xr:uid="{494AB590-695B-4428-B00C-66CD1DEB87BC}"/>
    <cellStyle name="Normal 4 3 2 2 2 2 2 2 3 3" xfId="22048" xr:uid="{01EED761-DF4F-4A73-8E8F-5E51C1713940}"/>
    <cellStyle name="Normal 4 3 2 2 2 2 2 2 4" xfId="9384" xr:uid="{97C9D91D-B9D9-40C7-8B56-64D8756F7664}"/>
    <cellStyle name="Normal 4 3 2 2 2 2 2 2 5" xfId="17829" xr:uid="{878721F9-1901-48A4-A0EF-A93AF9D4C09D}"/>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691C257B-CD7A-4F49-88C2-0EB068004FB5}"/>
    <cellStyle name="Normal 4 3 2 2 2 2 2 3 2 2 3" xfId="24606" xr:uid="{FB021FC5-CC96-4999-9A70-A083C9F5A478}"/>
    <cellStyle name="Normal 4 3 2 2 2 2 2 3 2 3" xfId="11942" xr:uid="{CC901B08-AE9F-4675-BB89-852AEA657016}"/>
    <cellStyle name="Normal 4 3 2 2 2 2 2 3 2 4" xfId="20389" xr:uid="{796ADCCB-70CD-44DD-8833-D35A93890F02}"/>
    <cellStyle name="Normal 4 3 2 2 2 2 2 3 3" xfId="5573" xr:uid="{00000000-0005-0000-0000-000014140000}"/>
    <cellStyle name="Normal 4 3 2 2 2 2 2 3 3 2" xfId="14015" xr:uid="{BC05BAB6-3371-45BA-BA23-A55050F9180D}"/>
    <cellStyle name="Normal 4 3 2 2 2 2 2 3 3 3" xfId="22461" xr:uid="{65121F53-CF55-43BF-8F86-B8F23DB65E1C}"/>
    <cellStyle name="Normal 4 3 2 2 2 2 2 3 4" xfId="9797" xr:uid="{1B363CF8-D7E0-4D63-839C-FAE875AA826D}"/>
    <cellStyle name="Normal 4 3 2 2 2 2 2 3 5" xfId="18242" xr:uid="{C125FD33-540D-40F6-AFBF-FD0C7556A147}"/>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04DB01C5-8B2E-4F0B-A9B4-2BB94C6E601D}"/>
    <cellStyle name="Normal 4 3 2 2 2 2 2 4 2 2 3" xfId="25019" xr:uid="{0AA6123F-992F-49AD-A01C-2DEB12C53A11}"/>
    <cellStyle name="Normal 4 3 2 2 2 2 2 4 2 3" xfId="12355" xr:uid="{814E4CA8-9DA0-48DF-9116-2A37E245EAE8}"/>
    <cellStyle name="Normal 4 3 2 2 2 2 2 4 2 4" xfId="20802" xr:uid="{08EDA439-4350-4D78-939E-21AA512C11BB}"/>
    <cellStyle name="Normal 4 3 2 2 2 2 2 4 3" xfId="5986" xr:uid="{00000000-0005-0000-0000-000018140000}"/>
    <cellStyle name="Normal 4 3 2 2 2 2 2 4 3 2" xfId="14428" xr:uid="{99FA5159-69A9-4420-9EEB-157BA525D4F4}"/>
    <cellStyle name="Normal 4 3 2 2 2 2 2 4 3 3" xfId="22874" xr:uid="{C0866685-F53F-43F9-81B8-7AAA08E00795}"/>
    <cellStyle name="Normal 4 3 2 2 2 2 2 4 4" xfId="10210" xr:uid="{8EBB4953-1516-4F62-8680-A80B16B6A9B6}"/>
    <cellStyle name="Normal 4 3 2 2 2 2 2 4 5" xfId="18655" xr:uid="{D60A1A36-D326-42BC-94B4-178FF135CCD8}"/>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54E7378E-441D-40E7-BBC4-35372D3655B7}"/>
    <cellStyle name="Normal 4 3 2 2 2 2 2 5 2 2 3" xfId="25432" xr:uid="{43EB1D9F-E12E-4A0B-BC63-055C009E1D67}"/>
    <cellStyle name="Normal 4 3 2 2 2 2 2 5 2 3" xfId="12768" xr:uid="{2D843906-BAE2-40D3-8691-0E036F6C9C1E}"/>
    <cellStyle name="Normal 4 3 2 2 2 2 2 5 2 4" xfId="21215" xr:uid="{1CBD0FD3-B9A5-4924-BF57-A0191B0E955E}"/>
    <cellStyle name="Normal 4 3 2 2 2 2 2 5 3" xfId="6399" xr:uid="{00000000-0005-0000-0000-00001C140000}"/>
    <cellStyle name="Normal 4 3 2 2 2 2 2 5 3 2" xfId="14841" xr:uid="{F359B1DC-D9A1-45EA-9205-D415215DE3EF}"/>
    <cellStyle name="Normal 4 3 2 2 2 2 2 5 3 3" xfId="23287" xr:uid="{2FC58425-C8F8-4147-BB2A-14AB7A3A69AD}"/>
    <cellStyle name="Normal 4 3 2 2 2 2 2 5 4" xfId="10623" xr:uid="{EFBF9F55-F5C9-439B-B604-A7E7A06A9903}"/>
    <cellStyle name="Normal 4 3 2 2 2 2 2 5 5" xfId="19068" xr:uid="{F411758E-A5A4-42B9-A95B-EF36A728BEFA}"/>
    <cellStyle name="Normal 4 3 2 2 2 2 2 6" xfId="2528" xr:uid="{00000000-0005-0000-0000-00001D140000}"/>
    <cellStyle name="Normal 4 3 2 2 2 2 2 6 2" xfId="6812" xr:uid="{00000000-0005-0000-0000-00001E140000}"/>
    <cellStyle name="Normal 4 3 2 2 2 2 2 6 2 2" xfId="15254" xr:uid="{AC977852-53E4-444E-9AFC-136B6E1E53E3}"/>
    <cellStyle name="Normal 4 3 2 2 2 2 2 6 2 3" xfId="23700" xr:uid="{C8A8DE70-5CB6-469D-B0D6-9ACCC4F76C48}"/>
    <cellStyle name="Normal 4 3 2 2 2 2 2 6 3" xfId="11036" xr:uid="{611964B7-42D2-43AC-94F2-D433E450A1A9}"/>
    <cellStyle name="Normal 4 3 2 2 2 2 2 6 4" xfId="19481" xr:uid="{CF0B17CF-EA92-49FF-8AB1-8390C2C95EAD}"/>
    <cellStyle name="Normal 4 3 2 2 2 2 2 7" xfId="4747" xr:uid="{00000000-0005-0000-0000-00001F140000}"/>
    <cellStyle name="Normal 4 3 2 2 2 2 2 7 2" xfId="13189" xr:uid="{43E42CD7-3252-427D-8FFD-CDB38304CEFD}"/>
    <cellStyle name="Normal 4 3 2 2 2 2 2 7 3" xfId="21635" xr:uid="{349C3B1A-5261-4604-B428-EA44A22D31E4}"/>
    <cellStyle name="Normal 4 3 2 2 2 2 2 8" xfId="8971" xr:uid="{7993C6F5-B387-41D9-AB12-63C630814856}"/>
    <cellStyle name="Normal 4 3 2 2 2 2 2 9" xfId="17415" xr:uid="{1953DE16-EC6C-4F1F-9EF4-90CD198F3F9E}"/>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D6B26588-A57B-4408-9210-4FA0B0F043ED}"/>
    <cellStyle name="Normal 4 3 2 2 2 2 3 2 2 3" xfId="24192" xr:uid="{48872379-1EA4-4693-B859-84739B035101}"/>
    <cellStyle name="Normal 4 3 2 2 2 2 3 2 3" xfId="11528" xr:uid="{D7BC7778-7248-4B39-A628-4C693919F60C}"/>
    <cellStyle name="Normal 4 3 2 2 2 2 3 2 4" xfId="19975" xr:uid="{FD54020F-3A4A-4448-86F4-0AF79578180F}"/>
    <cellStyle name="Normal 4 3 2 2 2 2 3 3" xfId="5159" xr:uid="{00000000-0005-0000-0000-000023140000}"/>
    <cellStyle name="Normal 4 3 2 2 2 2 3 3 2" xfId="13601" xr:uid="{558CA24A-BC08-4F32-968B-087C08D67687}"/>
    <cellStyle name="Normal 4 3 2 2 2 2 3 3 3" xfId="22047" xr:uid="{5FFC3143-C298-42BD-B328-ACD6B1CA464D}"/>
    <cellStyle name="Normal 4 3 2 2 2 2 3 4" xfId="9383" xr:uid="{F02A54BF-0E4B-4165-940A-97FFC2EE447A}"/>
    <cellStyle name="Normal 4 3 2 2 2 2 3 5" xfId="17828" xr:uid="{7625F9BD-5CDD-4F86-9E3E-79CD4C935B8A}"/>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9931D0BB-2AE1-4A2E-B403-87193C8AF5AF}"/>
    <cellStyle name="Normal 4 3 2 2 2 2 4 2 2 3" xfId="24605" xr:uid="{094DD094-8BAB-42A5-A1AC-1191E87CC2ED}"/>
    <cellStyle name="Normal 4 3 2 2 2 2 4 2 3" xfId="11941" xr:uid="{DB19A018-5367-47B1-B5B4-F70171529EFB}"/>
    <cellStyle name="Normal 4 3 2 2 2 2 4 2 4" xfId="20388" xr:uid="{92A2DD86-3D87-4E97-8BEF-4CE17774B131}"/>
    <cellStyle name="Normal 4 3 2 2 2 2 4 3" xfId="5572" xr:uid="{00000000-0005-0000-0000-000027140000}"/>
    <cellStyle name="Normal 4 3 2 2 2 2 4 3 2" xfId="14014" xr:uid="{A84AF57A-D01E-47DB-B9DB-953A0E025DED}"/>
    <cellStyle name="Normal 4 3 2 2 2 2 4 3 3" xfId="22460" xr:uid="{F2C0F2DC-293F-47E3-ABAA-E7D8FC1BC581}"/>
    <cellStyle name="Normal 4 3 2 2 2 2 4 4" xfId="9796" xr:uid="{E5625E56-9043-4EA7-A010-47FCBF249747}"/>
    <cellStyle name="Normal 4 3 2 2 2 2 4 5" xfId="18241" xr:uid="{4419E125-5B3D-4D6E-9D81-566E805F5547}"/>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6BB38C4C-EBF9-48C3-8215-708FAF211E94}"/>
    <cellStyle name="Normal 4 3 2 2 2 2 5 2 2 3" xfId="25018" xr:uid="{05C05B4A-3C98-4DAB-8BD3-6750F06B7CE5}"/>
    <cellStyle name="Normal 4 3 2 2 2 2 5 2 3" xfId="12354" xr:uid="{59A5898F-4389-4B88-BAB6-8DF5660051D6}"/>
    <cellStyle name="Normal 4 3 2 2 2 2 5 2 4" xfId="20801" xr:uid="{E3FB0D79-15AE-49FC-8D3D-C5016171E955}"/>
    <cellStyle name="Normal 4 3 2 2 2 2 5 3" xfId="5985" xr:uid="{00000000-0005-0000-0000-00002B140000}"/>
    <cellStyle name="Normal 4 3 2 2 2 2 5 3 2" xfId="14427" xr:uid="{6CD1A862-5E23-43F3-9436-39D546173985}"/>
    <cellStyle name="Normal 4 3 2 2 2 2 5 3 3" xfId="22873" xr:uid="{F6984E66-F61D-48D0-A889-619E5BB75B41}"/>
    <cellStyle name="Normal 4 3 2 2 2 2 5 4" xfId="10209" xr:uid="{A8A798AF-93EC-4B1D-9442-1D4FCC036E4B}"/>
    <cellStyle name="Normal 4 3 2 2 2 2 5 5" xfId="18654" xr:uid="{A6A255B9-DE2F-42EF-8061-E38C0DF74CD5}"/>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27998FD9-3ECB-4DB7-A1DA-960826CDDC68}"/>
    <cellStyle name="Normal 4 3 2 2 2 2 6 2 2 3" xfId="25431" xr:uid="{0375EFC7-0AE2-49F6-9A76-6F01C272C592}"/>
    <cellStyle name="Normal 4 3 2 2 2 2 6 2 3" xfId="12767" xr:uid="{E50C1DF2-3FDC-4EB2-8E81-211B4BA4BE24}"/>
    <cellStyle name="Normal 4 3 2 2 2 2 6 2 4" xfId="21214" xr:uid="{C6D33F4A-5B89-4716-AF45-156BEF2E7BF3}"/>
    <cellStyle name="Normal 4 3 2 2 2 2 6 3" xfId="6398" xr:uid="{00000000-0005-0000-0000-00002F140000}"/>
    <cellStyle name="Normal 4 3 2 2 2 2 6 3 2" xfId="14840" xr:uid="{C7A04953-DB71-405A-B355-1ECE2C04C842}"/>
    <cellStyle name="Normal 4 3 2 2 2 2 6 3 3" xfId="23286" xr:uid="{81378D0E-30D8-4F49-9B55-875170B34C1E}"/>
    <cellStyle name="Normal 4 3 2 2 2 2 6 4" xfId="10622" xr:uid="{FB5E68EF-966F-49CD-83EA-8691ED0C7D73}"/>
    <cellStyle name="Normal 4 3 2 2 2 2 6 5" xfId="19067" xr:uid="{8E8FC4AA-3433-40B5-8FE0-916614BEEB23}"/>
    <cellStyle name="Normal 4 3 2 2 2 2 7" xfId="2527" xr:uid="{00000000-0005-0000-0000-000030140000}"/>
    <cellStyle name="Normal 4 3 2 2 2 2 7 2" xfId="6811" xr:uid="{00000000-0005-0000-0000-000031140000}"/>
    <cellStyle name="Normal 4 3 2 2 2 2 7 2 2" xfId="15253" xr:uid="{202DAEB9-7E65-4D94-8EA7-F600D02DD325}"/>
    <cellStyle name="Normal 4 3 2 2 2 2 7 2 3" xfId="23699" xr:uid="{3FEA46F8-5B9C-4630-9260-386D0B92C2E0}"/>
    <cellStyle name="Normal 4 3 2 2 2 2 7 3" xfId="11035" xr:uid="{BAED7EDA-765C-409F-8AC5-85870ECBB6B7}"/>
    <cellStyle name="Normal 4 3 2 2 2 2 7 4" xfId="19480" xr:uid="{17A62C3B-9A79-45F1-9037-BFEB6017BBEB}"/>
    <cellStyle name="Normal 4 3 2 2 2 2 8" xfId="4746" xr:uid="{00000000-0005-0000-0000-000032140000}"/>
    <cellStyle name="Normal 4 3 2 2 2 2 8 2" xfId="13188" xr:uid="{1A5292D9-0E32-4AB7-8BCE-49AE7C738A59}"/>
    <cellStyle name="Normal 4 3 2 2 2 2 8 3" xfId="21634" xr:uid="{B34B563A-0AB5-4BB2-B5CD-7F90AD20FFED}"/>
    <cellStyle name="Normal 4 3 2 2 2 2 9" xfId="8970" xr:uid="{D1900447-1307-452E-A602-1930D8CFA3C5}"/>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E654D736-55DF-418A-9D49-A20F517B7E18}"/>
    <cellStyle name="Normal 4 3 2 2 2 3 2 2 2 3" xfId="24194" xr:uid="{9463C167-BDF8-41AF-8371-6A1057FD1B67}"/>
    <cellStyle name="Normal 4 3 2 2 2 3 2 2 3" xfId="11530" xr:uid="{06DBC9F1-B3C0-435D-8128-044ADB077D21}"/>
    <cellStyle name="Normal 4 3 2 2 2 3 2 2 4" xfId="19977" xr:uid="{0F3D2FF8-8163-413A-8379-9B5A4019E5DE}"/>
    <cellStyle name="Normal 4 3 2 2 2 3 2 3" xfId="5161" xr:uid="{00000000-0005-0000-0000-000037140000}"/>
    <cellStyle name="Normal 4 3 2 2 2 3 2 3 2" xfId="13603" xr:uid="{893A0153-C1E2-4D47-A966-FA3FE14EED95}"/>
    <cellStyle name="Normal 4 3 2 2 2 3 2 3 3" xfId="22049" xr:uid="{87B32C49-09E7-4BB4-B615-9AFD9A4664B6}"/>
    <cellStyle name="Normal 4 3 2 2 2 3 2 4" xfId="9385" xr:uid="{04EBE4E6-2CAE-4B61-996E-891B1A82C1A6}"/>
    <cellStyle name="Normal 4 3 2 2 2 3 2 5" xfId="17830" xr:uid="{77E25FE0-43F2-4CBF-87C6-A99176F7E662}"/>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178414DF-FA14-4FA6-9E21-8BB83691FA30}"/>
    <cellStyle name="Normal 4 3 2 2 2 3 3 2 2 3" xfId="24607" xr:uid="{740F2FE5-ACA5-4550-B9BA-0EB246DC8649}"/>
    <cellStyle name="Normal 4 3 2 2 2 3 3 2 3" xfId="11943" xr:uid="{6DD33205-33AE-465E-9881-20C2A5A40F0D}"/>
    <cellStyle name="Normal 4 3 2 2 2 3 3 2 4" xfId="20390" xr:uid="{8D1CA0B6-6C7D-497E-9521-7B515CC9AECB}"/>
    <cellStyle name="Normal 4 3 2 2 2 3 3 3" xfId="5574" xr:uid="{00000000-0005-0000-0000-00003B140000}"/>
    <cellStyle name="Normal 4 3 2 2 2 3 3 3 2" xfId="14016" xr:uid="{3D1F471E-0685-4F13-BC22-C6527B8308C6}"/>
    <cellStyle name="Normal 4 3 2 2 2 3 3 3 3" xfId="22462" xr:uid="{F8525200-82EE-4B8B-9B40-B49C48191D09}"/>
    <cellStyle name="Normal 4 3 2 2 2 3 3 4" xfId="9798" xr:uid="{09A70937-E84C-4A3E-95FD-9255674D152C}"/>
    <cellStyle name="Normal 4 3 2 2 2 3 3 5" xfId="18243" xr:uid="{31FEB5B5-C910-44D8-AF4A-D9EF3B960B5B}"/>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05CDE0F6-5DBD-4E14-AA30-E7FA0960D8B1}"/>
    <cellStyle name="Normal 4 3 2 2 2 3 4 2 2 3" xfId="25020" xr:uid="{1E2600A7-386C-493B-A953-B5C59031E33A}"/>
    <cellStyle name="Normal 4 3 2 2 2 3 4 2 3" xfId="12356" xr:uid="{B91608F8-0DE8-4F2B-904A-3B2F90D667B5}"/>
    <cellStyle name="Normal 4 3 2 2 2 3 4 2 4" xfId="20803" xr:uid="{AD85623D-7A02-4206-8B5C-FACE03F98648}"/>
    <cellStyle name="Normal 4 3 2 2 2 3 4 3" xfId="5987" xr:uid="{00000000-0005-0000-0000-00003F140000}"/>
    <cellStyle name="Normal 4 3 2 2 2 3 4 3 2" xfId="14429" xr:uid="{C34F74BB-701A-4CEB-9AA0-2EECC152BFFC}"/>
    <cellStyle name="Normal 4 3 2 2 2 3 4 3 3" xfId="22875" xr:uid="{C4190047-90A8-42CF-BD5F-B0FE93E30EFA}"/>
    <cellStyle name="Normal 4 3 2 2 2 3 4 4" xfId="10211" xr:uid="{C4CEA816-CACB-4818-AF31-9854A9ED3529}"/>
    <cellStyle name="Normal 4 3 2 2 2 3 4 5" xfId="18656" xr:uid="{FDA38B6D-8D23-4381-BFEB-6B30C9623A67}"/>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F2FDF73C-347B-4331-8618-7B9B3BD77D72}"/>
    <cellStyle name="Normal 4 3 2 2 2 3 5 2 2 3" xfId="25433" xr:uid="{8571E179-DAE3-4C82-8F78-5216134FB768}"/>
    <cellStyle name="Normal 4 3 2 2 2 3 5 2 3" xfId="12769" xr:uid="{38F794B8-CBC6-4AAC-ACB2-CEAC67B3F8DA}"/>
    <cellStyle name="Normal 4 3 2 2 2 3 5 2 4" xfId="21216" xr:uid="{48A3A46B-FD40-447D-BDB7-59A6928216DF}"/>
    <cellStyle name="Normal 4 3 2 2 2 3 5 3" xfId="6400" xr:uid="{00000000-0005-0000-0000-000043140000}"/>
    <cellStyle name="Normal 4 3 2 2 2 3 5 3 2" xfId="14842" xr:uid="{A36A6148-22F5-4657-9F4F-CCB2215D1BE8}"/>
    <cellStyle name="Normal 4 3 2 2 2 3 5 3 3" xfId="23288" xr:uid="{832235E1-69F5-43CF-AD27-E743FBB8DDE8}"/>
    <cellStyle name="Normal 4 3 2 2 2 3 5 4" xfId="10624" xr:uid="{29B6D385-1480-410F-927C-B8309A813988}"/>
    <cellStyle name="Normal 4 3 2 2 2 3 5 5" xfId="19069" xr:uid="{3FB42B20-8D5A-4B17-B8CE-651B2E86AF52}"/>
    <cellStyle name="Normal 4 3 2 2 2 3 6" xfId="2529" xr:uid="{00000000-0005-0000-0000-000044140000}"/>
    <cellStyle name="Normal 4 3 2 2 2 3 6 2" xfId="6813" xr:uid="{00000000-0005-0000-0000-000045140000}"/>
    <cellStyle name="Normal 4 3 2 2 2 3 6 2 2" xfId="15255" xr:uid="{084EAB73-E3EB-40F2-B995-FF64237259F4}"/>
    <cellStyle name="Normal 4 3 2 2 2 3 6 2 3" xfId="23701" xr:uid="{5DF46075-D6C4-4DA9-9D68-0C60DD16AFFD}"/>
    <cellStyle name="Normal 4 3 2 2 2 3 6 3" xfId="11037" xr:uid="{6662F1AF-10AD-4EC8-89FB-B1E17DE54D8A}"/>
    <cellStyle name="Normal 4 3 2 2 2 3 6 4" xfId="19482" xr:uid="{7F863349-11B1-483A-A2FD-F6A976377E7F}"/>
    <cellStyle name="Normal 4 3 2 2 2 3 7" xfId="4748" xr:uid="{00000000-0005-0000-0000-000046140000}"/>
    <cellStyle name="Normal 4 3 2 2 2 3 7 2" xfId="13190" xr:uid="{B40DF0C8-3979-4EB2-AE19-0B339EBF0ADF}"/>
    <cellStyle name="Normal 4 3 2 2 2 3 7 3" xfId="21636" xr:uid="{471DDB59-6B98-4E33-9860-2147B714BC33}"/>
    <cellStyle name="Normal 4 3 2 2 2 3 8" xfId="8972" xr:uid="{714BAC3D-851B-461F-99E5-6B99CA496052}"/>
    <cellStyle name="Normal 4 3 2 2 2 3 9" xfId="17416" xr:uid="{B3A27256-8F38-42F0-8942-AC5503DA4804}"/>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5D7487CE-117C-4967-8FFE-3DBB13518F7F}"/>
    <cellStyle name="Normal 4 3 2 2 2 4 2 2 3" xfId="24191" xr:uid="{52A15F08-6260-410C-9E28-CE5B928BEBA8}"/>
    <cellStyle name="Normal 4 3 2 2 2 4 2 3" xfId="11527" xr:uid="{013CC03E-902D-4652-8CF8-F0A027816CF3}"/>
    <cellStyle name="Normal 4 3 2 2 2 4 2 4" xfId="19974" xr:uid="{E67DD289-5292-463C-A245-35A86852A52B}"/>
    <cellStyle name="Normal 4 3 2 2 2 4 3" xfId="5158" xr:uid="{00000000-0005-0000-0000-00004A140000}"/>
    <cellStyle name="Normal 4 3 2 2 2 4 3 2" xfId="13600" xr:uid="{A3966A3F-C97F-4541-8D78-40245625D84B}"/>
    <cellStyle name="Normal 4 3 2 2 2 4 3 3" xfId="22046" xr:uid="{B2A52B69-1049-4CB9-A492-7A9B76119031}"/>
    <cellStyle name="Normal 4 3 2 2 2 4 4" xfId="9382" xr:uid="{CFFD7C41-FD3B-467C-A559-8BF9F61BB983}"/>
    <cellStyle name="Normal 4 3 2 2 2 4 5" xfId="17827" xr:uid="{324916E6-26C0-461C-AA21-4DD8ED08A038}"/>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112F71C3-FA06-4606-BF5F-73FE7AF5034E}"/>
    <cellStyle name="Normal 4 3 2 2 2 5 2 2 3" xfId="24604" xr:uid="{2F53FB29-23CC-4C93-B198-03AE0DDD244F}"/>
    <cellStyle name="Normal 4 3 2 2 2 5 2 3" xfId="11940" xr:uid="{162BFC2D-93E5-4522-A1DB-80F3697B2264}"/>
    <cellStyle name="Normal 4 3 2 2 2 5 2 4" xfId="20387" xr:uid="{88FF1A6D-3FB0-4482-BEB4-EF8AD2035701}"/>
    <cellStyle name="Normal 4 3 2 2 2 5 3" xfId="5571" xr:uid="{00000000-0005-0000-0000-00004E140000}"/>
    <cellStyle name="Normal 4 3 2 2 2 5 3 2" xfId="14013" xr:uid="{B2B2F82F-8ADB-41C7-ADC8-7470FC23E0B5}"/>
    <cellStyle name="Normal 4 3 2 2 2 5 3 3" xfId="22459" xr:uid="{3F6F6E99-EF61-4DF3-8C4D-AFD27ABB720A}"/>
    <cellStyle name="Normal 4 3 2 2 2 5 4" xfId="9795" xr:uid="{49DEC1B0-1E45-4F4C-BBBC-C76E2002E74D}"/>
    <cellStyle name="Normal 4 3 2 2 2 5 5" xfId="18240" xr:uid="{A5A5569F-6D01-4D06-ABC1-245ADABEF4EC}"/>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5FA0404F-2CFE-42A1-A225-B572AA29F752}"/>
    <cellStyle name="Normal 4 3 2 2 2 6 2 2 3" xfId="25017" xr:uid="{2E39A94D-5A01-4096-A8D9-EAB6019CEB70}"/>
    <cellStyle name="Normal 4 3 2 2 2 6 2 3" xfId="12353" xr:uid="{BCB417D9-F496-4A3B-894B-C3DC83323EC5}"/>
    <cellStyle name="Normal 4 3 2 2 2 6 2 4" xfId="20800" xr:uid="{3F0B6859-5293-413F-9340-E645151874FB}"/>
    <cellStyle name="Normal 4 3 2 2 2 6 3" xfId="5984" xr:uid="{00000000-0005-0000-0000-000052140000}"/>
    <cellStyle name="Normal 4 3 2 2 2 6 3 2" xfId="14426" xr:uid="{C87BC3C9-2F2C-4B3E-9510-9B596A294F2B}"/>
    <cellStyle name="Normal 4 3 2 2 2 6 3 3" xfId="22872" xr:uid="{0D311FE2-35AD-44BB-A2ED-0DE63650E543}"/>
    <cellStyle name="Normal 4 3 2 2 2 6 4" xfId="10208" xr:uid="{5CA545EE-7A5F-49E5-9977-91DE3D4A36DE}"/>
    <cellStyle name="Normal 4 3 2 2 2 6 5" xfId="18653" xr:uid="{22178331-4576-4EA5-8A54-52DA80E7EDA7}"/>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5C3A8C27-7C27-4287-B659-4A3C591A3052}"/>
    <cellStyle name="Normal 4 3 2 2 2 7 2 2 3" xfId="25430" xr:uid="{76B9A866-E87D-4305-A443-FC6511D05F93}"/>
    <cellStyle name="Normal 4 3 2 2 2 7 2 3" xfId="12766" xr:uid="{5D40D61C-3A36-4B45-99FF-F1DCB8772186}"/>
    <cellStyle name="Normal 4 3 2 2 2 7 2 4" xfId="21213" xr:uid="{D40EF742-8D88-488D-B2C0-7F635EC9F13B}"/>
    <cellStyle name="Normal 4 3 2 2 2 7 3" xfId="6397" xr:uid="{00000000-0005-0000-0000-000056140000}"/>
    <cellStyle name="Normal 4 3 2 2 2 7 3 2" xfId="14839" xr:uid="{AC4161D6-3FCC-435B-B240-FDD31A04EFBE}"/>
    <cellStyle name="Normal 4 3 2 2 2 7 3 3" xfId="23285" xr:uid="{F91B35F2-F017-4751-9CB8-55E53097AEC8}"/>
    <cellStyle name="Normal 4 3 2 2 2 7 4" xfId="10621" xr:uid="{8AB62847-E1CD-431F-A349-0C543E51515A}"/>
    <cellStyle name="Normal 4 3 2 2 2 7 5" xfId="19066" xr:uid="{A39D4983-AAC3-4F28-A374-EBDDB256BB8D}"/>
    <cellStyle name="Normal 4 3 2 2 2 8" xfId="2526" xr:uid="{00000000-0005-0000-0000-000057140000}"/>
    <cellStyle name="Normal 4 3 2 2 2 8 2" xfId="6810" xr:uid="{00000000-0005-0000-0000-000058140000}"/>
    <cellStyle name="Normal 4 3 2 2 2 8 2 2" xfId="15252" xr:uid="{6159ADFA-827C-4DD5-BA75-9ADE3DD899E6}"/>
    <cellStyle name="Normal 4 3 2 2 2 8 2 3" xfId="23698" xr:uid="{A6468E50-3B80-41CC-B8BD-8EE4644E7AF6}"/>
    <cellStyle name="Normal 4 3 2 2 2 8 3" xfId="11034" xr:uid="{B5D42A34-7173-4248-A920-69E6A005E002}"/>
    <cellStyle name="Normal 4 3 2 2 2 8 4" xfId="19479" xr:uid="{800143EC-A326-4B80-9D6E-489FA504DC43}"/>
    <cellStyle name="Normal 4 3 2 2 2 9" xfId="4745" xr:uid="{00000000-0005-0000-0000-000059140000}"/>
    <cellStyle name="Normal 4 3 2 2 2 9 2" xfId="13187" xr:uid="{0BAA1368-AB15-4FAC-BD43-5866BC481C43}"/>
    <cellStyle name="Normal 4 3 2 2 2 9 3" xfId="21633" xr:uid="{37C51F92-F898-4BAE-92C7-2F2946332133}"/>
    <cellStyle name="Normal 4 3 2 3" xfId="373" xr:uid="{00000000-0005-0000-0000-00005A140000}"/>
    <cellStyle name="Normal 4 3 2 3 2" xfId="848" xr:uid="{00000000-0005-0000-0000-00005B140000}"/>
    <cellStyle name="Normal 4 3 2 4" xfId="843" xr:uid="{00000000-0005-0000-0000-00005C140000}"/>
    <cellStyle name="Normal 4 3 2 5" xfId="25636" xr:uid="{4703BCF7-645B-4B4A-A642-1C1991C1AEB8}"/>
    <cellStyle name="Normal 4 3 3" xfId="374" xr:uid="{00000000-0005-0000-0000-00005D140000}"/>
    <cellStyle name="Normal 4 3 3 10" xfId="8973" xr:uid="{999D693A-46B0-4A42-B355-EA8DA8897DA8}"/>
    <cellStyle name="Normal 4 3 3 11" xfId="17417" xr:uid="{302D26A3-0BEE-4693-A270-B5DD2D9C0066}"/>
    <cellStyle name="Normal 4 3 3 2" xfId="375" xr:uid="{00000000-0005-0000-0000-00005E140000}"/>
    <cellStyle name="Normal 4 3 3 2 10" xfId="17418" xr:uid="{028B1F09-0383-4D7D-BF33-FF6B251FDE8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428EC332-968B-4702-95FA-F23D5EDCCA76}"/>
    <cellStyle name="Normal 4 3 3 2 2 2 2 2 3" xfId="24197" xr:uid="{0FE587E0-36C2-4EB4-B9C3-D2A14C898369}"/>
    <cellStyle name="Normal 4 3 3 2 2 2 2 3" xfId="11533" xr:uid="{609C65E5-8AFA-4CB7-ABBF-EE17C07094AA}"/>
    <cellStyle name="Normal 4 3 3 2 2 2 2 4" xfId="19980" xr:uid="{AB5CD2D7-1AA9-4681-8E8D-2A6793194054}"/>
    <cellStyle name="Normal 4 3 3 2 2 2 3" xfId="5164" xr:uid="{00000000-0005-0000-0000-000063140000}"/>
    <cellStyle name="Normal 4 3 3 2 2 2 3 2" xfId="13606" xr:uid="{E43EBBF5-8816-4FFA-8E4B-6F47C9F98A93}"/>
    <cellStyle name="Normal 4 3 3 2 2 2 3 3" xfId="22052" xr:uid="{5C1859D8-79C7-401C-ADBB-59CD23E22A5F}"/>
    <cellStyle name="Normal 4 3 3 2 2 2 4" xfId="9388" xr:uid="{47BA598C-9B4E-4734-BD6F-3ECF064BF500}"/>
    <cellStyle name="Normal 4 3 3 2 2 2 5" xfId="17833" xr:uid="{0BC16FE3-43B9-4C61-9E66-1988BA388911}"/>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48F42E01-566C-43EE-8682-9477B053FB47}"/>
    <cellStyle name="Normal 4 3 3 2 2 3 2 2 3" xfId="24610" xr:uid="{5CAF7533-F028-47B1-BD03-14E7F2E2BA38}"/>
    <cellStyle name="Normal 4 3 3 2 2 3 2 3" xfId="11946" xr:uid="{CBED64E7-47CD-424F-A720-EA00FA35B2D8}"/>
    <cellStyle name="Normal 4 3 3 2 2 3 2 4" xfId="20393" xr:uid="{677BDFC8-1FE6-4F7A-918D-196E478BE3A0}"/>
    <cellStyle name="Normal 4 3 3 2 2 3 3" xfId="5577" xr:uid="{00000000-0005-0000-0000-000067140000}"/>
    <cellStyle name="Normal 4 3 3 2 2 3 3 2" xfId="14019" xr:uid="{AF196C17-000B-4E16-81D1-8896D6744D85}"/>
    <cellStyle name="Normal 4 3 3 2 2 3 3 3" xfId="22465" xr:uid="{7382F96B-AD3F-40FD-834B-655CC843C489}"/>
    <cellStyle name="Normal 4 3 3 2 2 3 4" xfId="9801" xr:uid="{7B3A1F7F-216E-41D1-962C-EF70327391A4}"/>
    <cellStyle name="Normal 4 3 3 2 2 3 5" xfId="18246" xr:uid="{AC09A0B6-1D58-4C64-82CE-3AC0CC13899A}"/>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D0236F5B-4ED4-4DD8-8E29-85BC2A507553}"/>
    <cellStyle name="Normal 4 3 3 2 2 4 2 2 3" xfId="25023" xr:uid="{29E3A0AA-49B5-420A-8AD2-F1EBC61988B4}"/>
    <cellStyle name="Normal 4 3 3 2 2 4 2 3" xfId="12359" xr:uid="{0A30AC61-6B50-4268-9D95-825A566221A3}"/>
    <cellStyle name="Normal 4 3 3 2 2 4 2 4" xfId="20806" xr:uid="{FD73610A-C99F-4CFB-BB48-61C65177B531}"/>
    <cellStyle name="Normal 4 3 3 2 2 4 3" xfId="5990" xr:uid="{00000000-0005-0000-0000-00006B140000}"/>
    <cellStyle name="Normal 4 3 3 2 2 4 3 2" xfId="14432" xr:uid="{2A27032E-9D2F-4988-8815-652AC7DFDFC2}"/>
    <cellStyle name="Normal 4 3 3 2 2 4 3 3" xfId="22878" xr:uid="{13691598-C8EF-47B1-9B2B-1DAF0993B382}"/>
    <cellStyle name="Normal 4 3 3 2 2 4 4" xfId="10214" xr:uid="{52E8435D-0AAB-4BF9-A52B-C7D00F60D369}"/>
    <cellStyle name="Normal 4 3 3 2 2 4 5" xfId="18659" xr:uid="{FB5EB5D2-599A-4387-A173-9AC7EFB43B2D}"/>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2834D805-6D1A-471D-87B0-15BC8E08A119}"/>
    <cellStyle name="Normal 4 3 3 2 2 5 2 2 3" xfId="25436" xr:uid="{3F19B2BA-BC65-44FB-9A05-652A294AD57C}"/>
    <cellStyle name="Normal 4 3 3 2 2 5 2 3" xfId="12772" xr:uid="{F4C5C0E9-6CEB-43FF-BC08-01056FE9CC78}"/>
    <cellStyle name="Normal 4 3 3 2 2 5 2 4" xfId="21219" xr:uid="{BC26B41A-02AD-4C4B-970F-9EA9A684BE01}"/>
    <cellStyle name="Normal 4 3 3 2 2 5 3" xfId="6403" xr:uid="{00000000-0005-0000-0000-00006F140000}"/>
    <cellStyle name="Normal 4 3 3 2 2 5 3 2" xfId="14845" xr:uid="{DC956B88-216F-4817-AD4A-2CCB40887745}"/>
    <cellStyle name="Normal 4 3 3 2 2 5 3 3" xfId="23291" xr:uid="{8147CA14-0AAC-4348-9191-CBBB7BA8D7BD}"/>
    <cellStyle name="Normal 4 3 3 2 2 5 4" xfId="10627" xr:uid="{42655665-8D98-4C7C-8D79-B646AC765F5A}"/>
    <cellStyle name="Normal 4 3 3 2 2 5 5" xfId="19072" xr:uid="{2ACE69BB-63D1-4085-A511-53D46E9B28A7}"/>
    <cellStyle name="Normal 4 3 3 2 2 6" xfId="2532" xr:uid="{00000000-0005-0000-0000-000070140000}"/>
    <cellStyle name="Normal 4 3 3 2 2 6 2" xfId="6816" xr:uid="{00000000-0005-0000-0000-000071140000}"/>
    <cellStyle name="Normal 4 3 3 2 2 6 2 2" xfId="15258" xr:uid="{361145F3-A366-4A47-AA9D-D3276A398F1D}"/>
    <cellStyle name="Normal 4 3 3 2 2 6 2 3" xfId="23704" xr:uid="{77661134-44A6-41DE-8488-9AE6E2A2E3C4}"/>
    <cellStyle name="Normal 4 3 3 2 2 6 3" xfId="11040" xr:uid="{65200DA7-63CF-4CEF-A5C7-8F1136C658E9}"/>
    <cellStyle name="Normal 4 3 3 2 2 6 4" xfId="19485" xr:uid="{6F46903D-6068-4262-B8DC-7DE1B66B8928}"/>
    <cellStyle name="Normal 4 3 3 2 2 7" xfId="4751" xr:uid="{00000000-0005-0000-0000-000072140000}"/>
    <cellStyle name="Normal 4 3 3 2 2 7 2" xfId="13193" xr:uid="{CF5E9EE5-7610-4842-8AC8-21CBB0BE52D6}"/>
    <cellStyle name="Normal 4 3 3 2 2 7 3" xfId="21639" xr:uid="{337FCA75-026C-4496-85F4-E3B66DD1097B}"/>
    <cellStyle name="Normal 4 3 3 2 2 8" xfId="8975" xr:uid="{9F9C8D63-7CCB-443E-A4B3-3E0B15382948}"/>
    <cellStyle name="Normal 4 3 3 2 2 9" xfId="17419" xr:uid="{E0453667-9E18-459A-B544-E663BC5E6C30}"/>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324BDCF9-042A-46EC-AAF6-6BBE98880D48}"/>
    <cellStyle name="Normal 4 3 3 2 3 2 2 3" xfId="24196" xr:uid="{418472B8-EA74-4A97-8D2B-7BAF13A607B6}"/>
    <cellStyle name="Normal 4 3 3 2 3 2 3" xfId="11532" xr:uid="{0A966B78-E3BE-4A41-B5F2-E0FA90DCAA44}"/>
    <cellStyle name="Normal 4 3 3 2 3 2 4" xfId="19979" xr:uid="{6B33D01F-11B2-4DE9-B453-D494ED874017}"/>
    <cellStyle name="Normal 4 3 3 2 3 3" xfId="5163" xr:uid="{00000000-0005-0000-0000-000076140000}"/>
    <cellStyle name="Normal 4 3 3 2 3 3 2" xfId="13605" xr:uid="{942BB221-A60F-4093-AE67-2B279E3F33DB}"/>
    <cellStyle name="Normal 4 3 3 2 3 3 3" xfId="22051" xr:uid="{C5EF56FB-651C-4EDD-AD19-228D9BFFC1D7}"/>
    <cellStyle name="Normal 4 3 3 2 3 4" xfId="9387" xr:uid="{D14141EF-CEE0-4C12-97B8-9F10F1E1C3E2}"/>
    <cellStyle name="Normal 4 3 3 2 3 5" xfId="17832" xr:uid="{F7235FF4-4B8B-4B15-976A-8FF93A61F9C1}"/>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ACD73AA0-0D1C-4C90-8DEE-5D9C85BDAC78}"/>
    <cellStyle name="Normal 4 3 3 2 4 2 2 3" xfId="24609" xr:uid="{37B6AEDB-3333-41CA-9F03-574E982BDE62}"/>
    <cellStyle name="Normal 4 3 3 2 4 2 3" xfId="11945" xr:uid="{59E756F7-C439-4E9D-95F6-59EC362649C1}"/>
    <cellStyle name="Normal 4 3 3 2 4 2 4" xfId="20392" xr:uid="{D3C33A33-ACF1-41F7-8803-C4C7A220A826}"/>
    <cellStyle name="Normal 4 3 3 2 4 3" xfId="5576" xr:uid="{00000000-0005-0000-0000-00007A140000}"/>
    <cellStyle name="Normal 4 3 3 2 4 3 2" xfId="14018" xr:uid="{2AB9DD76-6EFA-4D43-9765-34C66AD401C9}"/>
    <cellStyle name="Normal 4 3 3 2 4 3 3" xfId="22464" xr:uid="{4446C527-A6B7-49A4-9F76-9BB61130D9F4}"/>
    <cellStyle name="Normal 4 3 3 2 4 4" xfId="9800" xr:uid="{C6791B8C-2386-4C4A-89BC-7F5DACAA1B27}"/>
    <cellStyle name="Normal 4 3 3 2 4 5" xfId="18245" xr:uid="{21190B43-8CA7-43B1-93E6-722F3A79DD77}"/>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F1F196D8-441C-4CD2-AEDA-DE9C1D0B5D76}"/>
    <cellStyle name="Normal 4 3 3 2 5 2 2 3" xfId="25022" xr:uid="{0D02D1AA-CDD0-406A-A215-03551CC31A22}"/>
    <cellStyle name="Normal 4 3 3 2 5 2 3" xfId="12358" xr:uid="{09EA01B3-8A57-4E6A-AAF0-01868AF18063}"/>
    <cellStyle name="Normal 4 3 3 2 5 2 4" xfId="20805" xr:uid="{AEEA984A-C94F-4BD5-990D-B48A5BAA5843}"/>
    <cellStyle name="Normal 4 3 3 2 5 3" xfId="5989" xr:uid="{00000000-0005-0000-0000-00007E140000}"/>
    <cellStyle name="Normal 4 3 3 2 5 3 2" xfId="14431" xr:uid="{E84538FE-D21F-4F05-B653-50C1DE5BAA95}"/>
    <cellStyle name="Normal 4 3 3 2 5 3 3" xfId="22877" xr:uid="{B2E491BA-76BC-4A34-8F75-F215CABA1CC4}"/>
    <cellStyle name="Normal 4 3 3 2 5 4" xfId="10213" xr:uid="{19201075-D59F-47B8-8011-00131BFAA755}"/>
    <cellStyle name="Normal 4 3 3 2 5 5" xfId="18658" xr:uid="{D70826F5-5DA0-4349-8C5B-5FD8567E7DAD}"/>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1047D9BF-89F5-4767-B42E-B4EF83055D6D}"/>
    <cellStyle name="Normal 4 3 3 2 6 2 2 3" xfId="25435" xr:uid="{1B424CE2-B57A-41D8-AB09-FA56FCF42AEE}"/>
    <cellStyle name="Normal 4 3 3 2 6 2 3" xfId="12771" xr:uid="{A75D1A46-EF1C-4D0F-A021-DFEE665DEFD5}"/>
    <cellStyle name="Normal 4 3 3 2 6 2 4" xfId="21218" xr:uid="{D937E881-C361-4883-B64F-42E8E18644B1}"/>
    <cellStyle name="Normal 4 3 3 2 6 3" xfId="6402" xr:uid="{00000000-0005-0000-0000-000082140000}"/>
    <cellStyle name="Normal 4 3 3 2 6 3 2" xfId="14844" xr:uid="{A13E39EA-CE4B-486E-9FF5-6DE2A94FD247}"/>
    <cellStyle name="Normal 4 3 3 2 6 3 3" xfId="23290" xr:uid="{12FB8314-5505-4C7F-B9AA-FA3CE4A96188}"/>
    <cellStyle name="Normal 4 3 3 2 6 4" xfId="10626" xr:uid="{BD51748B-B907-4A21-BF9B-FBC0318D3A39}"/>
    <cellStyle name="Normal 4 3 3 2 6 5" xfId="19071" xr:uid="{F1241A3A-C72D-4507-81E4-29774AC8F19F}"/>
    <cellStyle name="Normal 4 3 3 2 7" xfId="2531" xr:uid="{00000000-0005-0000-0000-000083140000}"/>
    <cellStyle name="Normal 4 3 3 2 7 2" xfId="6815" xr:uid="{00000000-0005-0000-0000-000084140000}"/>
    <cellStyle name="Normal 4 3 3 2 7 2 2" xfId="15257" xr:uid="{BD6458DA-8BE9-466C-9F8D-EFE03BC8C313}"/>
    <cellStyle name="Normal 4 3 3 2 7 2 3" xfId="23703" xr:uid="{B5189560-D065-458F-9A3A-007B2D02B8FA}"/>
    <cellStyle name="Normal 4 3 3 2 7 3" xfId="11039" xr:uid="{C0164846-71C0-4A55-BDDF-2B3EA7AF8B28}"/>
    <cellStyle name="Normal 4 3 3 2 7 4" xfId="19484" xr:uid="{20B364D8-D922-43E0-94AE-CEF1596F882E}"/>
    <cellStyle name="Normal 4 3 3 2 8" xfId="4750" xr:uid="{00000000-0005-0000-0000-000085140000}"/>
    <cellStyle name="Normal 4 3 3 2 8 2" xfId="13192" xr:uid="{7F2D1BA7-0607-4D0F-B3A6-0D10AB5E33B3}"/>
    <cellStyle name="Normal 4 3 3 2 8 3" xfId="21638" xr:uid="{DFD800D0-F90A-4408-A1D8-07992B6996BA}"/>
    <cellStyle name="Normal 4 3 3 2 9" xfId="8974" xr:uid="{CE88F5EF-941C-452B-8555-5540EDE72F36}"/>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F1F8738A-97AD-42AC-A23C-1B99C234AC7D}"/>
    <cellStyle name="Normal 4 3 3 3 2 2 2 3" xfId="24198" xr:uid="{5E94CC24-D808-4AB5-A85E-73984A2C0880}"/>
    <cellStyle name="Normal 4 3 3 3 2 2 3" xfId="11534" xr:uid="{FF9E3F3F-AF83-4C82-903A-A0746F02B7E4}"/>
    <cellStyle name="Normal 4 3 3 3 2 2 4" xfId="19981" xr:uid="{432484C9-4156-4EE7-874F-108DC3B48E28}"/>
    <cellStyle name="Normal 4 3 3 3 2 3" xfId="5165" xr:uid="{00000000-0005-0000-0000-00008A140000}"/>
    <cellStyle name="Normal 4 3 3 3 2 3 2" xfId="13607" xr:uid="{5D6B0EA8-5F3A-4557-B171-9F0954036A68}"/>
    <cellStyle name="Normal 4 3 3 3 2 3 3" xfId="22053" xr:uid="{D959722D-30FF-45A4-BD90-D60B40FB59C2}"/>
    <cellStyle name="Normal 4 3 3 3 2 4" xfId="9389" xr:uid="{1DC883DF-FD66-4516-8E7B-FE824ED4CE3F}"/>
    <cellStyle name="Normal 4 3 3 3 2 5" xfId="17834" xr:uid="{D69DE168-C6A4-4386-A692-9B2F598561A8}"/>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3AAAE180-7719-46C6-A087-13DC1947EE67}"/>
    <cellStyle name="Normal 4 3 3 3 3 2 2 3" xfId="24611" xr:uid="{42C65DE0-A898-4162-8353-790C2388650C}"/>
    <cellStyle name="Normal 4 3 3 3 3 2 3" xfId="11947" xr:uid="{2538AF1F-686E-4509-B8FC-29FC577851C0}"/>
    <cellStyle name="Normal 4 3 3 3 3 2 4" xfId="20394" xr:uid="{52D821F2-4BF2-4FD5-9FC3-4915D4663070}"/>
    <cellStyle name="Normal 4 3 3 3 3 3" xfId="5578" xr:uid="{00000000-0005-0000-0000-00008E140000}"/>
    <cellStyle name="Normal 4 3 3 3 3 3 2" xfId="14020" xr:uid="{5AA94D3F-0EEC-4441-BC4E-C8C3F2B8C008}"/>
    <cellStyle name="Normal 4 3 3 3 3 3 3" xfId="22466" xr:uid="{602BFD55-BEC3-47F3-9B01-260C2BE00359}"/>
    <cellStyle name="Normal 4 3 3 3 3 4" xfId="9802" xr:uid="{820C48A5-4855-41BD-8564-9634A6ED8D7A}"/>
    <cellStyle name="Normal 4 3 3 3 3 5" xfId="18247" xr:uid="{D8188ED4-3612-437D-AF31-7DACC59B2932}"/>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6463B1F4-85CD-4E2B-9F23-AF4B6675A634}"/>
    <cellStyle name="Normal 4 3 3 3 4 2 2 3" xfId="25024" xr:uid="{C80962E6-D25C-4B3E-B4EA-B6B785EB9EDF}"/>
    <cellStyle name="Normal 4 3 3 3 4 2 3" xfId="12360" xr:uid="{D85493DC-04D9-4E66-968C-6D686B339368}"/>
    <cellStyle name="Normal 4 3 3 3 4 2 4" xfId="20807" xr:uid="{A9F2D96E-DD8D-47D2-800E-7BDC030E069C}"/>
    <cellStyle name="Normal 4 3 3 3 4 3" xfId="5991" xr:uid="{00000000-0005-0000-0000-000092140000}"/>
    <cellStyle name="Normal 4 3 3 3 4 3 2" xfId="14433" xr:uid="{A6FAD978-4592-4CA6-8686-FE88F789482D}"/>
    <cellStyle name="Normal 4 3 3 3 4 3 3" xfId="22879" xr:uid="{D0DDEC6E-3548-418E-8C85-0907A23EF855}"/>
    <cellStyle name="Normal 4 3 3 3 4 4" xfId="10215" xr:uid="{73F56470-C5DD-4EC6-BA3D-1913782C2604}"/>
    <cellStyle name="Normal 4 3 3 3 4 5" xfId="18660" xr:uid="{63DB85C4-785C-41BC-A309-8B5F14FF8FDF}"/>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19E58227-74D2-4A7F-8696-443A7FA78733}"/>
    <cellStyle name="Normal 4 3 3 3 5 2 2 3" xfId="25437" xr:uid="{A8DA9998-24F4-41AF-B29B-FC8027CB71F0}"/>
    <cellStyle name="Normal 4 3 3 3 5 2 3" xfId="12773" xr:uid="{D42E5A07-7C93-43C6-AE39-0F2D174E0CFF}"/>
    <cellStyle name="Normal 4 3 3 3 5 2 4" xfId="21220" xr:uid="{AC85665C-E618-40A9-A39C-BAB12546DC49}"/>
    <cellStyle name="Normal 4 3 3 3 5 3" xfId="6404" xr:uid="{00000000-0005-0000-0000-000096140000}"/>
    <cellStyle name="Normal 4 3 3 3 5 3 2" xfId="14846" xr:uid="{72A54C4F-339F-47C8-8964-EAE54F1F6D4E}"/>
    <cellStyle name="Normal 4 3 3 3 5 3 3" xfId="23292" xr:uid="{D821F67E-ECB9-464F-8E3D-85983CAD707E}"/>
    <cellStyle name="Normal 4 3 3 3 5 4" xfId="10628" xr:uid="{E659990C-362C-4B33-88B5-56084F58EF3C}"/>
    <cellStyle name="Normal 4 3 3 3 5 5" xfId="19073" xr:uid="{25D89A17-677B-490A-BD63-33B6C7506577}"/>
    <cellStyle name="Normal 4 3 3 3 6" xfId="2533" xr:uid="{00000000-0005-0000-0000-000097140000}"/>
    <cellStyle name="Normal 4 3 3 3 6 2" xfId="6817" xr:uid="{00000000-0005-0000-0000-000098140000}"/>
    <cellStyle name="Normal 4 3 3 3 6 2 2" xfId="15259" xr:uid="{A570E78B-FE76-4B0C-9718-2C9B1CABA2C5}"/>
    <cellStyle name="Normal 4 3 3 3 6 2 3" xfId="23705" xr:uid="{D4E2AAC5-5B0D-4380-8F6B-40C36D8B1D66}"/>
    <cellStyle name="Normal 4 3 3 3 6 3" xfId="11041" xr:uid="{A90407C5-8294-4689-A24F-7983DA474089}"/>
    <cellStyle name="Normal 4 3 3 3 6 4" xfId="19486" xr:uid="{5DEAAF1B-DE43-4EB5-80DA-FF259A6D962E}"/>
    <cellStyle name="Normal 4 3 3 3 7" xfId="4752" xr:uid="{00000000-0005-0000-0000-000099140000}"/>
    <cellStyle name="Normal 4 3 3 3 7 2" xfId="13194" xr:uid="{F6A3AB05-CC7C-4488-9A8C-399BBEAE199B}"/>
    <cellStyle name="Normal 4 3 3 3 7 3" xfId="21640" xr:uid="{78183FC0-F4D2-431F-9F14-0D19B1C0788B}"/>
    <cellStyle name="Normal 4 3 3 3 8" xfId="8976" xr:uid="{712764A8-B209-4E2D-9D80-80021CB3F63D}"/>
    <cellStyle name="Normal 4 3 3 3 9" xfId="17420" xr:uid="{CEBCAA30-0B02-456A-B05F-6B81F3DBE3C0}"/>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56499134-F84C-4988-AF22-9D30E4FCFA20}"/>
    <cellStyle name="Normal 4 3 3 4 2 2 3" xfId="24195" xr:uid="{E16D76F3-6933-4F77-B5D2-554DDBD33707}"/>
    <cellStyle name="Normal 4 3 3 4 2 3" xfId="11531" xr:uid="{1E177F20-BE39-4A79-94DB-1954ECDB2E43}"/>
    <cellStyle name="Normal 4 3 3 4 2 4" xfId="19978" xr:uid="{34571683-CE4F-4CC9-9193-DD9D193848F3}"/>
    <cellStyle name="Normal 4 3 3 4 3" xfId="5162" xr:uid="{00000000-0005-0000-0000-00009D140000}"/>
    <cellStyle name="Normal 4 3 3 4 3 2" xfId="13604" xr:uid="{08E13CEE-BF0F-4E70-89EF-3AC73D5FEDA0}"/>
    <cellStyle name="Normal 4 3 3 4 3 3" xfId="22050" xr:uid="{45B2873E-132D-4E2A-85D6-0C83B7BFADD7}"/>
    <cellStyle name="Normal 4 3 3 4 4" xfId="9386" xr:uid="{53DC721F-FC2C-4462-8BC5-218FA75E9264}"/>
    <cellStyle name="Normal 4 3 3 4 5" xfId="17831" xr:uid="{AE1D7D96-D776-4676-B571-568F874E42A7}"/>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0058C6A6-6F01-47B0-9A22-BECE8942984E}"/>
    <cellStyle name="Normal 4 3 3 5 2 2 3" xfId="24608" xr:uid="{670E6292-7074-4B76-A8E7-C2C062941570}"/>
    <cellStyle name="Normal 4 3 3 5 2 3" xfId="11944" xr:uid="{0176401B-2B31-4819-A584-D0FE7D4CEBB1}"/>
    <cellStyle name="Normal 4 3 3 5 2 4" xfId="20391" xr:uid="{945EFD42-87C9-4CB8-9F8C-44C5AC8146AD}"/>
    <cellStyle name="Normal 4 3 3 5 3" xfId="5575" xr:uid="{00000000-0005-0000-0000-0000A1140000}"/>
    <cellStyle name="Normal 4 3 3 5 3 2" xfId="14017" xr:uid="{23393124-317F-4FB3-9C76-C157D2D8EB87}"/>
    <cellStyle name="Normal 4 3 3 5 3 3" xfId="22463" xr:uid="{F65AF4CA-EB41-4DA4-9B3B-A71CA83CFEC2}"/>
    <cellStyle name="Normal 4 3 3 5 4" xfId="9799" xr:uid="{EAA17EBC-C7CF-4426-9E92-45707A51F70C}"/>
    <cellStyle name="Normal 4 3 3 5 5" xfId="18244" xr:uid="{3B357B10-F8D8-4C08-B317-EB528F367CA1}"/>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E0BDC25E-82ED-4DE3-AD42-8B1E70D70B22}"/>
    <cellStyle name="Normal 4 3 3 6 2 2 3" xfId="25021" xr:uid="{EBA13CA2-73AB-4D37-A60D-8CAB8EB22840}"/>
    <cellStyle name="Normal 4 3 3 6 2 3" xfId="12357" xr:uid="{1291CC56-0DF8-4FF6-A62A-A57E4D644B32}"/>
    <cellStyle name="Normal 4 3 3 6 2 4" xfId="20804" xr:uid="{329A0A86-274E-4337-AE19-662BB9A1828B}"/>
    <cellStyle name="Normal 4 3 3 6 3" xfId="5988" xr:uid="{00000000-0005-0000-0000-0000A5140000}"/>
    <cellStyle name="Normal 4 3 3 6 3 2" xfId="14430" xr:uid="{5A16DD51-C114-4248-B32B-7641740FF06F}"/>
    <cellStyle name="Normal 4 3 3 6 3 3" xfId="22876" xr:uid="{C04E37B6-2F5E-481D-AF6B-AF2481D32A1E}"/>
    <cellStyle name="Normal 4 3 3 6 4" xfId="10212" xr:uid="{3B6E8B1C-FAB9-484A-A54B-6540CCD87822}"/>
    <cellStyle name="Normal 4 3 3 6 5" xfId="18657" xr:uid="{C50D07AF-4CF2-4675-A026-24F583F30E02}"/>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2DAD9A33-748D-4981-91E6-46486448A6DC}"/>
    <cellStyle name="Normal 4 3 3 7 2 2 3" xfId="25434" xr:uid="{869EDF91-0AEC-4525-85AE-5F51ADE562EF}"/>
    <cellStyle name="Normal 4 3 3 7 2 3" xfId="12770" xr:uid="{A41A7F24-C8D8-4F75-9A38-D78C9A74D033}"/>
    <cellStyle name="Normal 4 3 3 7 2 4" xfId="21217" xr:uid="{3C87C05C-5FF6-421B-8BE9-B47D50BD0404}"/>
    <cellStyle name="Normal 4 3 3 7 3" xfId="6401" xr:uid="{00000000-0005-0000-0000-0000A9140000}"/>
    <cellStyle name="Normal 4 3 3 7 3 2" xfId="14843" xr:uid="{10C55CF5-CB21-4B19-A7F5-15CB60BC5B3D}"/>
    <cellStyle name="Normal 4 3 3 7 3 3" xfId="23289" xr:uid="{30D504C6-97C0-4E29-96AC-DABC4C0EB628}"/>
    <cellStyle name="Normal 4 3 3 7 4" xfId="10625" xr:uid="{6F49D461-E887-4EEE-A0A0-DD4F04656708}"/>
    <cellStyle name="Normal 4 3 3 7 5" xfId="19070" xr:uid="{2053105E-D72E-43FF-A7BF-02DC85420CF2}"/>
    <cellStyle name="Normal 4 3 3 8" xfId="2530" xr:uid="{00000000-0005-0000-0000-0000AA140000}"/>
    <cellStyle name="Normal 4 3 3 8 2" xfId="6814" xr:uid="{00000000-0005-0000-0000-0000AB140000}"/>
    <cellStyle name="Normal 4 3 3 8 2 2" xfId="15256" xr:uid="{D9AD381E-F5C3-45EC-B2BE-840991AA85D0}"/>
    <cellStyle name="Normal 4 3 3 8 2 3" xfId="23702" xr:uid="{CFC010EF-8791-4FA2-8730-4BBF4C5CDC87}"/>
    <cellStyle name="Normal 4 3 3 8 3" xfId="11038" xr:uid="{2AAA7B31-05C6-4FEE-8CA5-6E763DF52E59}"/>
    <cellStyle name="Normal 4 3 3 8 4" xfId="19483" xr:uid="{2EF2860A-1959-4E07-96D5-B0BA5C070358}"/>
    <cellStyle name="Normal 4 3 3 9" xfId="4749" xr:uid="{00000000-0005-0000-0000-0000AC140000}"/>
    <cellStyle name="Normal 4 3 3 9 2" xfId="13191" xr:uid="{8A4F346F-4E81-475F-A303-A42E69964901}"/>
    <cellStyle name="Normal 4 3 3 9 3" xfId="21637" xr:uid="{2576D368-DED0-47E1-A245-7B1D6BC252F6}"/>
    <cellStyle name="Normal 4 3 4" xfId="842" xr:uid="{00000000-0005-0000-0000-0000AD140000}"/>
    <cellStyle name="Normal 4 3 4 2" xfId="3079" xr:uid="{00000000-0005-0000-0000-0000AE140000}"/>
    <cellStyle name="Normal 4 3 4 2 2" xfId="7302" xr:uid="{00000000-0005-0000-0000-0000AF140000}"/>
    <cellStyle name="Normal 4 3 4 2 2 2" xfId="15744" xr:uid="{C90A6E7F-AFA6-42BE-892D-9BA9C47022E5}"/>
    <cellStyle name="Normal 4 3 4 2 2 3" xfId="24190" xr:uid="{D656F779-21B4-447D-A0BE-AE676E739B8B}"/>
    <cellStyle name="Normal 4 3 4 2 3" xfId="11526" xr:uid="{C1C63ECE-2654-46E4-B31E-95CBB4D6430F}"/>
    <cellStyle name="Normal 4 3 4 2 4" xfId="19973" xr:uid="{727FA091-30BE-4BD8-864A-29BD8991C73F}"/>
    <cellStyle name="Normal 4 3 4 3" xfId="5157" xr:uid="{00000000-0005-0000-0000-0000B0140000}"/>
    <cellStyle name="Normal 4 3 4 3 2" xfId="13599" xr:uid="{8C9AEE8A-0594-4621-8F9B-44A6E8E1D963}"/>
    <cellStyle name="Normal 4 3 4 3 3" xfId="22045" xr:uid="{8147441F-2A66-421F-87F7-3C7D31A6DE7F}"/>
    <cellStyle name="Normal 4 3 4 4" xfId="9381" xr:uid="{A73871D8-B7B4-4FB1-9771-DAF658AB090A}"/>
    <cellStyle name="Normal 4 3 4 5" xfId="17826" xr:uid="{F56C143F-B4A2-41FA-959C-7728C6FEC5EA}"/>
    <cellStyle name="Normal 4 3 5" xfId="1262" xr:uid="{00000000-0005-0000-0000-0000B1140000}"/>
    <cellStyle name="Normal 4 3 5 2" xfId="3492" xr:uid="{00000000-0005-0000-0000-0000B2140000}"/>
    <cellStyle name="Normal 4 3 5 2 2" xfId="7715" xr:uid="{00000000-0005-0000-0000-0000B3140000}"/>
    <cellStyle name="Normal 4 3 5 2 2 2" xfId="16157" xr:uid="{EA4BF952-1276-429E-92AD-79C3B2393CD7}"/>
    <cellStyle name="Normal 4 3 5 2 2 3" xfId="24603" xr:uid="{7ACF1412-DE52-4601-A97D-B06E369EC489}"/>
    <cellStyle name="Normal 4 3 5 2 3" xfId="11939" xr:uid="{A6329067-3F43-48CD-B7C5-EFE45021D5A4}"/>
    <cellStyle name="Normal 4 3 5 2 4" xfId="20386" xr:uid="{E509C681-4C4F-4705-9522-136C0828D05D}"/>
    <cellStyle name="Normal 4 3 5 3" xfId="5570" xr:uid="{00000000-0005-0000-0000-0000B4140000}"/>
    <cellStyle name="Normal 4 3 5 3 2" xfId="14012" xr:uid="{AEC927C3-4EED-4366-B290-8459A9C7C685}"/>
    <cellStyle name="Normal 4 3 5 3 3" xfId="22458" xr:uid="{CE9FA5C4-A923-4788-AE43-F029146E1650}"/>
    <cellStyle name="Normal 4 3 5 4" xfId="9794" xr:uid="{4B73D435-7322-4D93-9563-400AA3D0C7F1}"/>
    <cellStyle name="Normal 4 3 5 5" xfId="18239" xr:uid="{4F07A9F0-1821-4384-A2BC-ECA9BE3CEBF2}"/>
    <cellStyle name="Normal 4 3 6" xfId="1675" xr:uid="{00000000-0005-0000-0000-0000B5140000}"/>
    <cellStyle name="Normal 4 3 6 2" xfId="3905" xr:uid="{00000000-0005-0000-0000-0000B6140000}"/>
    <cellStyle name="Normal 4 3 6 2 2" xfId="8128" xr:uid="{00000000-0005-0000-0000-0000B7140000}"/>
    <cellStyle name="Normal 4 3 6 2 2 2" xfId="16570" xr:uid="{89247D32-B7E8-491A-8D08-FB8820D82C4A}"/>
    <cellStyle name="Normal 4 3 6 2 2 3" xfId="25016" xr:uid="{8A373D7B-8F72-4E7F-8DC3-AD177BCE7C51}"/>
    <cellStyle name="Normal 4 3 6 2 3" xfId="12352" xr:uid="{10A799CA-A5C0-43FD-8443-DE634C8632A5}"/>
    <cellStyle name="Normal 4 3 6 2 4" xfId="20799" xr:uid="{6E96253A-F156-4C40-89A4-1763B6A37CFC}"/>
    <cellStyle name="Normal 4 3 6 3" xfId="5983" xr:uid="{00000000-0005-0000-0000-0000B8140000}"/>
    <cellStyle name="Normal 4 3 6 3 2" xfId="14425" xr:uid="{EB8714DA-6CE8-49FF-A4C5-BFCAC557BD96}"/>
    <cellStyle name="Normal 4 3 6 3 3" xfId="22871" xr:uid="{23C9EF37-5217-407D-A081-CCA945C51E29}"/>
    <cellStyle name="Normal 4 3 6 4" xfId="10207" xr:uid="{301D35A2-0135-4886-928C-E91EBFC333F2}"/>
    <cellStyle name="Normal 4 3 6 5" xfId="18652" xr:uid="{458D2EE5-D3ED-4F9A-A1D9-788B0F2347E0}"/>
    <cellStyle name="Normal 4 3 7" xfId="2089" xr:uid="{00000000-0005-0000-0000-0000B9140000}"/>
    <cellStyle name="Normal 4 3 7 2" xfId="4318" xr:uid="{00000000-0005-0000-0000-0000BA140000}"/>
    <cellStyle name="Normal 4 3 7 2 2" xfId="8541" xr:uid="{00000000-0005-0000-0000-0000BB140000}"/>
    <cellStyle name="Normal 4 3 7 2 2 2" xfId="16983" xr:uid="{10DDD565-0464-4513-BA5F-E9540C30ED02}"/>
    <cellStyle name="Normal 4 3 7 2 2 3" xfId="25429" xr:uid="{40643114-CE41-4CE0-8E78-185B97862944}"/>
    <cellStyle name="Normal 4 3 7 2 3" xfId="12765" xr:uid="{FE648B4D-27AA-418B-8BEE-F04900F11E9C}"/>
    <cellStyle name="Normal 4 3 7 2 4" xfId="21212" xr:uid="{721D5DB6-6BCB-4C75-BBCD-C282A6766D0D}"/>
    <cellStyle name="Normal 4 3 7 3" xfId="6396" xr:uid="{00000000-0005-0000-0000-0000BC140000}"/>
    <cellStyle name="Normal 4 3 7 3 2" xfId="14838" xr:uid="{77317AD4-0842-4EF0-9326-D2C878E3F4BE}"/>
    <cellStyle name="Normal 4 3 7 3 3" xfId="23284" xr:uid="{CA886E35-6B5A-4BEB-9574-4E134B54DEC8}"/>
    <cellStyle name="Normal 4 3 7 4" xfId="10620" xr:uid="{58B323B5-BA58-45C7-BF10-AEFADCA4B63B}"/>
    <cellStyle name="Normal 4 3 7 5" xfId="19065" xr:uid="{4EC87D20-C451-4062-9982-58B38D04B1E8}"/>
    <cellStyle name="Normal 4 3 8" xfId="2525" xr:uid="{00000000-0005-0000-0000-0000BD140000}"/>
    <cellStyle name="Normal 4 3 8 2" xfId="6809" xr:uid="{00000000-0005-0000-0000-0000BE140000}"/>
    <cellStyle name="Normal 4 3 8 2 2" xfId="15251" xr:uid="{FF2DF7E8-88A4-4209-950E-02AC3021FBB1}"/>
    <cellStyle name="Normal 4 3 8 2 3" xfId="23697" xr:uid="{D9DA872A-16C6-47E3-80C4-EEB2B0E83B25}"/>
    <cellStyle name="Normal 4 3 8 3" xfId="11033" xr:uid="{293A3A52-CCFE-467B-9C04-575D43604FCF}"/>
    <cellStyle name="Normal 4 3 8 4" xfId="19478" xr:uid="{57DF8208-83BA-40EF-989F-1E78EED54D9A}"/>
    <cellStyle name="Normal 4 3 9" xfId="4744" xr:uid="{00000000-0005-0000-0000-0000BF140000}"/>
    <cellStyle name="Normal 4 3 9 2" xfId="13186" xr:uid="{BC02447D-BE80-484E-A51D-E6204EC38F57}"/>
    <cellStyle name="Normal 4 3 9 3" xfId="21632" xr:uid="{0A986292-FD0C-4B52-8BDE-D56DF06B1743}"/>
    <cellStyle name="Normal 4 3_Item C7" xfId="25617" xr:uid="{B7296077-4E2D-4C53-8AFA-9AD42F745B5B}"/>
    <cellStyle name="Normal 4 4" xfId="378" xr:uid="{00000000-0005-0000-0000-0000C0140000}"/>
    <cellStyle name="Normal 4 4 10" xfId="2534" xr:uid="{00000000-0005-0000-0000-0000C1140000}"/>
    <cellStyle name="Normal 4 4 10 2" xfId="6818" xr:uid="{00000000-0005-0000-0000-0000C2140000}"/>
    <cellStyle name="Normal 4 4 10 2 2" xfId="15260" xr:uid="{AB1A79B4-7AFC-4293-8A6E-AD776ADB036B}"/>
    <cellStyle name="Normal 4 4 10 2 3" xfId="23706" xr:uid="{EDDF8B12-24E6-46A2-A82E-C91EF5B25475}"/>
    <cellStyle name="Normal 4 4 10 3" xfId="11042" xr:uid="{C4D058F5-DE65-438E-B276-014B7BA5FB93}"/>
    <cellStyle name="Normal 4 4 10 4" xfId="19487" xr:uid="{308AB86C-0124-4CDA-B4E1-F8C3B93CA816}"/>
    <cellStyle name="Normal 4 4 11" xfId="4753" xr:uid="{00000000-0005-0000-0000-0000C3140000}"/>
    <cellStyle name="Normal 4 4 11 2" xfId="13195" xr:uid="{9867A883-4295-4D65-A187-4A18ECC34E09}"/>
    <cellStyle name="Normal 4 4 11 3" xfId="21641" xr:uid="{751C1FCF-487E-4C4F-87C8-D1848D6A4CB4}"/>
    <cellStyle name="Normal 4 4 12" xfId="8977" xr:uid="{3D8166E8-204D-4E94-BC8D-13A0F8499CEA}"/>
    <cellStyle name="Normal 4 4 13" xfId="17421" xr:uid="{71C59D82-8394-443F-AD99-5467D666212F}"/>
    <cellStyle name="Normal 4 4 14" xfId="25720" xr:uid="{20D6B88D-3BBF-43AC-AE67-DB590D33A08D}"/>
    <cellStyle name="Normal 4 4 2" xfId="379" xr:uid="{00000000-0005-0000-0000-0000C4140000}"/>
    <cellStyle name="Normal 4 4 2 10" xfId="4754" xr:uid="{00000000-0005-0000-0000-0000C5140000}"/>
    <cellStyle name="Normal 4 4 2 10 2" xfId="13196" xr:uid="{67EFBFB2-3D64-4C12-92B9-0C2118A9EC42}"/>
    <cellStyle name="Normal 4 4 2 10 3" xfId="21642" xr:uid="{321BE20E-9BB8-4E0C-AE57-096C8F00B5D0}"/>
    <cellStyle name="Normal 4 4 2 11" xfId="8978" xr:uid="{781AA42E-87E3-4342-8357-A2A364DF1049}"/>
    <cellStyle name="Normal 4 4 2 12" xfId="17422" xr:uid="{E0B38775-51FC-4BE1-93BC-E7823498FCF8}"/>
    <cellStyle name="Normal 4 4 2 2" xfId="380" xr:uid="{00000000-0005-0000-0000-0000C6140000}"/>
    <cellStyle name="Normal 4 4 2 2 10" xfId="8979" xr:uid="{99AADA4C-AC52-4D06-8F2B-25BBB21C378E}"/>
    <cellStyle name="Normal 4 4 2 2 11" xfId="17423" xr:uid="{41745DF3-15F3-4E18-A545-19C30B30E33E}"/>
    <cellStyle name="Normal 4 4 2 2 2" xfId="381" xr:uid="{00000000-0005-0000-0000-0000C7140000}"/>
    <cellStyle name="Normal 4 4 2 2 2 10" xfId="17424" xr:uid="{EF5FB3EB-B132-4417-9AD6-7A1FB417C8AA}"/>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E414D442-7920-4A03-A566-B3B3D8D4B8C5}"/>
    <cellStyle name="Normal 4 4 2 2 2 2 2 2 2 3" xfId="24203" xr:uid="{E3585573-A90D-40B9-BF0E-4437878B33AF}"/>
    <cellStyle name="Normal 4 4 2 2 2 2 2 2 3" xfId="11539" xr:uid="{E8E48AA8-42D9-4ADB-A6CD-D5CE017ECC18}"/>
    <cellStyle name="Normal 4 4 2 2 2 2 2 2 4" xfId="19986" xr:uid="{39D8FD89-DA88-4383-BCCB-4A9487D25C39}"/>
    <cellStyle name="Normal 4 4 2 2 2 2 2 3" xfId="5170" xr:uid="{00000000-0005-0000-0000-0000CC140000}"/>
    <cellStyle name="Normal 4 4 2 2 2 2 2 3 2" xfId="13612" xr:uid="{E7DCDE15-638D-4917-88AE-D813A724EC60}"/>
    <cellStyle name="Normal 4 4 2 2 2 2 2 3 3" xfId="22058" xr:uid="{F0F06ABA-D6A5-4E97-9BEA-00350B10FBB1}"/>
    <cellStyle name="Normal 4 4 2 2 2 2 2 4" xfId="9394" xr:uid="{2573CB46-5717-4288-A2F8-68DD17DF49C4}"/>
    <cellStyle name="Normal 4 4 2 2 2 2 2 5" xfId="17839" xr:uid="{E47AB43F-A699-41C6-B537-864485B60ED3}"/>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9615C987-A7D7-402F-A933-A86C74E61F6B}"/>
    <cellStyle name="Normal 4 4 2 2 2 2 3 2 2 3" xfId="24616" xr:uid="{76D1C2A2-CE61-44DF-8B72-524F2C9B3428}"/>
    <cellStyle name="Normal 4 4 2 2 2 2 3 2 3" xfId="11952" xr:uid="{9C8A85DD-E772-4857-B643-918C76359A82}"/>
    <cellStyle name="Normal 4 4 2 2 2 2 3 2 4" xfId="20399" xr:uid="{FED50ECB-FFEE-4091-82E9-8557CCAE9F3C}"/>
    <cellStyle name="Normal 4 4 2 2 2 2 3 3" xfId="5583" xr:uid="{00000000-0005-0000-0000-0000D0140000}"/>
    <cellStyle name="Normal 4 4 2 2 2 2 3 3 2" xfId="14025" xr:uid="{0B367186-A09D-41CC-8119-0803D7E1E873}"/>
    <cellStyle name="Normal 4 4 2 2 2 2 3 3 3" xfId="22471" xr:uid="{0CF75330-B5A8-4F03-8795-4B06A32E53FB}"/>
    <cellStyle name="Normal 4 4 2 2 2 2 3 4" xfId="9807" xr:uid="{1211D8DE-A6EB-4FB6-8FF3-76C4B5290BED}"/>
    <cellStyle name="Normal 4 4 2 2 2 2 3 5" xfId="18252" xr:uid="{19C98069-8E2D-4947-815D-756E7AAFD3E1}"/>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D1148816-3E09-4593-9B11-99B70C35E29A}"/>
    <cellStyle name="Normal 4 4 2 2 2 2 4 2 2 3" xfId="25029" xr:uid="{C3EF9B34-1B45-4F57-9264-524BB112B51A}"/>
    <cellStyle name="Normal 4 4 2 2 2 2 4 2 3" xfId="12365" xr:uid="{F9C900C4-3D46-4292-9D2E-BDA4CB6B4115}"/>
    <cellStyle name="Normal 4 4 2 2 2 2 4 2 4" xfId="20812" xr:uid="{EAE33D40-517A-4754-A734-5E253BB42600}"/>
    <cellStyle name="Normal 4 4 2 2 2 2 4 3" xfId="5996" xr:uid="{00000000-0005-0000-0000-0000D4140000}"/>
    <cellStyle name="Normal 4 4 2 2 2 2 4 3 2" xfId="14438" xr:uid="{AF869D41-1C07-40D9-B38F-CDE7B98F9226}"/>
    <cellStyle name="Normal 4 4 2 2 2 2 4 3 3" xfId="22884" xr:uid="{A187311D-8C1F-4725-AC7A-783D52715797}"/>
    <cellStyle name="Normal 4 4 2 2 2 2 4 4" xfId="10220" xr:uid="{01CF7C5B-8BCC-4FB2-B756-27EA07D3A3F7}"/>
    <cellStyle name="Normal 4 4 2 2 2 2 4 5" xfId="18665" xr:uid="{29AD211C-1D05-4957-8204-F009C075B82D}"/>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9BD72CFE-130F-4C82-BDFB-79D6F486505A}"/>
    <cellStyle name="Normal 4 4 2 2 2 2 5 2 2 3" xfId="25442" xr:uid="{03E7A4AA-2E9F-4BF1-A227-9889B38CB5D0}"/>
    <cellStyle name="Normal 4 4 2 2 2 2 5 2 3" xfId="12778" xr:uid="{B0AED4BA-7798-4CA4-B479-F8AEF383C96C}"/>
    <cellStyle name="Normal 4 4 2 2 2 2 5 2 4" xfId="21225" xr:uid="{522B81A7-DC0E-4CC2-9F66-EEB56766D2DE}"/>
    <cellStyle name="Normal 4 4 2 2 2 2 5 3" xfId="6409" xr:uid="{00000000-0005-0000-0000-0000D8140000}"/>
    <cellStyle name="Normal 4 4 2 2 2 2 5 3 2" xfId="14851" xr:uid="{FAEAAB26-E93F-4937-A561-3E30F5BDCA53}"/>
    <cellStyle name="Normal 4 4 2 2 2 2 5 3 3" xfId="23297" xr:uid="{9B3B0A43-A1B4-464B-ABAA-FBDC6E786F48}"/>
    <cellStyle name="Normal 4 4 2 2 2 2 5 4" xfId="10633" xr:uid="{E99F1B22-FEE3-491F-A111-512B76F4E0B4}"/>
    <cellStyle name="Normal 4 4 2 2 2 2 5 5" xfId="19078" xr:uid="{D5973A30-6735-46C8-BCEB-BC140CF7B246}"/>
    <cellStyle name="Normal 4 4 2 2 2 2 6" xfId="2538" xr:uid="{00000000-0005-0000-0000-0000D9140000}"/>
    <cellStyle name="Normal 4 4 2 2 2 2 6 2" xfId="6822" xr:uid="{00000000-0005-0000-0000-0000DA140000}"/>
    <cellStyle name="Normal 4 4 2 2 2 2 6 2 2" xfId="15264" xr:uid="{BB440ADE-EF86-4C88-BE75-2BF9E1DE93F8}"/>
    <cellStyle name="Normal 4 4 2 2 2 2 6 2 3" xfId="23710" xr:uid="{656C07BC-2364-41F9-AB77-D005B25B40A1}"/>
    <cellStyle name="Normal 4 4 2 2 2 2 6 3" xfId="11046" xr:uid="{1F98B453-2B5D-46E4-86C8-981ECF7EBF7C}"/>
    <cellStyle name="Normal 4 4 2 2 2 2 6 4" xfId="19491" xr:uid="{F9C1BC6A-6793-4742-89CC-9A8459F6861F}"/>
    <cellStyle name="Normal 4 4 2 2 2 2 7" xfId="4757" xr:uid="{00000000-0005-0000-0000-0000DB140000}"/>
    <cellStyle name="Normal 4 4 2 2 2 2 7 2" xfId="13199" xr:uid="{871798A4-0D21-4442-9FF3-871097908912}"/>
    <cellStyle name="Normal 4 4 2 2 2 2 7 3" xfId="21645" xr:uid="{BB8D6DC2-539E-4362-950E-8D6FB6280766}"/>
    <cellStyle name="Normal 4 4 2 2 2 2 8" xfId="8981" xr:uid="{FE52206F-C212-466C-9950-C858CBF5960E}"/>
    <cellStyle name="Normal 4 4 2 2 2 2 9" xfId="17425" xr:uid="{74F0EE5B-18C4-43BB-8C07-8ED0269ED694}"/>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CDECEE44-FC04-4D83-97AB-E839BD2A2B7B}"/>
    <cellStyle name="Normal 4 4 2 2 2 3 2 2 3" xfId="24202" xr:uid="{5057D79E-F3F7-4A12-8CCC-DB5657BA9C3A}"/>
    <cellStyle name="Normal 4 4 2 2 2 3 2 3" xfId="11538" xr:uid="{A6D700E7-A24E-472A-8AF3-8F0C24CB9924}"/>
    <cellStyle name="Normal 4 4 2 2 2 3 2 4" xfId="19985" xr:uid="{7EF586EE-A285-4A72-BD9F-1B293F9F5D96}"/>
    <cellStyle name="Normal 4 4 2 2 2 3 3" xfId="5169" xr:uid="{00000000-0005-0000-0000-0000DF140000}"/>
    <cellStyle name="Normal 4 4 2 2 2 3 3 2" xfId="13611" xr:uid="{E91069DB-4752-4EB8-80E7-CA647AF13D88}"/>
    <cellStyle name="Normal 4 4 2 2 2 3 3 3" xfId="22057" xr:uid="{90C8CD6C-DE8D-45BF-9936-81205F451A90}"/>
    <cellStyle name="Normal 4 4 2 2 2 3 4" xfId="9393" xr:uid="{97422963-C4D0-4A67-BE8A-C93EA80542F7}"/>
    <cellStyle name="Normal 4 4 2 2 2 3 5" xfId="17838" xr:uid="{6232CF2F-9B87-473F-A1F8-3193803CD222}"/>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29792DB4-1EF2-4107-9A4F-D0C95DD2EC8B}"/>
    <cellStyle name="Normal 4 4 2 2 2 4 2 2 3" xfId="24615" xr:uid="{4C0F9E77-37FA-4DE6-A429-D280BF8C934A}"/>
    <cellStyle name="Normal 4 4 2 2 2 4 2 3" xfId="11951" xr:uid="{F2541BE0-9775-4D40-86A3-7FB465F27BE6}"/>
    <cellStyle name="Normal 4 4 2 2 2 4 2 4" xfId="20398" xr:uid="{5A5681E7-2742-4FA9-85EB-216B84D5BA58}"/>
    <cellStyle name="Normal 4 4 2 2 2 4 3" xfId="5582" xr:uid="{00000000-0005-0000-0000-0000E3140000}"/>
    <cellStyle name="Normal 4 4 2 2 2 4 3 2" xfId="14024" xr:uid="{5B50DCB5-60EB-4978-8393-C2053D4DE314}"/>
    <cellStyle name="Normal 4 4 2 2 2 4 3 3" xfId="22470" xr:uid="{A9C4CF92-7CB9-4526-89E1-FD1A1D3D2B97}"/>
    <cellStyle name="Normal 4 4 2 2 2 4 4" xfId="9806" xr:uid="{E3489C51-C1DB-43A0-ADBE-BD368862D54B}"/>
    <cellStyle name="Normal 4 4 2 2 2 4 5" xfId="18251" xr:uid="{333C823D-D467-4594-80AE-FFD034AFFEAB}"/>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59E118D3-E8ED-4949-BF11-3FEB8217987D}"/>
    <cellStyle name="Normal 4 4 2 2 2 5 2 2 3" xfId="25028" xr:uid="{A580D473-CDB4-4227-A9FA-426E147073B6}"/>
    <cellStyle name="Normal 4 4 2 2 2 5 2 3" xfId="12364" xr:uid="{6F773D83-9FE7-42B6-9F7B-E32E9777A755}"/>
    <cellStyle name="Normal 4 4 2 2 2 5 2 4" xfId="20811" xr:uid="{9031A206-0D36-4A6A-BAE0-2C64B3BCD030}"/>
    <cellStyle name="Normal 4 4 2 2 2 5 3" xfId="5995" xr:uid="{00000000-0005-0000-0000-0000E7140000}"/>
    <cellStyle name="Normal 4 4 2 2 2 5 3 2" xfId="14437" xr:uid="{B116B85E-587A-49F5-A352-8D0179DE813A}"/>
    <cellStyle name="Normal 4 4 2 2 2 5 3 3" xfId="22883" xr:uid="{E87C2604-9EB9-4AE8-ACC2-63F487B38380}"/>
    <cellStyle name="Normal 4 4 2 2 2 5 4" xfId="10219" xr:uid="{776C4FAC-B94D-44E3-BC63-958F169130CE}"/>
    <cellStyle name="Normal 4 4 2 2 2 5 5" xfId="18664" xr:uid="{6D22F81E-1E7D-40B7-A430-0E16D6F90DCD}"/>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AFA233FA-CB1D-4E27-84CB-597F06E3F56B}"/>
    <cellStyle name="Normal 4 4 2 2 2 6 2 2 3" xfId="25441" xr:uid="{187FDBED-9545-4E86-9E53-B3A667A5EA9B}"/>
    <cellStyle name="Normal 4 4 2 2 2 6 2 3" xfId="12777" xr:uid="{9BAA35DC-5723-4527-830E-A9BD2C9E58BE}"/>
    <cellStyle name="Normal 4 4 2 2 2 6 2 4" xfId="21224" xr:uid="{7FD043CF-C039-4B01-B550-7491481BE6F2}"/>
    <cellStyle name="Normal 4 4 2 2 2 6 3" xfId="6408" xr:uid="{00000000-0005-0000-0000-0000EB140000}"/>
    <cellStyle name="Normal 4 4 2 2 2 6 3 2" xfId="14850" xr:uid="{562FBAF6-DD49-4B58-BAED-4D80F6D1FA02}"/>
    <cellStyle name="Normal 4 4 2 2 2 6 3 3" xfId="23296" xr:uid="{77329E22-7F27-4B15-9CE0-7C7981911156}"/>
    <cellStyle name="Normal 4 4 2 2 2 6 4" xfId="10632" xr:uid="{8A0F1F4E-49E8-45AC-A328-A52511C0A3BC}"/>
    <cellStyle name="Normal 4 4 2 2 2 6 5" xfId="19077" xr:uid="{57EE45B2-C486-4D2D-8688-D5D7A053F8C6}"/>
    <cellStyle name="Normal 4 4 2 2 2 7" xfId="2537" xr:uid="{00000000-0005-0000-0000-0000EC140000}"/>
    <cellStyle name="Normal 4 4 2 2 2 7 2" xfId="6821" xr:uid="{00000000-0005-0000-0000-0000ED140000}"/>
    <cellStyle name="Normal 4 4 2 2 2 7 2 2" xfId="15263" xr:uid="{B9CEAC26-06D9-4D68-B073-BF29A1E4C500}"/>
    <cellStyle name="Normal 4 4 2 2 2 7 2 3" xfId="23709" xr:uid="{18642A77-F4F7-4AAB-A7AC-3E1E31C47152}"/>
    <cellStyle name="Normal 4 4 2 2 2 7 3" xfId="11045" xr:uid="{67827768-ABDD-4F04-9008-608541286A71}"/>
    <cellStyle name="Normal 4 4 2 2 2 7 4" xfId="19490" xr:uid="{ABAD6AB0-60D3-4596-98B6-D61755150036}"/>
    <cellStyle name="Normal 4 4 2 2 2 8" xfId="4756" xr:uid="{00000000-0005-0000-0000-0000EE140000}"/>
    <cellStyle name="Normal 4 4 2 2 2 8 2" xfId="13198" xr:uid="{A6179DD1-B86A-44F0-8529-7708E628DB35}"/>
    <cellStyle name="Normal 4 4 2 2 2 8 3" xfId="21644" xr:uid="{94964436-9741-4C93-8E53-8DF301695B6C}"/>
    <cellStyle name="Normal 4 4 2 2 2 9" xfId="8980" xr:uid="{A444D0AD-D69D-4D45-90FD-C960945E8283}"/>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AED787B0-08CE-41F8-932B-8744938C39EC}"/>
    <cellStyle name="Normal 4 4 2 2 3 2 2 2 3" xfId="24204" xr:uid="{CE38959B-926A-41EA-B5DD-42F8D57BDB09}"/>
    <cellStyle name="Normal 4 4 2 2 3 2 2 3" xfId="11540" xr:uid="{C987466D-114D-42E1-AB40-2ECCB07AF978}"/>
    <cellStyle name="Normal 4 4 2 2 3 2 2 4" xfId="19987" xr:uid="{2686F48E-DB3E-4A82-98CA-33FF06A43057}"/>
    <cellStyle name="Normal 4 4 2 2 3 2 3" xfId="5171" xr:uid="{00000000-0005-0000-0000-0000F3140000}"/>
    <cellStyle name="Normal 4 4 2 2 3 2 3 2" xfId="13613" xr:uid="{671DA100-FC15-4067-9E05-8E201596D711}"/>
    <cellStyle name="Normal 4 4 2 2 3 2 3 3" xfId="22059" xr:uid="{CD8B78C0-7810-41D9-AFD5-7CD27C0A03FD}"/>
    <cellStyle name="Normal 4 4 2 2 3 2 4" xfId="9395" xr:uid="{FD43E7B1-5F2D-4656-B8F0-4CC2B3863F7D}"/>
    <cellStyle name="Normal 4 4 2 2 3 2 5" xfId="17840" xr:uid="{E77007CF-F3C0-480C-B990-1E070E646933}"/>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B6C46B02-DF11-41CF-9DB3-8A9AAF8FE37F}"/>
    <cellStyle name="Normal 4 4 2 2 3 3 2 2 3" xfId="24617" xr:uid="{403C3B0A-1AE3-40A8-8ABA-39941701F23B}"/>
    <cellStyle name="Normal 4 4 2 2 3 3 2 3" xfId="11953" xr:uid="{89D3A805-BC79-452B-ACBB-BE3316D08ED9}"/>
    <cellStyle name="Normal 4 4 2 2 3 3 2 4" xfId="20400" xr:uid="{AF2F92C9-CC59-4863-97F7-07F3176F1936}"/>
    <cellStyle name="Normal 4 4 2 2 3 3 3" xfId="5584" xr:uid="{00000000-0005-0000-0000-0000F7140000}"/>
    <cellStyle name="Normal 4 4 2 2 3 3 3 2" xfId="14026" xr:uid="{30D211B2-EADB-44EE-8DC1-52FE3F32189B}"/>
    <cellStyle name="Normal 4 4 2 2 3 3 3 3" xfId="22472" xr:uid="{0C119856-9448-4324-B7B2-1E968CA930E9}"/>
    <cellStyle name="Normal 4 4 2 2 3 3 4" xfId="9808" xr:uid="{D6ED0474-CA09-459D-9E8E-19BF268D614B}"/>
    <cellStyle name="Normal 4 4 2 2 3 3 5" xfId="18253" xr:uid="{50CB0607-815B-422C-859D-CD9E5326FB71}"/>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19696381-BA6C-4DC1-97DB-40925EC3F522}"/>
    <cellStyle name="Normal 4 4 2 2 3 4 2 2 3" xfId="25030" xr:uid="{0EA53C3D-0546-443A-A293-4370E4D417CB}"/>
    <cellStyle name="Normal 4 4 2 2 3 4 2 3" xfId="12366" xr:uid="{728563C0-1F5B-439A-9C55-21E75F31A6AB}"/>
    <cellStyle name="Normal 4 4 2 2 3 4 2 4" xfId="20813" xr:uid="{B7BEA389-9EEE-45E1-8231-AB0F27E70C61}"/>
    <cellStyle name="Normal 4 4 2 2 3 4 3" xfId="5997" xr:uid="{00000000-0005-0000-0000-0000FB140000}"/>
    <cellStyle name="Normal 4 4 2 2 3 4 3 2" xfId="14439" xr:uid="{116F910E-14D5-4A78-A090-E9A25D0ABD71}"/>
    <cellStyle name="Normal 4 4 2 2 3 4 3 3" xfId="22885" xr:uid="{810CBFFF-B44C-4F7C-A14B-5F46C3C6364C}"/>
    <cellStyle name="Normal 4 4 2 2 3 4 4" xfId="10221" xr:uid="{CFA9545D-8B98-4F4F-B75B-5EB18E76008D}"/>
    <cellStyle name="Normal 4 4 2 2 3 4 5" xfId="18666" xr:uid="{3DA9FB3B-BF94-4244-A7BD-77F27312F319}"/>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C9CE702A-D78D-401C-B10A-0F7742E69961}"/>
    <cellStyle name="Normal 4 4 2 2 3 5 2 2 3" xfId="25443" xr:uid="{EE6865EF-6E4B-4E4F-8790-E676B30B2648}"/>
    <cellStyle name="Normal 4 4 2 2 3 5 2 3" xfId="12779" xr:uid="{F66D87A7-C708-4D82-B50B-088CFF257AAB}"/>
    <cellStyle name="Normal 4 4 2 2 3 5 2 4" xfId="21226" xr:uid="{58676ACD-8480-47FE-9695-13486CCBC8BC}"/>
    <cellStyle name="Normal 4 4 2 2 3 5 3" xfId="6410" xr:uid="{00000000-0005-0000-0000-0000FF140000}"/>
    <cellStyle name="Normal 4 4 2 2 3 5 3 2" xfId="14852" xr:uid="{751DE0E2-F1B2-4CB8-8CE1-E31F72E137AC}"/>
    <cellStyle name="Normal 4 4 2 2 3 5 3 3" xfId="23298" xr:uid="{8448BA72-7BEC-43CB-B232-6C3FF8AD2967}"/>
    <cellStyle name="Normal 4 4 2 2 3 5 4" xfId="10634" xr:uid="{B6D9D308-6AAB-448E-B376-581736308161}"/>
    <cellStyle name="Normal 4 4 2 2 3 5 5" xfId="19079" xr:uid="{4AAC80DF-8254-4F22-AC74-C4A92ED27E54}"/>
    <cellStyle name="Normal 4 4 2 2 3 6" xfId="2539" xr:uid="{00000000-0005-0000-0000-000000150000}"/>
    <cellStyle name="Normal 4 4 2 2 3 6 2" xfId="6823" xr:uid="{00000000-0005-0000-0000-000001150000}"/>
    <cellStyle name="Normal 4 4 2 2 3 6 2 2" xfId="15265" xr:uid="{1130B2A5-A349-41A9-953B-408BBFB8E3E2}"/>
    <cellStyle name="Normal 4 4 2 2 3 6 2 3" xfId="23711" xr:uid="{EDC5C197-47C9-4EBA-8EF4-2744C6B6FD95}"/>
    <cellStyle name="Normal 4 4 2 2 3 6 3" xfId="11047" xr:uid="{474D08A2-E1D9-40F9-B7C5-511DFF6E6DB6}"/>
    <cellStyle name="Normal 4 4 2 2 3 6 4" xfId="19492" xr:uid="{47A66E23-8C49-42C5-9201-84406A446A94}"/>
    <cellStyle name="Normal 4 4 2 2 3 7" xfId="4758" xr:uid="{00000000-0005-0000-0000-000002150000}"/>
    <cellStyle name="Normal 4 4 2 2 3 7 2" xfId="13200" xr:uid="{B580DD39-6AB6-4496-9E26-5BF6A0608336}"/>
    <cellStyle name="Normal 4 4 2 2 3 7 3" xfId="21646" xr:uid="{F94E0224-BFF7-4CC5-B251-0D1CF66D50B6}"/>
    <cellStyle name="Normal 4 4 2 2 3 8" xfId="8982" xr:uid="{DB6CAB5A-1615-4FEE-8E31-CBDAAB48B65C}"/>
    <cellStyle name="Normal 4 4 2 2 3 9" xfId="17426" xr:uid="{7464F484-4EA6-45DE-AAFD-F5EBF572A583}"/>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E1070132-05A8-4CE3-83B0-AD5A08EAF768}"/>
    <cellStyle name="Normal 4 4 2 2 4 2 2 3" xfId="24201" xr:uid="{F088C39B-E5C4-40A7-B3BC-F4B62C429638}"/>
    <cellStyle name="Normal 4 4 2 2 4 2 3" xfId="11537" xr:uid="{DB125ACB-A9C4-4195-B2AD-5D3BB1BD8ED4}"/>
    <cellStyle name="Normal 4 4 2 2 4 2 4" xfId="19984" xr:uid="{0ACB7689-1A26-4C72-8B25-7AB1CDF14B79}"/>
    <cellStyle name="Normal 4 4 2 2 4 3" xfId="5168" xr:uid="{00000000-0005-0000-0000-000006150000}"/>
    <cellStyle name="Normal 4 4 2 2 4 3 2" xfId="13610" xr:uid="{6718969B-F005-4297-ACB5-32632FA93CCB}"/>
    <cellStyle name="Normal 4 4 2 2 4 3 3" xfId="22056" xr:uid="{B83B1AE8-404D-44FD-A2D1-2A69460106A4}"/>
    <cellStyle name="Normal 4 4 2 2 4 4" xfId="9392" xr:uid="{2CF11349-2718-44D4-B7EF-950BEE07D3A2}"/>
    <cellStyle name="Normal 4 4 2 2 4 5" xfId="17837" xr:uid="{9DA27E85-22DC-4501-ABE7-5B7BA471CA9A}"/>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5E2DFEE6-ED48-478D-BB67-BF5CD8152D2F}"/>
    <cellStyle name="Normal 4 4 2 2 5 2 2 3" xfId="24614" xr:uid="{E24D8CD8-B4D8-4FED-85D4-B47B2FBB9F04}"/>
    <cellStyle name="Normal 4 4 2 2 5 2 3" xfId="11950" xr:uid="{ED7A38A7-71DD-4B2A-BA14-8779BE68F08E}"/>
    <cellStyle name="Normal 4 4 2 2 5 2 4" xfId="20397" xr:uid="{C411E8F7-C210-43B7-95E1-CA5C72425312}"/>
    <cellStyle name="Normal 4 4 2 2 5 3" xfId="5581" xr:uid="{00000000-0005-0000-0000-00000A150000}"/>
    <cellStyle name="Normal 4 4 2 2 5 3 2" xfId="14023" xr:uid="{6126948A-49F1-4411-8366-593A21841333}"/>
    <cellStyle name="Normal 4 4 2 2 5 3 3" xfId="22469" xr:uid="{0FAE0BD8-CFF9-4639-918C-E842EBAAC234}"/>
    <cellStyle name="Normal 4 4 2 2 5 4" xfId="9805" xr:uid="{1191FEC7-D151-4F77-8D8A-8C2FD5F868CA}"/>
    <cellStyle name="Normal 4 4 2 2 5 5" xfId="18250" xr:uid="{E1373812-95A5-4A43-81C4-353BBE43710E}"/>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432F4110-EA8B-45C8-B475-365487432E0C}"/>
    <cellStyle name="Normal 4 4 2 2 6 2 2 3" xfId="25027" xr:uid="{0C716A52-22E3-4D53-844E-791E4E70D4FA}"/>
    <cellStyle name="Normal 4 4 2 2 6 2 3" xfId="12363" xr:uid="{12894E7C-4DA6-4B51-A378-92FE6E67E14A}"/>
    <cellStyle name="Normal 4 4 2 2 6 2 4" xfId="20810" xr:uid="{7A8699AD-EBE2-455B-B7CA-B2205CFC3167}"/>
    <cellStyle name="Normal 4 4 2 2 6 3" xfId="5994" xr:uid="{00000000-0005-0000-0000-00000E150000}"/>
    <cellStyle name="Normal 4 4 2 2 6 3 2" xfId="14436" xr:uid="{F955C79A-A447-49F1-8AF4-01785A54F918}"/>
    <cellStyle name="Normal 4 4 2 2 6 3 3" xfId="22882" xr:uid="{7C9EAD2B-4A22-4018-80F1-EB204564CCBA}"/>
    <cellStyle name="Normal 4 4 2 2 6 4" xfId="10218" xr:uid="{D57D858F-E1C6-4E02-8A14-15126502C0B9}"/>
    <cellStyle name="Normal 4 4 2 2 6 5" xfId="18663" xr:uid="{0F3A65A0-383E-4C34-964A-E68D9ABDC102}"/>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8AD5FD1E-A01F-4F9E-85A7-7557F0FE0262}"/>
    <cellStyle name="Normal 4 4 2 2 7 2 2 3" xfId="25440" xr:uid="{095AD20C-A3B0-498D-8A33-327D1D6CA079}"/>
    <cellStyle name="Normal 4 4 2 2 7 2 3" xfId="12776" xr:uid="{760F05DF-EC1B-4FAE-9564-2D1A0C745244}"/>
    <cellStyle name="Normal 4 4 2 2 7 2 4" xfId="21223" xr:uid="{403753C8-DE2A-4F6E-BD81-57F0C6F36C0C}"/>
    <cellStyle name="Normal 4 4 2 2 7 3" xfId="6407" xr:uid="{00000000-0005-0000-0000-000012150000}"/>
    <cellStyle name="Normal 4 4 2 2 7 3 2" xfId="14849" xr:uid="{42AD3F34-57E5-49E2-B4E7-31329D4F9CE1}"/>
    <cellStyle name="Normal 4 4 2 2 7 3 3" xfId="23295" xr:uid="{73296457-9B60-4312-9F66-6C8BF855F1D2}"/>
    <cellStyle name="Normal 4 4 2 2 7 4" xfId="10631" xr:uid="{428AD3EA-20C6-478C-9BE0-CAA6F54D785E}"/>
    <cellStyle name="Normal 4 4 2 2 7 5" xfId="19076" xr:uid="{2CA036A2-1255-4EF0-8D86-3F1920ED8FA0}"/>
    <cellStyle name="Normal 4 4 2 2 8" xfId="2536" xr:uid="{00000000-0005-0000-0000-000013150000}"/>
    <cellStyle name="Normal 4 4 2 2 8 2" xfId="6820" xr:uid="{00000000-0005-0000-0000-000014150000}"/>
    <cellStyle name="Normal 4 4 2 2 8 2 2" xfId="15262" xr:uid="{D6A2C1F5-CA8F-4D45-B7F3-21A337D19A77}"/>
    <cellStyle name="Normal 4 4 2 2 8 2 3" xfId="23708" xr:uid="{FC2A5B64-EBA7-40D9-8B74-9647D2C539F2}"/>
    <cellStyle name="Normal 4 4 2 2 8 3" xfId="11044" xr:uid="{1EBB362B-DB04-4678-B03D-CFE704634D1B}"/>
    <cellStyle name="Normal 4 4 2 2 8 4" xfId="19489" xr:uid="{7DB610A6-CEB2-4836-A198-D4EED1B7453E}"/>
    <cellStyle name="Normal 4 4 2 2 9" xfId="4755" xr:uid="{00000000-0005-0000-0000-000015150000}"/>
    <cellStyle name="Normal 4 4 2 2 9 2" xfId="13197" xr:uid="{9CB5801D-79B5-4F21-9839-C9120B02FBA9}"/>
    <cellStyle name="Normal 4 4 2 2 9 3" xfId="21643" xr:uid="{2DA7E8E5-D54E-49F2-A4C8-82CAE8D40CB4}"/>
    <cellStyle name="Normal 4 4 2 3" xfId="384" xr:uid="{00000000-0005-0000-0000-000016150000}"/>
    <cellStyle name="Normal 4 4 2 3 10" xfId="17427" xr:uid="{E57FDC55-C3E6-4364-A065-AA2DA7B5B03F}"/>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F3B2783A-D72B-4868-986F-7F9F79033489}"/>
    <cellStyle name="Normal 4 4 2 3 2 2 2 2 3" xfId="24206" xr:uid="{E97F3770-2030-490A-9E8D-F3FF01D583E7}"/>
    <cellStyle name="Normal 4 4 2 3 2 2 2 3" xfId="11542" xr:uid="{35FE6458-1F86-40FC-AC70-C7B60C5AF692}"/>
    <cellStyle name="Normal 4 4 2 3 2 2 2 4" xfId="19989" xr:uid="{A7F038C1-8AAE-4AD9-AD78-133BEFF3C9D5}"/>
    <cellStyle name="Normal 4 4 2 3 2 2 3" xfId="5173" xr:uid="{00000000-0005-0000-0000-00001B150000}"/>
    <cellStyle name="Normal 4 4 2 3 2 2 3 2" xfId="13615" xr:uid="{6ABC92A9-E5A6-463F-818A-0C9A6A579ECB}"/>
    <cellStyle name="Normal 4 4 2 3 2 2 3 3" xfId="22061" xr:uid="{0A7BD837-8D4A-4193-86ED-772E6282CCAE}"/>
    <cellStyle name="Normal 4 4 2 3 2 2 4" xfId="9397" xr:uid="{61B7B241-24E7-4786-BD4A-8E0215346CA4}"/>
    <cellStyle name="Normal 4 4 2 3 2 2 5" xfId="17842" xr:uid="{B552EC70-07CB-4C86-865A-7BF99470C4C4}"/>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A7E05B21-D4C1-44B4-8581-D2EB06B8FE64}"/>
    <cellStyle name="Normal 4 4 2 3 2 3 2 2 3" xfId="24619" xr:uid="{C2FCFF74-404D-4C67-BA3C-286D9C988DF8}"/>
    <cellStyle name="Normal 4 4 2 3 2 3 2 3" xfId="11955" xr:uid="{179F26F7-3F2E-4DC2-9BA1-8F6C05BC22B9}"/>
    <cellStyle name="Normal 4 4 2 3 2 3 2 4" xfId="20402" xr:uid="{8EBB6545-0792-4930-8D23-6369261031DA}"/>
    <cellStyle name="Normal 4 4 2 3 2 3 3" xfId="5586" xr:uid="{00000000-0005-0000-0000-00001F150000}"/>
    <cellStyle name="Normal 4 4 2 3 2 3 3 2" xfId="14028" xr:uid="{7AA91B38-EB48-4DD6-B72B-08388FB966F9}"/>
    <cellStyle name="Normal 4 4 2 3 2 3 3 3" xfId="22474" xr:uid="{8C27BBA2-5F99-4B70-B981-D2283EAD27A1}"/>
    <cellStyle name="Normal 4 4 2 3 2 3 4" xfId="9810" xr:uid="{624F8831-1A49-449D-9223-F3B18896D318}"/>
    <cellStyle name="Normal 4 4 2 3 2 3 5" xfId="18255" xr:uid="{6E2DE728-A063-4002-9B78-079E0189B41C}"/>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00E8715C-F3F2-479E-83F4-0579F757E14D}"/>
    <cellStyle name="Normal 4 4 2 3 2 4 2 2 3" xfId="25032" xr:uid="{C3086284-C7EF-4112-9DC5-CB42DC06F8A9}"/>
    <cellStyle name="Normal 4 4 2 3 2 4 2 3" xfId="12368" xr:uid="{FD9970D9-8572-49B5-9F33-A23A39C24729}"/>
    <cellStyle name="Normal 4 4 2 3 2 4 2 4" xfId="20815" xr:uid="{222766D3-BEBB-47D8-BF4F-8E60E957F6C0}"/>
    <cellStyle name="Normal 4 4 2 3 2 4 3" xfId="5999" xr:uid="{00000000-0005-0000-0000-000023150000}"/>
    <cellStyle name="Normal 4 4 2 3 2 4 3 2" xfId="14441" xr:uid="{23F6A416-A60F-4922-8C50-5FD729F718AE}"/>
    <cellStyle name="Normal 4 4 2 3 2 4 3 3" xfId="22887" xr:uid="{14EE2404-7BE3-4F85-A3C1-551A8EBECCBE}"/>
    <cellStyle name="Normal 4 4 2 3 2 4 4" xfId="10223" xr:uid="{A9F65570-DBBA-47B5-96AB-C6A25A23A294}"/>
    <cellStyle name="Normal 4 4 2 3 2 4 5" xfId="18668" xr:uid="{8B71F61A-90E2-4D4C-9CA8-3FC177389754}"/>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2FDB954F-F6A2-426B-98B1-6614DA4F24FB}"/>
    <cellStyle name="Normal 4 4 2 3 2 5 2 2 3" xfId="25445" xr:uid="{012A130F-EFB3-4D72-9D3E-856296C80026}"/>
    <cellStyle name="Normal 4 4 2 3 2 5 2 3" xfId="12781" xr:uid="{BB0987E3-B5C7-4F6D-8090-9ADEC6D1B307}"/>
    <cellStyle name="Normal 4 4 2 3 2 5 2 4" xfId="21228" xr:uid="{E3E5CB99-8FB5-4248-BA1E-6E12422A16F5}"/>
    <cellStyle name="Normal 4 4 2 3 2 5 3" xfId="6412" xr:uid="{00000000-0005-0000-0000-000027150000}"/>
    <cellStyle name="Normal 4 4 2 3 2 5 3 2" xfId="14854" xr:uid="{2917B9A4-2BDA-42E1-B75C-313EBCE792E6}"/>
    <cellStyle name="Normal 4 4 2 3 2 5 3 3" xfId="23300" xr:uid="{08F26F37-692E-4E16-916C-2B781DA955C0}"/>
    <cellStyle name="Normal 4 4 2 3 2 5 4" xfId="10636" xr:uid="{56E402C7-F1AF-48BA-8169-0DFCECA6EBEF}"/>
    <cellStyle name="Normal 4 4 2 3 2 5 5" xfId="19081" xr:uid="{CC792E45-D184-455C-BE3D-5939D911118A}"/>
    <cellStyle name="Normal 4 4 2 3 2 6" xfId="2541" xr:uid="{00000000-0005-0000-0000-000028150000}"/>
    <cellStyle name="Normal 4 4 2 3 2 6 2" xfId="6825" xr:uid="{00000000-0005-0000-0000-000029150000}"/>
    <cellStyle name="Normal 4 4 2 3 2 6 2 2" xfId="15267" xr:uid="{3187F5EF-58D8-48EB-95F6-E804230C6FF5}"/>
    <cellStyle name="Normal 4 4 2 3 2 6 2 3" xfId="23713" xr:uid="{61A30ECD-CEF1-4E6F-AF59-F47343E35D16}"/>
    <cellStyle name="Normal 4 4 2 3 2 6 3" xfId="11049" xr:uid="{AC8C6E78-99CB-4318-9523-3E40ED33CB6F}"/>
    <cellStyle name="Normal 4 4 2 3 2 6 4" xfId="19494" xr:uid="{C3C0949B-9153-4746-8E5A-3DC13FA75CD8}"/>
    <cellStyle name="Normal 4 4 2 3 2 7" xfId="4760" xr:uid="{00000000-0005-0000-0000-00002A150000}"/>
    <cellStyle name="Normal 4 4 2 3 2 7 2" xfId="13202" xr:uid="{01371F37-530D-470A-94E5-19C4DEBF704F}"/>
    <cellStyle name="Normal 4 4 2 3 2 7 3" xfId="21648" xr:uid="{F371F8F8-A25E-46F2-BBBC-3C275DD4AF25}"/>
    <cellStyle name="Normal 4 4 2 3 2 8" xfId="8984" xr:uid="{44A5A146-B5E0-452D-881D-07DACD153097}"/>
    <cellStyle name="Normal 4 4 2 3 2 9" xfId="17428" xr:uid="{6839332E-90F6-496A-8A62-602BED5D87F9}"/>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70D9A08D-8058-40B8-A042-EE2570A04EB6}"/>
    <cellStyle name="Normal 4 4 2 3 3 2 2 3" xfId="24205" xr:uid="{70A881CC-D7AA-4616-AEDE-0A9667401C05}"/>
    <cellStyle name="Normal 4 4 2 3 3 2 3" xfId="11541" xr:uid="{59E4BF32-7612-4899-BDF9-63645B557F15}"/>
    <cellStyle name="Normal 4 4 2 3 3 2 4" xfId="19988" xr:uid="{96CD5755-310E-4463-9B4D-62013EB350B9}"/>
    <cellStyle name="Normal 4 4 2 3 3 3" xfId="5172" xr:uid="{00000000-0005-0000-0000-00002E150000}"/>
    <cellStyle name="Normal 4 4 2 3 3 3 2" xfId="13614" xr:uid="{06AB9672-DA43-4606-8A15-2F80F1D62573}"/>
    <cellStyle name="Normal 4 4 2 3 3 3 3" xfId="22060" xr:uid="{7FB0F76E-943E-4F54-9912-A65D4202ACF5}"/>
    <cellStyle name="Normal 4 4 2 3 3 4" xfId="9396" xr:uid="{03D47A0C-6A9C-4315-95D7-0F4F70D26455}"/>
    <cellStyle name="Normal 4 4 2 3 3 5" xfId="17841" xr:uid="{EFB76D8F-2562-4796-9F4A-A2AB10C06C21}"/>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89AB9F68-ED9D-4B3A-95C7-3E6225FC0238}"/>
    <cellStyle name="Normal 4 4 2 3 4 2 2 3" xfId="24618" xr:uid="{6A9010F9-7232-4BC0-BC0D-65CEF8A6C0CB}"/>
    <cellStyle name="Normal 4 4 2 3 4 2 3" xfId="11954" xr:uid="{D7CA1C4E-35B9-495A-86FA-2BFB82B86F1B}"/>
    <cellStyle name="Normal 4 4 2 3 4 2 4" xfId="20401" xr:uid="{B390275E-A003-4434-996F-EC7741803DD7}"/>
    <cellStyle name="Normal 4 4 2 3 4 3" xfId="5585" xr:uid="{00000000-0005-0000-0000-000032150000}"/>
    <cellStyle name="Normal 4 4 2 3 4 3 2" xfId="14027" xr:uid="{952CE23C-8E1E-46C5-8B28-73EF6370CBAA}"/>
    <cellStyle name="Normal 4 4 2 3 4 3 3" xfId="22473" xr:uid="{8AD54435-93DB-4256-8B1F-3AC2B3606D19}"/>
    <cellStyle name="Normal 4 4 2 3 4 4" xfId="9809" xr:uid="{81113366-C9EB-4CB6-933A-27DFE00409C1}"/>
    <cellStyle name="Normal 4 4 2 3 4 5" xfId="18254" xr:uid="{AA416042-2C58-47EF-BDE7-B7578BE9B6F3}"/>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EB44527C-DEED-4A87-83EE-B1C56E1AE2F8}"/>
    <cellStyle name="Normal 4 4 2 3 5 2 2 3" xfId="25031" xr:uid="{452A50A4-E7BE-4A2D-A642-7C3A8BA8B5E1}"/>
    <cellStyle name="Normal 4 4 2 3 5 2 3" xfId="12367" xr:uid="{47EC1FE0-C6C6-47EF-90F6-010929002222}"/>
    <cellStyle name="Normal 4 4 2 3 5 2 4" xfId="20814" xr:uid="{5D58EE01-C61B-4ACE-9811-157AA01DBB66}"/>
    <cellStyle name="Normal 4 4 2 3 5 3" xfId="5998" xr:uid="{00000000-0005-0000-0000-000036150000}"/>
    <cellStyle name="Normal 4 4 2 3 5 3 2" xfId="14440" xr:uid="{A9569AAC-11FF-4B8E-A153-D086649DB86A}"/>
    <cellStyle name="Normal 4 4 2 3 5 3 3" xfId="22886" xr:uid="{DF006CBC-D7A2-4865-94AE-C58CEE6A0DC7}"/>
    <cellStyle name="Normal 4 4 2 3 5 4" xfId="10222" xr:uid="{9249A504-0298-490C-8026-513F3C432DA7}"/>
    <cellStyle name="Normal 4 4 2 3 5 5" xfId="18667" xr:uid="{D6B5A12D-F40E-4793-98F9-A132B44AFDE0}"/>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5E4571F6-EF32-4D8A-A313-3C1F4E92A744}"/>
    <cellStyle name="Normal 4 4 2 3 6 2 2 3" xfId="25444" xr:uid="{505EE1A6-6179-46A1-BB9E-1E491989BEC4}"/>
    <cellStyle name="Normal 4 4 2 3 6 2 3" xfId="12780" xr:uid="{9B60945D-A721-46E7-8141-1643D93E38A1}"/>
    <cellStyle name="Normal 4 4 2 3 6 2 4" xfId="21227" xr:uid="{7393044F-B2CF-4375-8201-F203B733332D}"/>
    <cellStyle name="Normal 4 4 2 3 6 3" xfId="6411" xr:uid="{00000000-0005-0000-0000-00003A150000}"/>
    <cellStyle name="Normal 4 4 2 3 6 3 2" xfId="14853" xr:uid="{68FD9756-6EE0-43A5-9F88-A2B69F7CDB8B}"/>
    <cellStyle name="Normal 4 4 2 3 6 3 3" xfId="23299" xr:uid="{2981828C-8672-40A3-BDF4-2EE4DF42D4A9}"/>
    <cellStyle name="Normal 4 4 2 3 6 4" xfId="10635" xr:uid="{C08271A9-44B6-4FC7-A3DA-322F6889346C}"/>
    <cellStyle name="Normal 4 4 2 3 6 5" xfId="19080" xr:uid="{6D68EAFB-4FB0-462A-8FD1-307781968903}"/>
    <cellStyle name="Normal 4 4 2 3 7" xfId="2540" xr:uid="{00000000-0005-0000-0000-00003B150000}"/>
    <cellStyle name="Normal 4 4 2 3 7 2" xfId="6824" xr:uid="{00000000-0005-0000-0000-00003C150000}"/>
    <cellStyle name="Normal 4 4 2 3 7 2 2" xfId="15266" xr:uid="{06BB1169-3742-4960-9FC0-225EB5B25781}"/>
    <cellStyle name="Normal 4 4 2 3 7 2 3" xfId="23712" xr:uid="{DCA56640-05EA-4B64-9CA7-3BB681B2138B}"/>
    <cellStyle name="Normal 4 4 2 3 7 3" xfId="11048" xr:uid="{E090166E-E786-4DED-9C12-AE3216823482}"/>
    <cellStyle name="Normal 4 4 2 3 7 4" xfId="19493" xr:uid="{96053042-417A-4171-8DAA-B64F4332EDE1}"/>
    <cellStyle name="Normal 4 4 2 3 8" xfId="4759" xr:uid="{00000000-0005-0000-0000-00003D150000}"/>
    <cellStyle name="Normal 4 4 2 3 8 2" xfId="13201" xr:uid="{F983EA39-041E-494A-B6E9-C3A5F4467F3D}"/>
    <cellStyle name="Normal 4 4 2 3 8 3" xfId="21647" xr:uid="{F3C62B7B-9F91-402E-8866-C13A48D95249}"/>
    <cellStyle name="Normal 4 4 2 3 9" xfId="8983" xr:uid="{BE0486A3-9E9D-4530-9519-E6972827D95F}"/>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D795FF30-4624-4E78-97CE-AFA3B8D91320}"/>
    <cellStyle name="Normal 4 4 2 4 2 2 2 3" xfId="24207" xr:uid="{953FD748-6230-4721-9068-2142B828C3A2}"/>
    <cellStyle name="Normal 4 4 2 4 2 2 3" xfId="11543" xr:uid="{D521E066-332E-4281-AF96-1FDB28B51280}"/>
    <cellStyle name="Normal 4 4 2 4 2 2 4" xfId="19990" xr:uid="{CBBE1D92-3227-4561-B812-106D927070B8}"/>
    <cellStyle name="Normal 4 4 2 4 2 3" xfId="5174" xr:uid="{00000000-0005-0000-0000-000042150000}"/>
    <cellStyle name="Normal 4 4 2 4 2 3 2" xfId="13616" xr:uid="{EFEC9318-5F13-4425-868C-A332BBC4E1C3}"/>
    <cellStyle name="Normal 4 4 2 4 2 3 3" xfId="22062" xr:uid="{AB610E50-114A-4A67-AD22-563C9E4A3A0A}"/>
    <cellStyle name="Normal 4 4 2 4 2 4" xfId="9398" xr:uid="{6CFF0DFD-00B7-45CB-8BB4-8BBDE2B1BF8A}"/>
    <cellStyle name="Normal 4 4 2 4 2 5" xfId="17843" xr:uid="{0ADD355F-C3FD-4462-8CED-8B4FE85AE9C3}"/>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B1EE16B2-FC19-4223-91ED-08A080CBB813}"/>
    <cellStyle name="Normal 4 4 2 4 3 2 2 3" xfId="24620" xr:uid="{8BFB8651-F51A-4B51-9A75-76F0FDEB3880}"/>
    <cellStyle name="Normal 4 4 2 4 3 2 3" xfId="11956" xr:uid="{9197D477-438A-48D9-A987-FEFFCE7C168E}"/>
    <cellStyle name="Normal 4 4 2 4 3 2 4" xfId="20403" xr:uid="{E0CCB797-2A03-48E8-A2D9-C88D84D89186}"/>
    <cellStyle name="Normal 4 4 2 4 3 3" xfId="5587" xr:uid="{00000000-0005-0000-0000-000046150000}"/>
    <cellStyle name="Normal 4 4 2 4 3 3 2" xfId="14029" xr:uid="{2AF7C4FE-D269-4930-9FD6-99DC59EB9407}"/>
    <cellStyle name="Normal 4 4 2 4 3 3 3" xfId="22475" xr:uid="{82F7B29F-5384-4D65-ACBF-85DF34737859}"/>
    <cellStyle name="Normal 4 4 2 4 3 4" xfId="9811" xr:uid="{B0A0B2A8-6A45-4D06-A6A4-309A0AF589A9}"/>
    <cellStyle name="Normal 4 4 2 4 3 5" xfId="18256" xr:uid="{9466119F-38EE-48FA-AC4D-B5761849C05D}"/>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396C9FAA-EE0F-49F4-8263-50592B6667E5}"/>
    <cellStyle name="Normal 4 4 2 4 4 2 2 3" xfId="25033" xr:uid="{0DFD22D4-434B-4D00-96F9-446F41589891}"/>
    <cellStyle name="Normal 4 4 2 4 4 2 3" xfId="12369" xr:uid="{D7F93616-783D-41CB-9F7F-6197FD42E267}"/>
    <cellStyle name="Normal 4 4 2 4 4 2 4" xfId="20816" xr:uid="{F2127584-0DD9-4695-B63D-38875F1DD2BA}"/>
    <cellStyle name="Normal 4 4 2 4 4 3" xfId="6000" xr:uid="{00000000-0005-0000-0000-00004A150000}"/>
    <cellStyle name="Normal 4 4 2 4 4 3 2" xfId="14442" xr:uid="{CFA2824E-C82C-4943-9B6E-FDA3625AC6CA}"/>
    <cellStyle name="Normal 4 4 2 4 4 3 3" xfId="22888" xr:uid="{82758D31-6AC1-457F-8332-5923BA1279CE}"/>
    <cellStyle name="Normal 4 4 2 4 4 4" xfId="10224" xr:uid="{F43758AC-517E-4064-88D0-60A3FD274951}"/>
    <cellStyle name="Normal 4 4 2 4 4 5" xfId="18669" xr:uid="{64491BA1-8183-4AEB-A69C-DB08926F3611}"/>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6D917CDE-B39C-4088-BC5E-A7F6A2E1CD55}"/>
    <cellStyle name="Normal 4 4 2 4 5 2 2 3" xfId="25446" xr:uid="{B1D14CE0-5B7E-4953-BACD-96A14877BFA3}"/>
    <cellStyle name="Normal 4 4 2 4 5 2 3" xfId="12782" xr:uid="{24EB8531-CC8D-40F6-AD9F-8F27BC23F738}"/>
    <cellStyle name="Normal 4 4 2 4 5 2 4" xfId="21229" xr:uid="{C2EB7F82-A03E-4B8B-88F3-20161468233E}"/>
    <cellStyle name="Normal 4 4 2 4 5 3" xfId="6413" xr:uid="{00000000-0005-0000-0000-00004E150000}"/>
    <cellStyle name="Normal 4 4 2 4 5 3 2" xfId="14855" xr:uid="{E1FA5155-49FE-4D48-9FDA-5F883E840FF7}"/>
    <cellStyle name="Normal 4 4 2 4 5 3 3" xfId="23301" xr:uid="{6C572BA9-4106-47BD-AB34-AD2382EE4D39}"/>
    <cellStyle name="Normal 4 4 2 4 5 4" xfId="10637" xr:uid="{40CF1416-1423-4A44-97A5-ABBF224BD067}"/>
    <cellStyle name="Normal 4 4 2 4 5 5" xfId="19082" xr:uid="{FF4F1312-7BDB-49CD-95F4-AD1FE3A55FA0}"/>
    <cellStyle name="Normal 4 4 2 4 6" xfId="2542" xr:uid="{00000000-0005-0000-0000-00004F150000}"/>
    <cellStyle name="Normal 4 4 2 4 6 2" xfId="6826" xr:uid="{00000000-0005-0000-0000-000050150000}"/>
    <cellStyle name="Normal 4 4 2 4 6 2 2" xfId="15268" xr:uid="{EFE12923-84D9-4E58-9D6E-F49AF227FE61}"/>
    <cellStyle name="Normal 4 4 2 4 6 2 3" xfId="23714" xr:uid="{357B34A5-AC82-454C-88B7-FBE39892CB1F}"/>
    <cellStyle name="Normal 4 4 2 4 6 3" xfId="11050" xr:uid="{10E56323-B5DF-4BE0-A856-FCE94BC2ECE9}"/>
    <cellStyle name="Normal 4 4 2 4 6 4" xfId="19495" xr:uid="{393DE500-E1F3-4A22-B7C9-2E0637F73E79}"/>
    <cellStyle name="Normal 4 4 2 4 7" xfId="4761" xr:uid="{00000000-0005-0000-0000-000051150000}"/>
    <cellStyle name="Normal 4 4 2 4 7 2" xfId="13203" xr:uid="{68A01738-BCDE-4096-8897-E432FE61EF21}"/>
    <cellStyle name="Normal 4 4 2 4 7 3" xfId="21649" xr:uid="{6254E6D7-E298-4DE8-A1AC-9A44943FA885}"/>
    <cellStyle name="Normal 4 4 2 4 8" xfId="8985" xr:uid="{C8391991-5D4F-4F3B-A9C7-1A8974C745F3}"/>
    <cellStyle name="Normal 4 4 2 4 9" xfId="17429" xr:uid="{A97C97E0-18FB-4EE0-8183-1385190900C7}"/>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19A0D3C1-85C3-4165-9297-07C9A447700D}"/>
    <cellStyle name="Normal 4 4 2 5 2 2 3" xfId="24200" xr:uid="{1F05E792-7D0E-4ABD-95CD-F3CFAE022A7A}"/>
    <cellStyle name="Normal 4 4 2 5 2 3" xfId="11536" xr:uid="{4CC8291E-58AD-47F6-8DAE-84130A29A0F7}"/>
    <cellStyle name="Normal 4 4 2 5 2 4" xfId="19983" xr:uid="{3D1074D5-EB67-472C-BAE8-D971B74F5C94}"/>
    <cellStyle name="Normal 4 4 2 5 3" xfId="5167" xr:uid="{00000000-0005-0000-0000-000055150000}"/>
    <cellStyle name="Normal 4 4 2 5 3 2" xfId="13609" xr:uid="{BC3FDB58-F9D1-45A7-916F-1FCC9B5379E0}"/>
    <cellStyle name="Normal 4 4 2 5 3 3" xfId="22055" xr:uid="{BF04D089-B623-4B9B-B696-4A7261E73851}"/>
    <cellStyle name="Normal 4 4 2 5 4" xfId="9391" xr:uid="{A31E02F1-E9DB-4851-93CB-16C736FFA97D}"/>
    <cellStyle name="Normal 4 4 2 5 5" xfId="17836" xr:uid="{7B8ACAFB-D98E-4BD7-8A9D-6C3289651111}"/>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857C7C4F-6CDC-4EE6-B946-DA16A5EB58B7}"/>
    <cellStyle name="Normal 4 4 2 6 2 2 3" xfId="24613" xr:uid="{B48336F3-38D6-4F23-A515-CAAB6E99814A}"/>
    <cellStyle name="Normal 4 4 2 6 2 3" xfId="11949" xr:uid="{8F8EAF8B-F5D2-4C91-9B6E-801803E980FD}"/>
    <cellStyle name="Normal 4 4 2 6 2 4" xfId="20396" xr:uid="{0B63FCB3-8A50-4B90-A999-008BF767408C}"/>
    <cellStyle name="Normal 4 4 2 6 3" xfId="5580" xr:uid="{00000000-0005-0000-0000-000059150000}"/>
    <cellStyle name="Normal 4 4 2 6 3 2" xfId="14022" xr:uid="{F06B890A-512F-4AF2-8C17-AAB025ACAA02}"/>
    <cellStyle name="Normal 4 4 2 6 3 3" xfId="22468" xr:uid="{EE7AC0E1-2D46-4429-9181-D04477164217}"/>
    <cellStyle name="Normal 4 4 2 6 4" xfId="9804" xr:uid="{7B86DF2F-D6E1-4836-A5A1-220F5987DE05}"/>
    <cellStyle name="Normal 4 4 2 6 5" xfId="18249" xr:uid="{1300D516-2603-488A-8913-39D9268B6DBF}"/>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18DDF80E-450B-4CEE-A9FC-DAFAAA339CF9}"/>
    <cellStyle name="Normal 4 4 2 7 2 2 3" xfId="25026" xr:uid="{49889C9C-AB8B-45B9-8335-D4516857B637}"/>
    <cellStyle name="Normal 4 4 2 7 2 3" xfId="12362" xr:uid="{280DAFDB-2ECD-4FDE-9791-FB548AEDE125}"/>
    <cellStyle name="Normal 4 4 2 7 2 4" xfId="20809" xr:uid="{3229D996-800A-47CF-ACE5-C95B0304C02E}"/>
    <cellStyle name="Normal 4 4 2 7 3" xfId="5993" xr:uid="{00000000-0005-0000-0000-00005D150000}"/>
    <cellStyle name="Normal 4 4 2 7 3 2" xfId="14435" xr:uid="{EBB73D73-0ACA-4314-808C-AFB6CE1F404C}"/>
    <cellStyle name="Normal 4 4 2 7 3 3" xfId="22881" xr:uid="{00E0FB99-C03C-4143-966E-754A89F2D465}"/>
    <cellStyle name="Normal 4 4 2 7 4" xfId="10217" xr:uid="{603530F4-C1B3-46BA-B42B-A4C540F5651E}"/>
    <cellStyle name="Normal 4 4 2 7 5" xfId="18662" xr:uid="{A3FE92C2-91A2-4B7B-B45D-AB10D3BDF99F}"/>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D8EA4934-BD63-498B-9DCE-5ED8100432C4}"/>
    <cellStyle name="Normal 4 4 2 8 2 2 3" xfId="25439" xr:uid="{AA739EFF-5BFE-4443-A422-87343CF0770A}"/>
    <cellStyle name="Normal 4 4 2 8 2 3" xfId="12775" xr:uid="{83E19812-BB3C-4B8F-BEA9-9B9293A23979}"/>
    <cellStyle name="Normal 4 4 2 8 2 4" xfId="21222" xr:uid="{37387380-18C2-4F82-B5FC-F29EFA8FBD98}"/>
    <cellStyle name="Normal 4 4 2 8 3" xfId="6406" xr:uid="{00000000-0005-0000-0000-000061150000}"/>
    <cellStyle name="Normal 4 4 2 8 3 2" xfId="14848" xr:uid="{2F9C4DFB-26FD-49F1-A9D4-9E75AF5B98A0}"/>
    <cellStyle name="Normal 4 4 2 8 3 3" xfId="23294" xr:uid="{9A048D13-C7B3-4359-A789-1E01D78ACF22}"/>
    <cellStyle name="Normal 4 4 2 8 4" xfId="10630" xr:uid="{5227AC90-E77D-4227-AB5E-CF8BAA888E5F}"/>
    <cellStyle name="Normal 4 4 2 8 5" xfId="19075" xr:uid="{0305D08F-F50B-4E54-881B-5A1836D15D31}"/>
    <cellStyle name="Normal 4 4 2 9" xfId="2535" xr:uid="{00000000-0005-0000-0000-000062150000}"/>
    <cellStyle name="Normal 4 4 2 9 2" xfId="6819" xr:uid="{00000000-0005-0000-0000-000063150000}"/>
    <cellStyle name="Normal 4 4 2 9 2 2" xfId="15261" xr:uid="{07DFFCDE-DDC0-41F0-A190-2BDBE7B419D2}"/>
    <cellStyle name="Normal 4 4 2 9 2 3" xfId="23707" xr:uid="{420B65C6-8C45-433A-89CC-6AEFFA63B9B8}"/>
    <cellStyle name="Normal 4 4 2 9 3" xfId="11043" xr:uid="{728A387A-6A5F-4DBD-A32E-5C6244006567}"/>
    <cellStyle name="Normal 4 4 2 9 4" xfId="19488" xr:uid="{604BAEFD-62E6-4656-83FF-291307B7B8C4}"/>
    <cellStyle name="Normal 4 4 3" xfId="387" xr:uid="{00000000-0005-0000-0000-000064150000}"/>
    <cellStyle name="Normal 4 4 3 10" xfId="8986" xr:uid="{05B28830-D1BC-4390-91C8-66048885C7C9}"/>
    <cellStyle name="Normal 4 4 3 11" xfId="17430" xr:uid="{1FBA651E-694A-4E2C-ABD4-65A9CD7AC965}"/>
    <cellStyle name="Normal 4 4 3 2" xfId="388" xr:uid="{00000000-0005-0000-0000-000065150000}"/>
    <cellStyle name="Normal 4 4 3 2 10" xfId="17431" xr:uid="{20034D7B-D39F-43F6-9188-AB6C7AA72E7A}"/>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4A81CFB3-0E0F-4A1C-82C7-9CC332BC3BC2}"/>
    <cellStyle name="Normal 4 4 3 2 2 2 2 2 3" xfId="24210" xr:uid="{6F59C3B6-0180-48E3-BC5B-1B390002E5C8}"/>
    <cellStyle name="Normal 4 4 3 2 2 2 2 3" xfId="11546" xr:uid="{EF2DCEF9-1D83-4E82-8F88-EE3454CFC7D4}"/>
    <cellStyle name="Normal 4 4 3 2 2 2 2 4" xfId="19993" xr:uid="{8D748B56-59A4-4E35-AC41-2C87ED84A822}"/>
    <cellStyle name="Normal 4 4 3 2 2 2 3" xfId="5177" xr:uid="{00000000-0005-0000-0000-00006A150000}"/>
    <cellStyle name="Normal 4 4 3 2 2 2 3 2" xfId="13619" xr:uid="{0CCE5F7C-1B0C-4436-9F4A-A9354297E215}"/>
    <cellStyle name="Normal 4 4 3 2 2 2 3 3" xfId="22065" xr:uid="{793427AC-595D-4E7B-A15D-2C1B2B06A738}"/>
    <cellStyle name="Normal 4 4 3 2 2 2 4" xfId="9401" xr:uid="{F54A0059-BF8A-4ED0-B9EB-8EC2A0A6486C}"/>
    <cellStyle name="Normal 4 4 3 2 2 2 5" xfId="17846" xr:uid="{0E27DCAC-E7D6-414B-A706-BB7A16950F5C}"/>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69E14C79-D140-4453-9B4F-64BB5A50000B}"/>
    <cellStyle name="Normal 4 4 3 2 2 3 2 2 3" xfId="24623" xr:uid="{C2646D85-76B0-46F8-A4FC-56CD5FDC8F36}"/>
    <cellStyle name="Normal 4 4 3 2 2 3 2 3" xfId="11959" xr:uid="{8A760DCE-62D2-4DC3-A616-471068018580}"/>
    <cellStyle name="Normal 4 4 3 2 2 3 2 4" xfId="20406" xr:uid="{D2F0EF3D-8B8F-4F67-8BA5-3D773CDA4A5E}"/>
    <cellStyle name="Normal 4 4 3 2 2 3 3" xfId="5590" xr:uid="{00000000-0005-0000-0000-00006E150000}"/>
    <cellStyle name="Normal 4 4 3 2 2 3 3 2" xfId="14032" xr:uid="{3DAFC9E8-3F5C-4563-8B1F-90118719F07E}"/>
    <cellStyle name="Normal 4 4 3 2 2 3 3 3" xfId="22478" xr:uid="{DC8B1695-3D31-437F-8441-DD6398698EB0}"/>
    <cellStyle name="Normal 4 4 3 2 2 3 4" xfId="9814" xr:uid="{8882286E-35EF-47CC-A12C-D678C0B893A2}"/>
    <cellStyle name="Normal 4 4 3 2 2 3 5" xfId="18259" xr:uid="{F12CAD07-C603-408B-BE82-78C683A35FFE}"/>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9A54B4F2-53B6-4F4A-8FF5-EAB1B0B20EA2}"/>
    <cellStyle name="Normal 4 4 3 2 2 4 2 2 3" xfId="25036" xr:uid="{7D9F0C73-EEA1-4202-8DBC-0E694F8C0040}"/>
    <cellStyle name="Normal 4 4 3 2 2 4 2 3" xfId="12372" xr:uid="{00CD70C6-0984-40DD-A77E-BBF10FEC0D57}"/>
    <cellStyle name="Normal 4 4 3 2 2 4 2 4" xfId="20819" xr:uid="{D2207EC6-9735-41E2-888F-CC6D1C8307A0}"/>
    <cellStyle name="Normal 4 4 3 2 2 4 3" xfId="6003" xr:uid="{00000000-0005-0000-0000-000072150000}"/>
    <cellStyle name="Normal 4 4 3 2 2 4 3 2" xfId="14445" xr:uid="{042A8365-8806-4042-9ABC-0F1117771809}"/>
    <cellStyle name="Normal 4 4 3 2 2 4 3 3" xfId="22891" xr:uid="{20A03AD1-B814-47A1-8810-EC5438AB1C7B}"/>
    <cellStyle name="Normal 4 4 3 2 2 4 4" xfId="10227" xr:uid="{88C57292-585D-4E91-834D-B42A25F2E9AC}"/>
    <cellStyle name="Normal 4 4 3 2 2 4 5" xfId="18672" xr:uid="{621A7F60-8D66-4267-8ABF-510E18C519FA}"/>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9BEEC6AF-C031-4203-A6B1-F86EE62CA378}"/>
    <cellStyle name="Normal 4 4 3 2 2 5 2 2 3" xfId="25449" xr:uid="{CFEFE25F-3A34-4F60-B73D-BA24F2849A94}"/>
    <cellStyle name="Normal 4 4 3 2 2 5 2 3" xfId="12785" xr:uid="{4E53F5B6-ECE6-4D79-9C9B-19FA1A4FE482}"/>
    <cellStyle name="Normal 4 4 3 2 2 5 2 4" xfId="21232" xr:uid="{6B892E38-4EF0-4D03-A1FD-63987E1CFA47}"/>
    <cellStyle name="Normal 4 4 3 2 2 5 3" xfId="6416" xr:uid="{00000000-0005-0000-0000-000076150000}"/>
    <cellStyle name="Normal 4 4 3 2 2 5 3 2" xfId="14858" xr:uid="{78A0509A-4CF4-4429-ABFE-A08111E457EC}"/>
    <cellStyle name="Normal 4 4 3 2 2 5 3 3" xfId="23304" xr:uid="{8AB44ED1-BE4C-441A-9475-70D8EA95B0A2}"/>
    <cellStyle name="Normal 4 4 3 2 2 5 4" xfId="10640" xr:uid="{EA1C797C-E235-4DC4-A1A9-2C2801D74153}"/>
    <cellStyle name="Normal 4 4 3 2 2 5 5" xfId="19085" xr:uid="{C31F55CC-9357-4758-AA7C-E2225C26EF7F}"/>
    <cellStyle name="Normal 4 4 3 2 2 6" xfId="2545" xr:uid="{00000000-0005-0000-0000-000077150000}"/>
    <cellStyle name="Normal 4 4 3 2 2 6 2" xfId="6829" xr:uid="{00000000-0005-0000-0000-000078150000}"/>
    <cellStyle name="Normal 4 4 3 2 2 6 2 2" xfId="15271" xr:uid="{7CDFDD81-A74F-4C88-948B-4D316B236B86}"/>
    <cellStyle name="Normal 4 4 3 2 2 6 2 3" xfId="23717" xr:uid="{497CE025-CACB-4B63-8661-D52CD651E7AA}"/>
    <cellStyle name="Normal 4 4 3 2 2 6 3" xfId="11053" xr:uid="{033B67F8-391F-4066-85CC-2A52190A9DE8}"/>
    <cellStyle name="Normal 4 4 3 2 2 6 4" xfId="19498" xr:uid="{D90585AE-0304-4377-BE88-63A0F308E5F6}"/>
    <cellStyle name="Normal 4 4 3 2 2 7" xfId="4764" xr:uid="{00000000-0005-0000-0000-000079150000}"/>
    <cellStyle name="Normal 4 4 3 2 2 7 2" xfId="13206" xr:uid="{097F8A03-A54A-4B24-9F72-CFA65BF399AC}"/>
    <cellStyle name="Normal 4 4 3 2 2 7 3" xfId="21652" xr:uid="{261C7BED-7094-494E-A1BA-BC8ECD5F54C4}"/>
    <cellStyle name="Normal 4 4 3 2 2 8" xfId="8988" xr:uid="{0F6DADC5-AB18-42B6-B444-8F7BD66E9C6E}"/>
    <cellStyle name="Normal 4 4 3 2 2 9" xfId="17432" xr:uid="{56C895EE-F976-40AE-A941-1A97803F1F74}"/>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67898068-469A-4712-923C-436061C73C22}"/>
    <cellStyle name="Normal 4 4 3 2 3 2 2 3" xfId="24209" xr:uid="{32022BA7-4C41-48D5-A03D-3F64D5952E2D}"/>
    <cellStyle name="Normal 4 4 3 2 3 2 3" xfId="11545" xr:uid="{B52D9F96-957B-41EB-965A-3B8C908DF4B7}"/>
    <cellStyle name="Normal 4 4 3 2 3 2 4" xfId="19992" xr:uid="{1CCBA44B-EF8B-48DA-B572-A4798B7539A2}"/>
    <cellStyle name="Normal 4 4 3 2 3 3" xfId="5176" xr:uid="{00000000-0005-0000-0000-00007D150000}"/>
    <cellStyle name="Normal 4 4 3 2 3 3 2" xfId="13618" xr:uid="{89DEEE68-D41D-483F-8258-CC473CA48C83}"/>
    <cellStyle name="Normal 4 4 3 2 3 3 3" xfId="22064" xr:uid="{3A04CC51-744B-4A60-981C-452A0E8A3089}"/>
    <cellStyle name="Normal 4 4 3 2 3 4" xfId="9400" xr:uid="{ADC7DAA4-938F-425C-9E8D-9F087547759D}"/>
    <cellStyle name="Normal 4 4 3 2 3 5" xfId="17845" xr:uid="{6768FEE9-6181-4472-AD31-0B5B99A00F59}"/>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2F3318D3-F891-4C52-830F-C1B694FBC1B3}"/>
    <cellStyle name="Normal 4 4 3 2 4 2 2 3" xfId="24622" xr:uid="{14B8223D-1697-44E4-950E-348A6AEE988B}"/>
    <cellStyle name="Normal 4 4 3 2 4 2 3" xfId="11958" xr:uid="{6CA01F55-6432-4FA8-BE79-A34153FB104F}"/>
    <cellStyle name="Normal 4 4 3 2 4 2 4" xfId="20405" xr:uid="{24E001F9-8DCF-4CA5-8482-996D3B778B47}"/>
    <cellStyle name="Normal 4 4 3 2 4 3" xfId="5589" xr:uid="{00000000-0005-0000-0000-000081150000}"/>
    <cellStyle name="Normal 4 4 3 2 4 3 2" xfId="14031" xr:uid="{A703F98C-B257-4885-BBEB-3816A5F4335B}"/>
    <cellStyle name="Normal 4 4 3 2 4 3 3" xfId="22477" xr:uid="{5628041A-2E15-4470-97A9-31E388B32B1F}"/>
    <cellStyle name="Normal 4 4 3 2 4 4" xfId="9813" xr:uid="{F1ADC0EF-34C4-41E6-93DC-BEFFA3B76FCE}"/>
    <cellStyle name="Normal 4 4 3 2 4 5" xfId="18258" xr:uid="{44134EAF-735D-4506-BA1B-B052665C7179}"/>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69FA2828-17CB-41BE-80A2-13FAF451EE10}"/>
    <cellStyle name="Normal 4 4 3 2 5 2 2 3" xfId="25035" xr:uid="{8765B30E-FD17-475A-A992-5850064EF7CD}"/>
    <cellStyle name="Normal 4 4 3 2 5 2 3" xfId="12371" xr:uid="{0D5E9C6B-D42B-4457-9F9C-07EEF3829A58}"/>
    <cellStyle name="Normal 4 4 3 2 5 2 4" xfId="20818" xr:uid="{30ED3599-1AEE-4D7F-AE8C-AEA00229F917}"/>
    <cellStyle name="Normal 4 4 3 2 5 3" xfId="6002" xr:uid="{00000000-0005-0000-0000-000085150000}"/>
    <cellStyle name="Normal 4 4 3 2 5 3 2" xfId="14444" xr:uid="{A7AB213F-7D9F-4E44-A011-28D285511DE1}"/>
    <cellStyle name="Normal 4 4 3 2 5 3 3" xfId="22890" xr:uid="{75F96F2F-E7A7-4E9C-8DE9-FE143A1BCC49}"/>
    <cellStyle name="Normal 4 4 3 2 5 4" xfId="10226" xr:uid="{3AC88B75-A48D-47C0-9FB7-A9B776E575B7}"/>
    <cellStyle name="Normal 4 4 3 2 5 5" xfId="18671" xr:uid="{01DF82E9-289E-46D8-9B05-02FD9A679C1B}"/>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242BD6CF-141D-4DC5-9F18-D77F8417EC3F}"/>
    <cellStyle name="Normal 4 4 3 2 6 2 2 3" xfId="25448" xr:uid="{008D98EC-15B2-448A-A665-CC7EF04FE888}"/>
    <cellStyle name="Normal 4 4 3 2 6 2 3" xfId="12784" xr:uid="{8309D90B-11F7-427B-B9AA-9BD4215E7128}"/>
    <cellStyle name="Normal 4 4 3 2 6 2 4" xfId="21231" xr:uid="{937BCD58-DC89-48BD-8BCF-1E3C23462E23}"/>
    <cellStyle name="Normal 4 4 3 2 6 3" xfId="6415" xr:uid="{00000000-0005-0000-0000-000089150000}"/>
    <cellStyle name="Normal 4 4 3 2 6 3 2" xfId="14857" xr:uid="{D78ED075-E743-4777-8D47-E1A362BF3393}"/>
    <cellStyle name="Normal 4 4 3 2 6 3 3" xfId="23303" xr:uid="{4EE10B8A-320C-41F9-970A-314650AD7CE6}"/>
    <cellStyle name="Normal 4 4 3 2 6 4" xfId="10639" xr:uid="{65A3FAF1-F3A7-495A-B65D-2D231106F25F}"/>
    <cellStyle name="Normal 4 4 3 2 6 5" xfId="19084" xr:uid="{8339EB61-8C10-4FDC-983F-D37011F43A79}"/>
    <cellStyle name="Normal 4 4 3 2 7" xfId="2544" xr:uid="{00000000-0005-0000-0000-00008A150000}"/>
    <cellStyle name="Normal 4 4 3 2 7 2" xfId="6828" xr:uid="{00000000-0005-0000-0000-00008B150000}"/>
    <cellStyle name="Normal 4 4 3 2 7 2 2" xfId="15270" xr:uid="{5A9D65C0-88B2-43C4-84F4-F7326C47A949}"/>
    <cellStyle name="Normal 4 4 3 2 7 2 3" xfId="23716" xr:uid="{27C859E6-0EBB-43C0-9903-C81DE0C095C8}"/>
    <cellStyle name="Normal 4 4 3 2 7 3" xfId="11052" xr:uid="{9FEE5BD4-36DA-403A-BB57-72C5A995F270}"/>
    <cellStyle name="Normal 4 4 3 2 7 4" xfId="19497" xr:uid="{2DF9C9F8-17C2-4F5C-89E8-C5BDAE7DFA68}"/>
    <cellStyle name="Normal 4 4 3 2 8" xfId="4763" xr:uid="{00000000-0005-0000-0000-00008C150000}"/>
    <cellStyle name="Normal 4 4 3 2 8 2" xfId="13205" xr:uid="{89F052A0-7B42-44F0-B17E-09EB4B3F5534}"/>
    <cellStyle name="Normal 4 4 3 2 8 3" xfId="21651" xr:uid="{6D3A02A9-12D0-45D8-A357-4155D8490E43}"/>
    <cellStyle name="Normal 4 4 3 2 9" xfId="8987" xr:uid="{86067902-8EF3-4A02-A4CA-8E2BFCAA5E8B}"/>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2226F92C-166A-4855-9E47-BF4118853791}"/>
    <cellStyle name="Normal 4 4 3 3 2 2 2 3" xfId="24211" xr:uid="{EA75A171-5D52-4F68-8D4B-5BDE17FDE440}"/>
    <cellStyle name="Normal 4 4 3 3 2 2 3" xfId="11547" xr:uid="{BF092DEF-F35E-481C-B994-9031BEFBE301}"/>
    <cellStyle name="Normal 4 4 3 3 2 2 4" xfId="19994" xr:uid="{600E6421-9477-415D-A290-9B45B2C00B80}"/>
    <cellStyle name="Normal 4 4 3 3 2 3" xfId="5178" xr:uid="{00000000-0005-0000-0000-000091150000}"/>
    <cellStyle name="Normal 4 4 3 3 2 3 2" xfId="13620" xr:uid="{ABA5392A-4A25-4B40-A0C5-183C27CBDD89}"/>
    <cellStyle name="Normal 4 4 3 3 2 3 3" xfId="22066" xr:uid="{28EAC101-EE0B-498B-BF35-380C3619DE4D}"/>
    <cellStyle name="Normal 4 4 3 3 2 4" xfId="9402" xr:uid="{AF16332B-5335-4EC1-9187-669BA152D6D7}"/>
    <cellStyle name="Normal 4 4 3 3 2 5" xfId="17847" xr:uid="{35FD878C-DA0B-4EE6-8E68-928D515556A8}"/>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557F1560-169D-488A-850C-C31608B55E4B}"/>
    <cellStyle name="Normal 4 4 3 3 3 2 2 3" xfId="24624" xr:uid="{022A259F-F9D2-4E33-8ED0-A0945C60572E}"/>
    <cellStyle name="Normal 4 4 3 3 3 2 3" xfId="11960" xr:uid="{87D485B8-23F0-4EC7-9195-1D4B4AFA5CFA}"/>
    <cellStyle name="Normal 4 4 3 3 3 2 4" xfId="20407" xr:uid="{1DCA19C6-3A84-40E8-B3B1-7B73F5C0302F}"/>
    <cellStyle name="Normal 4 4 3 3 3 3" xfId="5591" xr:uid="{00000000-0005-0000-0000-000095150000}"/>
    <cellStyle name="Normal 4 4 3 3 3 3 2" xfId="14033" xr:uid="{0D31C01D-381B-49F7-9CAC-42A9BC8AA75B}"/>
    <cellStyle name="Normal 4 4 3 3 3 3 3" xfId="22479" xr:uid="{D90287CC-A702-452B-9F23-DE3A8B1B39FD}"/>
    <cellStyle name="Normal 4 4 3 3 3 4" xfId="9815" xr:uid="{D1582617-7772-4C94-A714-8B22072C50CF}"/>
    <cellStyle name="Normal 4 4 3 3 3 5" xfId="18260" xr:uid="{A410D8A3-2F89-42F1-ABF3-857BF0762201}"/>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94BB6E4C-A3DC-4890-BA57-438362DB6D81}"/>
    <cellStyle name="Normal 4 4 3 3 4 2 2 3" xfId="25037" xr:uid="{4AE91495-9EAD-45D6-AD99-DE8241AF98AC}"/>
    <cellStyle name="Normal 4 4 3 3 4 2 3" xfId="12373" xr:uid="{5494C9F8-F5D5-41FF-AC42-611B5D0BC192}"/>
    <cellStyle name="Normal 4 4 3 3 4 2 4" xfId="20820" xr:uid="{2459F178-4D0A-4C23-A687-1646CCC1B9A8}"/>
    <cellStyle name="Normal 4 4 3 3 4 3" xfId="6004" xr:uid="{00000000-0005-0000-0000-000099150000}"/>
    <cellStyle name="Normal 4 4 3 3 4 3 2" xfId="14446" xr:uid="{DED524EB-9B33-4E82-855E-0F7720AC61E3}"/>
    <cellStyle name="Normal 4 4 3 3 4 3 3" xfId="22892" xr:uid="{B81EB2FB-E731-4AD9-9817-9708D67513C0}"/>
    <cellStyle name="Normal 4 4 3 3 4 4" xfId="10228" xr:uid="{867C367D-8809-4CA6-9472-368FAE6459BD}"/>
    <cellStyle name="Normal 4 4 3 3 4 5" xfId="18673" xr:uid="{CD48807F-B825-4A20-8A2B-E7F509983C4E}"/>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90C61555-A8C5-461A-89D4-D94A3A78193A}"/>
    <cellStyle name="Normal 4 4 3 3 5 2 2 3" xfId="25450" xr:uid="{BBFB1C31-DD1E-4B2B-8C92-DFD2152F7611}"/>
    <cellStyle name="Normal 4 4 3 3 5 2 3" xfId="12786" xr:uid="{D2042BE8-4F42-4914-8504-C92E23BA38A6}"/>
    <cellStyle name="Normal 4 4 3 3 5 2 4" xfId="21233" xr:uid="{82E5E3A7-1748-4C11-94BB-14D03BD540DA}"/>
    <cellStyle name="Normal 4 4 3 3 5 3" xfId="6417" xr:uid="{00000000-0005-0000-0000-00009D150000}"/>
    <cellStyle name="Normal 4 4 3 3 5 3 2" xfId="14859" xr:uid="{866B984A-B2AD-47B2-B815-2C06CE3551AE}"/>
    <cellStyle name="Normal 4 4 3 3 5 3 3" xfId="23305" xr:uid="{FCE944C9-7BAC-4471-9018-0806F54FAB1A}"/>
    <cellStyle name="Normal 4 4 3 3 5 4" xfId="10641" xr:uid="{221B488C-D056-4A50-9531-BB1697FD1FBF}"/>
    <cellStyle name="Normal 4 4 3 3 5 5" xfId="19086" xr:uid="{7C798066-55F0-4399-B49B-F62C6B04BDEE}"/>
    <cellStyle name="Normal 4 4 3 3 6" xfId="2546" xr:uid="{00000000-0005-0000-0000-00009E150000}"/>
    <cellStyle name="Normal 4 4 3 3 6 2" xfId="6830" xr:uid="{00000000-0005-0000-0000-00009F150000}"/>
    <cellStyle name="Normal 4 4 3 3 6 2 2" xfId="15272" xr:uid="{E848B632-D664-4F73-9ADB-9E61EDAE688E}"/>
    <cellStyle name="Normal 4 4 3 3 6 2 3" xfId="23718" xr:uid="{F50D8C06-55C1-49C5-BA80-2DEFF7DA0F58}"/>
    <cellStyle name="Normal 4 4 3 3 6 3" xfId="11054" xr:uid="{6F87C671-6D69-43B7-8CED-4938183FEF75}"/>
    <cellStyle name="Normal 4 4 3 3 6 4" xfId="19499" xr:uid="{C698927E-4E34-458C-B95F-3988D88C93B1}"/>
    <cellStyle name="Normal 4 4 3 3 7" xfId="4765" xr:uid="{00000000-0005-0000-0000-0000A0150000}"/>
    <cellStyle name="Normal 4 4 3 3 7 2" xfId="13207" xr:uid="{AC4DE3E4-C9CC-45D5-A3CB-1B834B300438}"/>
    <cellStyle name="Normal 4 4 3 3 7 3" xfId="21653" xr:uid="{2DE7BBCD-4767-4FCF-8F96-5B1FA9A14EF3}"/>
    <cellStyle name="Normal 4 4 3 3 8" xfId="8989" xr:uid="{B36F9127-19F7-46FE-A1C8-A1D50C7857D7}"/>
    <cellStyle name="Normal 4 4 3 3 9" xfId="17433" xr:uid="{29A1C0B3-01DE-40F8-8B13-997C137352A2}"/>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E1806EE3-49ED-4255-9D78-E0CF66C56940}"/>
    <cellStyle name="Normal 4 4 3 4 2 2 3" xfId="24208" xr:uid="{A66F6366-551C-4F95-ACA0-FB5A6E5A7CCF}"/>
    <cellStyle name="Normal 4 4 3 4 2 3" xfId="11544" xr:uid="{F78B1401-C9C9-416F-B1BF-3236FF79E233}"/>
    <cellStyle name="Normal 4 4 3 4 2 4" xfId="19991" xr:uid="{06B9605E-4AF4-4FCF-8255-CB55D38F6328}"/>
    <cellStyle name="Normal 4 4 3 4 3" xfId="5175" xr:uid="{00000000-0005-0000-0000-0000A4150000}"/>
    <cellStyle name="Normal 4 4 3 4 3 2" xfId="13617" xr:uid="{6FBC7924-9DC5-4D0B-BBCB-5551EF941809}"/>
    <cellStyle name="Normal 4 4 3 4 3 3" xfId="22063" xr:uid="{84F6176D-9372-45FF-8369-E3AB04B84CE5}"/>
    <cellStyle name="Normal 4 4 3 4 4" xfId="9399" xr:uid="{BFC342B4-6976-467F-B05D-3A17B9B5FD97}"/>
    <cellStyle name="Normal 4 4 3 4 5" xfId="17844" xr:uid="{598A58E5-6496-48D9-8BEB-6727ACFF6AEC}"/>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71897C9B-9EEB-4B60-8F30-A1643FE0C2CF}"/>
    <cellStyle name="Normal 4 4 3 5 2 2 3" xfId="24621" xr:uid="{98E19765-1B7A-4C2B-A6D0-2A6602A39747}"/>
    <cellStyle name="Normal 4 4 3 5 2 3" xfId="11957" xr:uid="{07C349B8-FEB2-4DE7-BB85-FC1DD732B01B}"/>
    <cellStyle name="Normal 4 4 3 5 2 4" xfId="20404" xr:uid="{B670D39A-D503-43B7-B90E-8E5FC8620138}"/>
    <cellStyle name="Normal 4 4 3 5 3" xfId="5588" xr:uid="{00000000-0005-0000-0000-0000A8150000}"/>
    <cellStyle name="Normal 4 4 3 5 3 2" xfId="14030" xr:uid="{B4986373-A32B-452E-9E7D-BE85E762080C}"/>
    <cellStyle name="Normal 4 4 3 5 3 3" xfId="22476" xr:uid="{1E078610-BDC9-4D60-B4D2-62EFC9C848C2}"/>
    <cellStyle name="Normal 4 4 3 5 4" xfId="9812" xr:uid="{4E14FF0B-6BFB-4D7F-8E85-7116B5BAB40E}"/>
    <cellStyle name="Normal 4 4 3 5 5" xfId="18257" xr:uid="{856C2C9F-5DEF-48C6-95CC-5F1C6A330B6C}"/>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F4436BEE-345E-4DAE-8152-59A50374D88A}"/>
    <cellStyle name="Normal 4 4 3 6 2 2 3" xfId="25034" xr:uid="{F69D220E-C088-4656-8143-26B657271482}"/>
    <cellStyle name="Normal 4 4 3 6 2 3" xfId="12370" xr:uid="{0824F47C-36B3-456A-9CDB-A7FEB4B40E16}"/>
    <cellStyle name="Normal 4 4 3 6 2 4" xfId="20817" xr:uid="{1F6471A3-E698-4483-8455-B2FC5720B326}"/>
    <cellStyle name="Normal 4 4 3 6 3" xfId="6001" xr:uid="{00000000-0005-0000-0000-0000AC150000}"/>
    <cellStyle name="Normal 4 4 3 6 3 2" xfId="14443" xr:uid="{19CF7DC9-0EC8-44A6-83AE-21782B679B79}"/>
    <cellStyle name="Normal 4 4 3 6 3 3" xfId="22889" xr:uid="{E8A18BE1-18A1-4BC2-8A12-12E26604CEBA}"/>
    <cellStyle name="Normal 4 4 3 6 4" xfId="10225" xr:uid="{778892E1-B648-4760-97B9-58998CD607D6}"/>
    <cellStyle name="Normal 4 4 3 6 5" xfId="18670" xr:uid="{544A4B67-A715-41CD-93B1-3D63DA514115}"/>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52807085-A102-4B43-9CC6-5F7A4A5577B6}"/>
    <cellStyle name="Normal 4 4 3 7 2 2 3" xfId="25447" xr:uid="{E0CB794F-E3AE-476E-A9C8-58D50A0212A4}"/>
    <cellStyle name="Normal 4 4 3 7 2 3" xfId="12783" xr:uid="{C3D77331-E1F3-4F66-853D-C38B56B7698A}"/>
    <cellStyle name="Normal 4 4 3 7 2 4" xfId="21230" xr:uid="{DE8A026E-6E59-4DB3-974F-16A5FD8B17E5}"/>
    <cellStyle name="Normal 4 4 3 7 3" xfId="6414" xr:uid="{00000000-0005-0000-0000-0000B0150000}"/>
    <cellStyle name="Normal 4 4 3 7 3 2" xfId="14856" xr:uid="{5D88811E-6466-451C-8912-3EF3B0251748}"/>
    <cellStyle name="Normal 4 4 3 7 3 3" xfId="23302" xr:uid="{B341B357-D300-419E-A5BD-E240F018DF00}"/>
    <cellStyle name="Normal 4 4 3 7 4" xfId="10638" xr:uid="{905976AA-7318-400B-89EE-E73E2861E9F9}"/>
    <cellStyle name="Normal 4 4 3 7 5" xfId="19083" xr:uid="{C13EF821-2643-4B85-8CBB-3501C334EDD1}"/>
    <cellStyle name="Normal 4 4 3 8" xfId="2543" xr:uid="{00000000-0005-0000-0000-0000B1150000}"/>
    <cellStyle name="Normal 4 4 3 8 2" xfId="6827" xr:uid="{00000000-0005-0000-0000-0000B2150000}"/>
    <cellStyle name="Normal 4 4 3 8 2 2" xfId="15269" xr:uid="{C1C86853-E69A-45E9-890F-909F3EF24BA8}"/>
    <cellStyle name="Normal 4 4 3 8 2 3" xfId="23715" xr:uid="{59DC1E03-8B4C-4F1C-8726-F2BDCCF0D30C}"/>
    <cellStyle name="Normal 4 4 3 8 3" xfId="11051" xr:uid="{A778AB7E-625E-4A8A-B872-78548CFC0BC5}"/>
    <cellStyle name="Normal 4 4 3 8 4" xfId="19496" xr:uid="{83E01FE6-233D-4C0F-90CD-8FA6F44E5164}"/>
    <cellStyle name="Normal 4 4 3 9" xfId="4762" xr:uid="{00000000-0005-0000-0000-0000B3150000}"/>
    <cellStyle name="Normal 4 4 3 9 2" xfId="13204" xr:uid="{C57F8FDC-290C-45F0-BF06-4C77F2C5E69C}"/>
    <cellStyle name="Normal 4 4 3 9 3" xfId="21650" xr:uid="{9CA5E256-26E3-49B9-B745-360E58881804}"/>
    <cellStyle name="Normal 4 4 4" xfId="391" xr:uid="{00000000-0005-0000-0000-0000B4150000}"/>
    <cellStyle name="Normal 4 4 4 10" xfId="17434" xr:uid="{017247B0-9E1C-4859-A3A2-32D800C30A8F}"/>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32803F52-0AA0-49CA-9D6E-FDF898F6E96E}"/>
    <cellStyle name="Normal 4 4 4 2 2 2 2 3" xfId="24213" xr:uid="{5456C56F-D354-4621-A3C3-E1B71BBD872C}"/>
    <cellStyle name="Normal 4 4 4 2 2 2 3" xfId="11549" xr:uid="{A45F37B7-FEEF-4ECE-9B95-2A74472DD767}"/>
    <cellStyle name="Normal 4 4 4 2 2 2 4" xfId="19996" xr:uid="{DB94723A-1946-4667-9CD1-ACE1F3473A29}"/>
    <cellStyle name="Normal 4 4 4 2 2 3" xfId="5180" xr:uid="{00000000-0005-0000-0000-0000B9150000}"/>
    <cellStyle name="Normal 4 4 4 2 2 3 2" xfId="13622" xr:uid="{6A996746-3056-482F-9A51-B8AD76B4F02B}"/>
    <cellStyle name="Normal 4 4 4 2 2 3 3" xfId="22068" xr:uid="{6F878032-2B81-484D-86B9-BD9B80EC86AD}"/>
    <cellStyle name="Normal 4 4 4 2 2 4" xfId="9404" xr:uid="{D5F9EE9B-E688-4630-8AE0-99F441E77747}"/>
    <cellStyle name="Normal 4 4 4 2 2 5" xfId="17849" xr:uid="{28333031-6C72-4424-AA87-ADFC350ED530}"/>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87FD9EC5-DBEF-4BEF-94FE-A0E9633821A8}"/>
    <cellStyle name="Normal 4 4 4 2 3 2 2 3" xfId="24626" xr:uid="{2450A61F-35B9-4D4F-8063-8BB27064826E}"/>
    <cellStyle name="Normal 4 4 4 2 3 2 3" xfId="11962" xr:uid="{ED2BD263-6341-46E9-8FE2-21B9ED2B5E60}"/>
    <cellStyle name="Normal 4 4 4 2 3 2 4" xfId="20409" xr:uid="{0B34CA1C-AB75-4950-85F2-7A1F22D730B6}"/>
    <cellStyle name="Normal 4 4 4 2 3 3" xfId="5593" xr:uid="{00000000-0005-0000-0000-0000BD150000}"/>
    <cellStyle name="Normal 4 4 4 2 3 3 2" xfId="14035" xr:uid="{D03C9158-661E-4F1C-B2ED-D28C1DF2503A}"/>
    <cellStyle name="Normal 4 4 4 2 3 3 3" xfId="22481" xr:uid="{246C601B-096E-4B17-A15F-B1CFFC84079B}"/>
    <cellStyle name="Normal 4 4 4 2 3 4" xfId="9817" xr:uid="{9D261659-DD50-419E-8FB6-CAEE8D0E04E7}"/>
    <cellStyle name="Normal 4 4 4 2 3 5" xfId="18262" xr:uid="{C16289A6-77F4-4AEA-886D-F4AE4DFD23D9}"/>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D8B4A985-40A0-4185-B866-7FA4D1B0F323}"/>
    <cellStyle name="Normal 4 4 4 2 4 2 2 3" xfId="25039" xr:uid="{AA2871D6-BE02-4C04-9765-FB9DE0E7B548}"/>
    <cellStyle name="Normal 4 4 4 2 4 2 3" xfId="12375" xr:uid="{090D9BC6-9844-47CF-A8FB-2554193D5A4B}"/>
    <cellStyle name="Normal 4 4 4 2 4 2 4" xfId="20822" xr:uid="{6C8BBD61-7D2A-434A-81FF-692EA02D2D25}"/>
    <cellStyle name="Normal 4 4 4 2 4 3" xfId="6006" xr:uid="{00000000-0005-0000-0000-0000C1150000}"/>
    <cellStyle name="Normal 4 4 4 2 4 3 2" xfId="14448" xr:uid="{B8015EDE-19E1-409A-85F7-45A19B5BA3A8}"/>
    <cellStyle name="Normal 4 4 4 2 4 3 3" xfId="22894" xr:uid="{78D27F1F-2602-4B6C-AB22-AA7BAF7ADED4}"/>
    <cellStyle name="Normal 4 4 4 2 4 4" xfId="10230" xr:uid="{EE19C446-0D79-41D7-B01F-75B67CE21486}"/>
    <cellStyle name="Normal 4 4 4 2 4 5" xfId="18675" xr:uid="{22D10AA6-8D61-40B3-AD7C-27503259920E}"/>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5D223AA7-AA79-4EFB-8E59-DCD3D82FE9AA}"/>
    <cellStyle name="Normal 4 4 4 2 5 2 2 3" xfId="25452" xr:uid="{E99262AE-FBBE-4759-AA72-2B8987C2513D}"/>
    <cellStyle name="Normal 4 4 4 2 5 2 3" xfId="12788" xr:uid="{D0167CE3-4FD4-40C1-9253-E29EDCD519C2}"/>
    <cellStyle name="Normal 4 4 4 2 5 2 4" xfId="21235" xr:uid="{D64B3A88-6DE6-4BEA-9F8A-987F2B251D19}"/>
    <cellStyle name="Normal 4 4 4 2 5 3" xfId="6419" xr:uid="{00000000-0005-0000-0000-0000C5150000}"/>
    <cellStyle name="Normal 4 4 4 2 5 3 2" xfId="14861" xr:uid="{BB26F2B0-139B-41C8-9EB0-D147FC1A97EA}"/>
    <cellStyle name="Normal 4 4 4 2 5 3 3" xfId="23307" xr:uid="{1168C352-D586-4C36-868E-C81A87EB0E94}"/>
    <cellStyle name="Normal 4 4 4 2 5 4" xfId="10643" xr:uid="{0C0DD2F6-C303-428B-8290-B0AD80EE0DD9}"/>
    <cellStyle name="Normal 4 4 4 2 5 5" xfId="19088" xr:uid="{78AEA568-FE02-43EA-9407-6A8ADEDCD5D1}"/>
    <cellStyle name="Normal 4 4 4 2 6" xfId="2548" xr:uid="{00000000-0005-0000-0000-0000C6150000}"/>
    <cellStyle name="Normal 4 4 4 2 6 2" xfId="6832" xr:uid="{00000000-0005-0000-0000-0000C7150000}"/>
    <cellStyle name="Normal 4 4 4 2 6 2 2" xfId="15274" xr:uid="{D4B58AFD-6785-4056-B317-3CCB8A6B19A1}"/>
    <cellStyle name="Normal 4 4 4 2 6 2 3" xfId="23720" xr:uid="{5235CFE7-F195-4765-BE09-D8C55611F129}"/>
    <cellStyle name="Normal 4 4 4 2 6 3" xfId="11056" xr:uid="{D105C4D7-B105-497E-AAC8-1876B31C012D}"/>
    <cellStyle name="Normal 4 4 4 2 6 4" xfId="19501" xr:uid="{F1A1A5FB-BD0F-4CC4-9748-F4902F4DA525}"/>
    <cellStyle name="Normal 4 4 4 2 7" xfId="4767" xr:uid="{00000000-0005-0000-0000-0000C8150000}"/>
    <cellStyle name="Normal 4 4 4 2 7 2" xfId="13209" xr:uid="{33F05206-F17C-406A-B44F-E12AC7B81692}"/>
    <cellStyle name="Normal 4 4 4 2 7 3" xfId="21655" xr:uid="{47E2679A-F0AD-4117-AEFE-763EED6F324E}"/>
    <cellStyle name="Normal 4 4 4 2 8" xfId="8991" xr:uid="{6814422A-E2E7-4CCE-9A58-A17B241741C6}"/>
    <cellStyle name="Normal 4 4 4 2 9" xfId="17435" xr:uid="{1F2DF605-40D5-4CC1-843C-8F343A2E89CB}"/>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1116566C-466F-464D-86D6-3AC1A9F239A7}"/>
    <cellStyle name="Normal 4 4 4 3 2 2 3" xfId="24212" xr:uid="{14FD85CF-DEA5-412F-A59E-6580B4C2921E}"/>
    <cellStyle name="Normal 4 4 4 3 2 3" xfId="11548" xr:uid="{9C230133-4A07-460D-A208-0F93A1CCB2F6}"/>
    <cellStyle name="Normal 4 4 4 3 2 4" xfId="19995" xr:uid="{C23FA208-8C1C-4E86-96D6-A1021D144893}"/>
    <cellStyle name="Normal 4 4 4 3 3" xfId="5179" xr:uid="{00000000-0005-0000-0000-0000CC150000}"/>
    <cellStyle name="Normal 4 4 4 3 3 2" xfId="13621" xr:uid="{6BC18AEF-A8C0-444E-8660-8F54238B95B6}"/>
    <cellStyle name="Normal 4 4 4 3 3 3" xfId="22067" xr:uid="{750A9B1D-80AF-4294-A339-4476E6BD3098}"/>
    <cellStyle name="Normal 4 4 4 3 4" xfId="9403" xr:uid="{CB63F126-021B-4281-BBBE-50833B9C0D63}"/>
    <cellStyle name="Normal 4 4 4 3 5" xfId="17848" xr:uid="{DEC34E5B-921C-458A-9938-3EA385A4A8DC}"/>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9303A19F-C410-40D5-A0A2-2EA089D09F15}"/>
    <cellStyle name="Normal 4 4 4 4 2 2 3" xfId="24625" xr:uid="{C302988C-5ABE-45FF-9977-0075CB058F1F}"/>
    <cellStyle name="Normal 4 4 4 4 2 3" xfId="11961" xr:uid="{75822DAD-86DA-4F0A-913F-94C4C2C82E96}"/>
    <cellStyle name="Normal 4 4 4 4 2 4" xfId="20408" xr:uid="{FD0B45F0-87B3-45F5-B1F9-D15AF8AA35F6}"/>
    <cellStyle name="Normal 4 4 4 4 3" xfId="5592" xr:uid="{00000000-0005-0000-0000-0000D0150000}"/>
    <cellStyle name="Normal 4 4 4 4 3 2" xfId="14034" xr:uid="{22748EB9-5A55-4AA5-BED6-ED4B85459CFC}"/>
    <cellStyle name="Normal 4 4 4 4 3 3" xfId="22480" xr:uid="{C437E7FF-1445-4243-A26A-F6D773964C1C}"/>
    <cellStyle name="Normal 4 4 4 4 4" xfId="9816" xr:uid="{B0A63B8D-2BC3-4E3A-8094-2A83B3C45C60}"/>
    <cellStyle name="Normal 4 4 4 4 5" xfId="18261" xr:uid="{24557E09-59A3-4B2C-8FB4-D2C657887F0F}"/>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EB17CBBF-E1A9-4E97-B631-2B6AD91D0E66}"/>
    <cellStyle name="Normal 4 4 4 5 2 2 3" xfId="25038" xr:uid="{CC4F356E-AAAF-4A39-B465-17203BDBC58C}"/>
    <cellStyle name="Normal 4 4 4 5 2 3" xfId="12374" xr:uid="{20BBA3F2-16FA-437B-9AD4-40D5611381BB}"/>
    <cellStyle name="Normal 4 4 4 5 2 4" xfId="20821" xr:uid="{66EEE02F-1915-43C1-AC6D-1BAB27AE3EF2}"/>
    <cellStyle name="Normal 4 4 4 5 3" xfId="6005" xr:uid="{00000000-0005-0000-0000-0000D4150000}"/>
    <cellStyle name="Normal 4 4 4 5 3 2" xfId="14447" xr:uid="{713A3B50-BFDB-4429-8B35-F560926EE723}"/>
    <cellStyle name="Normal 4 4 4 5 3 3" xfId="22893" xr:uid="{E96D0B84-59EB-4084-8010-5ABC55FEADAB}"/>
    <cellStyle name="Normal 4 4 4 5 4" xfId="10229" xr:uid="{A92A8FBC-8CAD-4F0A-83EE-12D243056A94}"/>
    <cellStyle name="Normal 4 4 4 5 5" xfId="18674" xr:uid="{8BAB3501-D85C-465A-8AC6-B30B1857FE93}"/>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58A8B7F0-494D-4344-8963-E76B68527983}"/>
    <cellStyle name="Normal 4 4 4 6 2 2 3" xfId="25451" xr:uid="{B5A4CDAC-200D-46AF-806F-6DF4720DCA8C}"/>
    <cellStyle name="Normal 4 4 4 6 2 3" xfId="12787" xr:uid="{9F757A7C-1EFC-4B81-B41F-36D6A490C0C4}"/>
    <cellStyle name="Normal 4 4 4 6 2 4" xfId="21234" xr:uid="{BABF5E52-8DCF-49C6-95C7-3C4083CA531E}"/>
    <cellStyle name="Normal 4 4 4 6 3" xfId="6418" xr:uid="{00000000-0005-0000-0000-0000D8150000}"/>
    <cellStyle name="Normal 4 4 4 6 3 2" xfId="14860" xr:uid="{1AB164DF-576B-4213-829F-B96082D2AF1E}"/>
    <cellStyle name="Normal 4 4 4 6 3 3" xfId="23306" xr:uid="{37EDF64A-F722-4A30-9428-B13CF335366F}"/>
    <cellStyle name="Normal 4 4 4 6 4" xfId="10642" xr:uid="{1D712CC4-3DFE-4D0E-8506-6C6F63148070}"/>
    <cellStyle name="Normal 4 4 4 6 5" xfId="19087" xr:uid="{6346C401-5A1A-44EC-BE2A-BB4B188A0801}"/>
    <cellStyle name="Normal 4 4 4 7" xfId="2547" xr:uid="{00000000-0005-0000-0000-0000D9150000}"/>
    <cellStyle name="Normal 4 4 4 7 2" xfId="6831" xr:uid="{00000000-0005-0000-0000-0000DA150000}"/>
    <cellStyle name="Normal 4 4 4 7 2 2" xfId="15273" xr:uid="{79A801ED-1ACB-4884-A407-413AF89D9D25}"/>
    <cellStyle name="Normal 4 4 4 7 2 3" xfId="23719" xr:uid="{E994EFDA-39FA-4460-AB2C-E3A0A213C58F}"/>
    <cellStyle name="Normal 4 4 4 7 3" xfId="11055" xr:uid="{375B3AFC-0C57-4EFD-9F5E-B490B74DC41E}"/>
    <cellStyle name="Normal 4 4 4 7 4" xfId="19500" xr:uid="{4E6AA01B-BD9E-4108-AFD1-484D63FB88DC}"/>
    <cellStyle name="Normal 4 4 4 8" xfId="4766" xr:uid="{00000000-0005-0000-0000-0000DB150000}"/>
    <cellStyle name="Normal 4 4 4 8 2" xfId="13208" xr:uid="{2CB578B1-4143-4E17-946B-FE1DC593C2BF}"/>
    <cellStyle name="Normal 4 4 4 8 3" xfId="21654" xr:uid="{01C2F62A-BA01-4F51-AF74-0BA4EF1A72D6}"/>
    <cellStyle name="Normal 4 4 4 9" xfId="8990" xr:uid="{51EE4F4C-3BDA-40FB-84F0-B662DC0C842B}"/>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0E74253F-14FF-445C-A2BB-BDA5B308D155}"/>
    <cellStyle name="Normal 4 4 5 2 2 2 3" xfId="24214" xr:uid="{F4090A7B-6584-422C-8E0A-1948FB7E5484}"/>
    <cellStyle name="Normal 4 4 5 2 2 3" xfId="11550" xr:uid="{6EC876C0-B974-4FA1-A7E8-82CD6988CEAB}"/>
    <cellStyle name="Normal 4 4 5 2 2 4" xfId="19997" xr:uid="{900BBBB8-1971-4D2A-B86D-353AF5703C47}"/>
    <cellStyle name="Normal 4 4 5 2 3" xfId="5181" xr:uid="{00000000-0005-0000-0000-0000E0150000}"/>
    <cellStyle name="Normal 4 4 5 2 3 2" xfId="13623" xr:uid="{A3787221-C720-4861-B6E1-8468A8116DE2}"/>
    <cellStyle name="Normal 4 4 5 2 3 3" xfId="22069" xr:uid="{32A6C889-E3C6-41D6-9569-69900BAB4FF8}"/>
    <cellStyle name="Normal 4 4 5 2 4" xfId="9405" xr:uid="{37FD2F31-F219-4AA8-B5DD-421939D857BF}"/>
    <cellStyle name="Normal 4 4 5 2 5" xfId="17850" xr:uid="{7EBC6029-4660-4D5B-B464-2A5142A6BC08}"/>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ABF5F04A-93C3-4F4E-895D-09198AA1E500}"/>
    <cellStyle name="Normal 4 4 5 3 2 2 3" xfId="24627" xr:uid="{504925B6-45DC-4837-829E-71D58439A168}"/>
    <cellStyle name="Normal 4 4 5 3 2 3" xfId="11963" xr:uid="{BD102949-D644-4C43-92C4-A7EB4287C170}"/>
    <cellStyle name="Normal 4 4 5 3 2 4" xfId="20410" xr:uid="{9A9AF2D2-DC2D-445B-906D-FC13B68B48DD}"/>
    <cellStyle name="Normal 4 4 5 3 3" xfId="5594" xr:uid="{00000000-0005-0000-0000-0000E4150000}"/>
    <cellStyle name="Normal 4 4 5 3 3 2" xfId="14036" xr:uid="{5D938475-DBE9-4D98-937F-1EF380121B1C}"/>
    <cellStyle name="Normal 4 4 5 3 3 3" xfId="22482" xr:uid="{4C3C4979-303E-4A6B-B914-5DB052B49BDF}"/>
    <cellStyle name="Normal 4 4 5 3 4" xfId="9818" xr:uid="{7EBD5DAE-630B-435D-8D75-512AA1D05032}"/>
    <cellStyle name="Normal 4 4 5 3 5" xfId="18263" xr:uid="{BEA5D5A4-ECB2-409A-A724-DC05954066AA}"/>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1BF41261-03D4-4FEF-9282-AEB3D2483E89}"/>
    <cellStyle name="Normal 4 4 5 4 2 2 3" xfId="25040" xr:uid="{F9FFAC5C-95EF-404E-B465-E4D5DAC6A73C}"/>
    <cellStyle name="Normal 4 4 5 4 2 3" xfId="12376" xr:uid="{B089DD74-F678-4839-828A-7676E8D8C0FC}"/>
    <cellStyle name="Normal 4 4 5 4 2 4" xfId="20823" xr:uid="{31F02B48-6DB0-4CE7-91C5-C88355061517}"/>
    <cellStyle name="Normal 4 4 5 4 3" xfId="6007" xr:uid="{00000000-0005-0000-0000-0000E8150000}"/>
    <cellStyle name="Normal 4 4 5 4 3 2" xfId="14449" xr:uid="{DE6F8BB0-8FFC-4324-BBFA-7C4F6C088AB5}"/>
    <cellStyle name="Normal 4 4 5 4 3 3" xfId="22895" xr:uid="{DAA83446-232F-4034-8DB0-FE40A971FBE7}"/>
    <cellStyle name="Normal 4 4 5 4 4" xfId="10231" xr:uid="{B9060D71-CF90-4B6F-9A70-D45A65C865ED}"/>
    <cellStyle name="Normal 4 4 5 4 5" xfId="18676" xr:uid="{BF57608D-2D2F-4551-814A-7CF6A486FA23}"/>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A2390E1C-2C95-4503-B7FD-C786B3272798}"/>
    <cellStyle name="Normal 4 4 5 5 2 2 3" xfId="25453" xr:uid="{66D06730-2F22-47D3-8D6A-E9CD8867655A}"/>
    <cellStyle name="Normal 4 4 5 5 2 3" xfId="12789" xr:uid="{F30408BF-EA5A-4027-A0B9-19625A0900AD}"/>
    <cellStyle name="Normal 4 4 5 5 2 4" xfId="21236" xr:uid="{13D88A35-7579-4253-8010-01C90EFF94ED}"/>
    <cellStyle name="Normal 4 4 5 5 3" xfId="6420" xr:uid="{00000000-0005-0000-0000-0000EC150000}"/>
    <cellStyle name="Normal 4 4 5 5 3 2" xfId="14862" xr:uid="{0A3A90F7-01CF-4EDD-AD0A-FA6957A5F4AA}"/>
    <cellStyle name="Normal 4 4 5 5 3 3" xfId="23308" xr:uid="{8133BF77-60C3-4222-99D7-8422FE3EC461}"/>
    <cellStyle name="Normal 4 4 5 5 4" xfId="10644" xr:uid="{F2C7E088-E1EC-453E-97C0-157DE19A252E}"/>
    <cellStyle name="Normal 4 4 5 5 5" xfId="19089" xr:uid="{656AA642-8F1F-418D-B78F-39EB27275915}"/>
    <cellStyle name="Normal 4 4 5 6" xfId="2549" xr:uid="{00000000-0005-0000-0000-0000ED150000}"/>
    <cellStyle name="Normal 4 4 5 6 2" xfId="6833" xr:uid="{00000000-0005-0000-0000-0000EE150000}"/>
    <cellStyle name="Normal 4 4 5 6 2 2" xfId="15275" xr:uid="{898D3097-ACBF-490F-9303-AB917DC7B283}"/>
    <cellStyle name="Normal 4 4 5 6 2 3" xfId="23721" xr:uid="{3903E368-8C3A-48C3-9275-5A0B0BC9453A}"/>
    <cellStyle name="Normal 4 4 5 6 3" xfId="11057" xr:uid="{7402FAB6-44A7-4EAD-93A6-62E0E5EF9556}"/>
    <cellStyle name="Normal 4 4 5 6 4" xfId="19502" xr:uid="{E07AFD37-A8EB-4259-BCB9-96C0602F91D9}"/>
    <cellStyle name="Normal 4 4 5 7" xfId="4768" xr:uid="{00000000-0005-0000-0000-0000EF150000}"/>
    <cellStyle name="Normal 4 4 5 7 2" xfId="13210" xr:uid="{EEE8C778-2696-4D3A-8948-7E06D56734F3}"/>
    <cellStyle name="Normal 4 4 5 7 3" xfId="21656" xr:uid="{EEDC803B-2903-466A-94B4-3A1745C8736C}"/>
    <cellStyle name="Normal 4 4 5 8" xfId="8992" xr:uid="{0F04521E-B191-4467-9E9B-BC0CA2971B9A}"/>
    <cellStyle name="Normal 4 4 5 9" xfId="17436" xr:uid="{45757E79-0AA3-4CD8-B5E5-117183401172}"/>
    <cellStyle name="Normal 4 4 6" xfId="853" xr:uid="{00000000-0005-0000-0000-0000F0150000}"/>
    <cellStyle name="Normal 4 4 6 2" xfId="3088" xr:uid="{00000000-0005-0000-0000-0000F1150000}"/>
    <cellStyle name="Normal 4 4 6 2 2" xfId="7311" xr:uid="{00000000-0005-0000-0000-0000F2150000}"/>
    <cellStyle name="Normal 4 4 6 2 2 2" xfId="15753" xr:uid="{76013041-36AC-4CFC-8AF4-571F1B8936CD}"/>
    <cellStyle name="Normal 4 4 6 2 2 3" xfId="24199" xr:uid="{F4DBAF7A-E9DB-4CE4-94CA-0CF174A80D94}"/>
    <cellStyle name="Normal 4 4 6 2 3" xfId="11535" xr:uid="{C2F4CCB0-380B-4089-A10F-2443AF772246}"/>
    <cellStyle name="Normal 4 4 6 2 4" xfId="19982" xr:uid="{FDEB913A-3DAA-477D-B880-1A939AFE58CA}"/>
    <cellStyle name="Normal 4 4 6 3" xfId="5166" xr:uid="{00000000-0005-0000-0000-0000F3150000}"/>
    <cellStyle name="Normal 4 4 6 3 2" xfId="13608" xr:uid="{ED4A76EE-A77A-4B0A-9AAA-2097311D2411}"/>
    <cellStyle name="Normal 4 4 6 3 3" xfId="22054" xr:uid="{B4709F74-3251-4B4E-A824-1106E7E2CD23}"/>
    <cellStyle name="Normal 4 4 6 4" xfId="9390" xr:uid="{C10806F5-94E4-40CA-9E84-084640C86320}"/>
    <cellStyle name="Normal 4 4 6 5" xfId="17835" xr:uid="{723955F0-1A43-4B9F-8400-C4DFD2EFB053}"/>
    <cellStyle name="Normal 4 4 7" xfId="1271" xr:uid="{00000000-0005-0000-0000-0000F4150000}"/>
    <cellStyle name="Normal 4 4 7 2" xfId="3501" xr:uid="{00000000-0005-0000-0000-0000F5150000}"/>
    <cellStyle name="Normal 4 4 7 2 2" xfId="7724" xr:uid="{00000000-0005-0000-0000-0000F6150000}"/>
    <cellStyle name="Normal 4 4 7 2 2 2" xfId="16166" xr:uid="{0C5E2CDF-B10F-4A88-A37C-C8E278787B98}"/>
    <cellStyle name="Normal 4 4 7 2 2 3" xfId="24612" xr:uid="{7FF697EF-E8A2-43BF-AD19-5CC5DCBD28E0}"/>
    <cellStyle name="Normal 4 4 7 2 3" xfId="11948" xr:uid="{78620100-EE59-4870-85AA-77E2C67935A4}"/>
    <cellStyle name="Normal 4 4 7 2 4" xfId="20395" xr:uid="{8888CA86-8B04-4C66-B653-F06D1CC8E412}"/>
    <cellStyle name="Normal 4 4 7 3" xfId="5579" xr:uid="{00000000-0005-0000-0000-0000F7150000}"/>
    <cellStyle name="Normal 4 4 7 3 2" xfId="14021" xr:uid="{93BE4C30-5EAD-4375-A867-49C583796A53}"/>
    <cellStyle name="Normal 4 4 7 3 3" xfId="22467" xr:uid="{0A176F7B-1DCA-47C7-95A9-FB17C96187B4}"/>
    <cellStyle name="Normal 4 4 7 4" xfId="9803" xr:uid="{89084355-4CB1-4728-88C8-4784B40EF2F4}"/>
    <cellStyle name="Normal 4 4 7 5" xfId="18248" xr:uid="{DEFA1A98-C760-42D0-9047-BB288A279D63}"/>
    <cellStyle name="Normal 4 4 8" xfId="1684" xr:uid="{00000000-0005-0000-0000-0000F8150000}"/>
    <cellStyle name="Normal 4 4 8 2" xfId="3914" xr:uid="{00000000-0005-0000-0000-0000F9150000}"/>
    <cellStyle name="Normal 4 4 8 2 2" xfId="8137" xr:uid="{00000000-0005-0000-0000-0000FA150000}"/>
    <cellStyle name="Normal 4 4 8 2 2 2" xfId="16579" xr:uid="{8BD74659-0D08-4FA1-94BD-578F21A188DC}"/>
    <cellStyle name="Normal 4 4 8 2 2 3" xfId="25025" xr:uid="{26D07A1E-FDA4-4D3B-99DC-13C16082AF4F}"/>
    <cellStyle name="Normal 4 4 8 2 3" xfId="12361" xr:uid="{E8B09883-F25D-4249-9724-C66D22F3748E}"/>
    <cellStyle name="Normal 4 4 8 2 4" xfId="20808" xr:uid="{0F232D81-0F6D-4E37-91D0-FF10FA0BEDA4}"/>
    <cellStyle name="Normal 4 4 8 3" xfId="5992" xr:uid="{00000000-0005-0000-0000-0000FB150000}"/>
    <cellStyle name="Normal 4 4 8 3 2" xfId="14434" xr:uid="{1602BCD8-C5BC-4CBC-A4E6-0A4B610CB211}"/>
    <cellStyle name="Normal 4 4 8 3 3" xfId="22880" xr:uid="{A98CBC9C-A5B8-4EF0-B0AD-4E4984897BF3}"/>
    <cellStyle name="Normal 4 4 8 4" xfId="10216" xr:uid="{40DBEBCA-E5B0-477F-87A2-522B329C490A}"/>
    <cellStyle name="Normal 4 4 8 5" xfId="18661" xr:uid="{9FBA4CC5-2C8C-4E24-8D80-A0B1AAC73597}"/>
    <cellStyle name="Normal 4 4 9" xfId="2098" xr:uid="{00000000-0005-0000-0000-0000FC150000}"/>
    <cellStyle name="Normal 4 4 9 2" xfId="4327" xr:uid="{00000000-0005-0000-0000-0000FD150000}"/>
    <cellStyle name="Normal 4 4 9 2 2" xfId="8550" xr:uid="{00000000-0005-0000-0000-0000FE150000}"/>
    <cellStyle name="Normal 4 4 9 2 2 2" xfId="16992" xr:uid="{EFD9658B-B7CF-472A-8F28-633210E485F9}"/>
    <cellStyle name="Normal 4 4 9 2 2 3" xfId="25438" xr:uid="{65336A84-4919-4556-A591-17662B327D79}"/>
    <cellStyle name="Normal 4 4 9 2 3" xfId="12774" xr:uid="{088A9BBD-902F-453F-815E-A01FA8D7E498}"/>
    <cellStyle name="Normal 4 4 9 2 4" xfId="21221" xr:uid="{A4DDF22D-EDFC-44DB-A013-1C41FDD31E96}"/>
    <cellStyle name="Normal 4 4 9 3" xfId="6405" xr:uid="{00000000-0005-0000-0000-0000FF150000}"/>
    <cellStyle name="Normal 4 4 9 3 2" xfId="14847" xr:uid="{EFFC7BCC-65D1-4B4C-A34A-3C82A162AFD0}"/>
    <cellStyle name="Normal 4 4 9 3 3" xfId="23293" xr:uid="{0A8043E7-A6C3-44A8-B632-AE50D2DD64E2}"/>
    <cellStyle name="Normal 4 4 9 4" xfId="10629" xr:uid="{9D9AF10B-B202-4AD6-9772-D6F4A5B3CDD4}"/>
    <cellStyle name="Normal 4 4 9 5" xfId="19074" xr:uid="{8052F58A-5E85-4517-A93B-294257B8C896}"/>
    <cellStyle name="Normal 4 5" xfId="394" xr:uid="{00000000-0005-0000-0000-000000160000}"/>
    <cellStyle name="Normal 4 5 2" xfId="25726" xr:uid="{CEEC82F0-995C-4FDC-BA4A-D74E1E515337}"/>
    <cellStyle name="Normal 4 6" xfId="395" xr:uid="{00000000-0005-0000-0000-000001160000}"/>
    <cellStyle name="Normal 4 6 10" xfId="4769" xr:uid="{00000000-0005-0000-0000-000002160000}"/>
    <cellStyle name="Normal 4 6 10 2" xfId="13211" xr:uid="{B87BD5D9-9F5F-480A-A44B-9635AC972CAE}"/>
    <cellStyle name="Normal 4 6 10 3" xfId="21657" xr:uid="{2AD6C5D5-9F29-4A31-96DF-4BE18B51A9B8}"/>
    <cellStyle name="Normal 4 6 11" xfId="8993" xr:uid="{4D3D445E-6623-4AC0-8B2E-7364388FCCAB}"/>
    <cellStyle name="Normal 4 6 12" xfId="17437" xr:uid="{8D5E5529-5764-4EAD-8D36-94C6147CCB6D}"/>
    <cellStyle name="Normal 4 6 2" xfId="396" xr:uid="{00000000-0005-0000-0000-000003160000}"/>
    <cellStyle name="Normal 4 6 2 10" xfId="8994" xr:uid="{DD6AB083-BC09-46C8-912D-CA66E2319351}"/>
    <cellStyle name="Normal 4 6 2 11" xfId="17438" xr:uid="{7D63B1BA-B868-486C-89D8-34CD488EFC88}"/>
    <cellStyle name="Normal 4 6 2 2" xfId="397" xr:uid="{00000000-0005-0000-0000-000004160000}"/>
    <cellStyle name="Normal 4 6 2 2 10" xfId="17439" xr:uid="{EFFFFB71-9615-4234-925A-982A7174CA85}"/>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F4981AB2-6A45-4E78-9AB0-589900C6D929}"/>
    <cellStyle name="Normal 4 6 2 2 2 2 2 2 3" xfId="24218" xr:uid="{2E1175DA-316D-4AAF-9DF6-DE765CD16B95}"/>
    <cellStyle name="Normal 4 6 2 2 2 2 2 3" xfId="11554" xr:uid="{25A70ACA-AA93-41BB-B3F7-9EDC1FE0E4CF}"/>
    <cellStyle name="Normal 4 6 2 2 2 2 2 4" xfId="20001" xr:uid="{F4B7C7F1-9F6F-4C65-A4A7-56F92B528D3C}"/>
    <cellStyle name="Normal 4 6 2 2 2 2 3" xfId="5185" xr:uid="{00000000-0005-0000-0000-000009160000}"/>
    <cellStyle name="Normal 4 6 2 2 2 2 3 2" xfId="13627" xr:uid="{20C811C8-5394-4017-A105-45B0309DE5DF}"/>
    <cellStyle name="Normal 4 6 2 2 2 2 3 3" xfId="22073" xr:uid="{072D67BC-36D1-4099-9BC9-DC9ED2C04454}"/>
    <cellStyle name="Normal 4 6 2 2 2 2 4" xfId="9409" xr:uid="{A58AB206-4B4C-40EC-954A-B1E3171A91E4}"/>
    <cellStyle name="Normal 4 6 2 2 2 2 5" xfId="17854" xr:uid="{F7A553CD-78F0-4EE1-9144-6666AC5A34B4}"/>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5977AC9B-CF1C-419B-8DE3-7CDFF3311B6F}"/>
    <cellStyle name="Normal 4 6 2 2 2 3 2 2 3" xfId="24631" xr:uid="{ABDC2456-E4AA-4B8D-97A8-0F10ADDC2057}"/>
    <cellStyle name="Normal 4 6 2 2 2 3 2 3" xfId="11967" xr:uid="{8DF05956-85BC-4E6E-B6FF-A9B3225F674B}"/>
    <cellStyle name="Normal 4 6 2 2 2 3 2 4" xfId="20414" xr:uid="{C3D16551-0820-4E94-ABDB-62FCD4262A7C}"/>
    <cellStyle name="Normal 4 6 2 2 2 3 3" xfId="5598" xr:uid="{00000000-0005-0000-0000-00000D160000}"/>
    <cellStyle name="Normal 4 6 2 2 2 3 3 2" xfId="14040" xr:uid="{C3056F3F-0310-4011-B401-0753EB76A5DB}"/>
    <cellStyle name="Normal 4 6 2 2 2 3 3 3" xfId="22486" xr:uid="{241EBB5B-713A-4E9A-8BAF-D54298721D9E}"/>
    <cellStyle name="Normal 4 6 2 2 2 3 4" xfId="9822" xr:uid="{01DF1EED-736A-42EC-A91F-74F0FD148231}"/>
    <cellStyle name="Normal 4 6 2 2 2 3 5" xfId="18267" xr:uid="{5FF6D94D-2033-4565-8B38-9E6A0C185BF4}"/>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99C39CFB-DFFD-4B04-AB17-62CB8B169FFA}"/>
    <cellStyle name="Normal 4 6 2 2 2 4 2 2 3" xfId="25044" xr:uid="{B63239AA-B793-448D-A6DF-C6751A8321C5}"/>
    <cellStyle name="Normal 4 6 2 2 2 4 2 3" xfId="12380" xr:uid="{064F85E5-BB80-43D8-9D59-6398A380B6D1}"/>
    <cellStyle name="Normal 4 6 2 2 2 4 2 4" xfId="20827" xr:uid="{EBEB8DDF-BEC3-400E-89D9-B401AB168F03}"/>
    <cellStyle name="Normal 4 6 2 2 2 4 3" xfId="6011" xr:uid="{00000000-0005-0000-0000-000011160000}"/>
    <cellStyle name="Normal 4 6 2 2 2 4 3 2" xfId="14453" xr:uid="{6AC345FF-2872-4C3D-89AB-83B803BC9D5A}"/>
    <cellStyle name="Normal 4 6 2 2 2 4 3 3" xfId="22899" xr:uid="{380C6A69-6D5C-4B9A-B86B-4B78F6627C9C}"/>
    <cellStyle name="Normal 4 6 2 2 2 4 4" xfId="10235" xr:uid="{320355F4-72FD-4756-B960-F372BDC12290}"/>
    <cellStyle name="Normal 4 6 2 2 2 4 5" xfId="18680" xr:uid="{FE22912E-79DF-4ABA-8962-8719D4D9DB93}"/>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7F87085C-F911-4720-A5D9-AA03C37B4207}"/>
    <cellStyle name="Normal 4 6 2 2 2 5 2 2 3" xfId="25457" xr:uid="{FA83093C-D29C-4ABC-B19A-F87FC58A1E15}"/>
    <cellStyle name="Normal 4 6 2 2 2 5 2 3" xfId="12793" xr:uid="{872125BE-BAC2-4B44-A1D6-79BE0719DF7B}"/>
    <cellStyle name="Normal 4 6 2 2 2 5 2 4" xfId="21240" xr:uid="{2B6A5E94-5EA1-472F-8D91-935C99C7553B}"/>
    <cellStyle name="Normal 4 6 2 2 2 5 3" xfId="6424" xr:uid="{00000000-0005-0000-0000-000015160000}"/>
    <cellStyle name="Normal 4 6 2 2 2 5 3 2" xfId="14866" xr:uid="{3EFC7E1F-E5AC-4AAD-9740-33B9423E5D04}"/>
    <cellStyle name="Normal 4 6 2 2 2 5 3 3" xfId="23312" xr:uid="{0850BCA6-5346-44F1-9810-93CF13287CC8}"/>
    <cellStyle name="Normal 4 6 2 2 2 5 4" xfId="10648" xr:uid="{10EE692C-2BAA-4A49-91ED-0869DEE9DB3D}"/>
    <cellStyle name="Normal 4 6 2 2 2 5 5" xfId="19093" xr:uid="{2279FBA7-A499-40BC-9BE1-105D129DCE39}"/>
    <cellStyle name="Normal 4 6 2 2 2 6" xfId="2553" xr:uid="{00000000-0005-0000-0000-000016160000}"/>
    <cellStyle name="Normal 4 6 2 2 2 6 2" xfId="6837" xr:uid="{00000000-0005-0000-0000-000017160000}"/>
    <cellStyle name="Normal 4 6 2 2 2 6 2 2" xfId="15279" xr:uid="{4EED27D0-3179-4002-8CFB-265783A505D1}"/>
    <cellStyle name="Normal 4 6 2 2 2 6 2 3" xfId="23725" xr:uid="{960157F0-8902-4409-82C6-E92CE8E554A3}"/>
    <cellStyle name="Normal 4 6 2 2 2 6 3" xfId="11061" xr:uid="{6D35A551-05A9-4FD1-B8D1-C1F80F711BED}"/>
    <cellStyle name="Normal 4 6 2 2 2 6 4" xfId="19506" xr:uid="{7EA617C5-1826-4272-AAA3-84E9FCC73309}"/>
    <cellStyle name="Normal 4 6 2 2 2 7" xfId="4772" xr:uid="{00000000-0005-0000-0000-000018160000}"/>
    <cellStyle name="Normal 4 6 2 2 2 7 2" xfId="13214" xr:uid="{1A232844-2479-4D91-AD69-C76895537DEA}"/>
    <cellStyle name="Normal 4 6 2 2 2 7 3" xfId="21660" xr:uid="{12828110-6752-41D7-B3F7-77C251F7FC26}"/>
    <cellStyle name="Normal 4 6 2 2 2 8" xfId="8996" xr:uid="{08FFAAA4-4601-4502-8B11-143F884D5FAA}"/>
    <cellStyle name="Normal 4 6 2 2 2 9" xfId="17440" xr:uid="{775808EA-2623-4790-8345-98337307BD84}"/>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D1C51476-5A15-44C7-BB51-42D9C3648666}"/>
    <cellStyle name="Normal 4 6 2 2 3 2 2 3" xfId="24217" xr:uid="{EA580F0F-1426-43D3-B6E9-1CEA634445AF}"/>
    <cellStyle name="Normal 4 6 2 2 3 2 3" xfId="11553" xr:uid="{0C77A407-2480-4C0C-9F5D-9A9902383662}"/>
    <cellStyle name="Normal 4 6 2 2 3 2 4" xfId="20000" xr:uid="{2157AF85-A83D-4E36-8FBB-51A7C4897FCA}"/>
    <cellStyle name="Normal 4 6 2 2 3 3" xfId="5184" xr:uid="{00000000-0005-0000-0000-00001C160000}"/>
    <cellStyle name="Normal 4 6 2 2 3 3 2" xfId="13626" xr:uid="{680FD4F1-1918-4CEE-A963-259A939020D4}"/>
    <cellStyle name="Normal 4 6 2 2 3 3 3" xfId="22072" xr:uid="{1FE624BA-B3CC-4EB5-A0BE-5CC6A163A337}"/>
    <cellStyle name="Normal 4 6 2 2 3 4" xfId="9408" xr:uid="{1D10BC40-0A22-43DD-82D9-44403AC72329}"/>
    <cellStyle name="Normal 4 6 2 2 3 5" xfId="17853" xr:uid="{9C25C0A8-C7F0-465C-AE64-CF483798FF5F}"/>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0B52ED2D-C9F9-49EB-995D-A1BDCF40AC6B}"/>
    <cellStyle name="Normal 4 6 2 2 4 2 2 3" xfId="24630" xr:uid="{3FB13A6B-CBF0-466F-BD4B-2E77DF9B2050}"/>
    <cellStyle name="Normal 4 6 2 2 4 2 3" xfId="11966" xr:uid="{BA055E3B-E56D-4C75-A73D-E1F6E4B605BC}"/>
    <cellStyle name="Normal 4 6 2 2 4 2 4" xfId="20413" xr:uid="{C1629839-1AF0-400D-ACBC-5003C015825B}"/>
    <cellStyle name="Normal 4 6 2 2 4 3" xfId="5597" xr:uid="{00000000-0005-0000-0000-000020160000}"/>
    <cellStyle name="Normal 4 6 2 2 4 3 2" xfId="14039" xr:uid="{CA45E319-52CB-4092-9A1A-B08B45A6F6EE}"/>
    <cellStyle name="Normal 4 6 2 2 4 3 3" xfId="22485" xr:uid="{36E1AD11-AD45-4BE7-BB93-80FBDA8F67F6}"/>
    <cellStyle name="Normal 4 6 2 2 4 4" xfId="9821" xr:uid="{90E8CE72-3A9F-43A2-A310-EF99CA90215D}"/>
    <cellStyle name="Normal 4 6 2 2 4 5" xfId="18266" xr:uid="{82774E3C-2E83-4457-B3C3-4F40EFB06191}"/>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83C4ABDE-D88C-4A4F-89CD-DD99B3689C09}"/>
    <cellStyle name="Normal 4 6 2 2 5 2 2 3" xfId="25043" xr:uid="{1AC223E4-6369-489E-985D-96A9ACED9446}"/>
    <cellStyle name="Normal 4 6 2 2 5 2 3" xfId="12379" xr:uid="{F32C7F98-0898-41D2-9BDB-E1817DF0D4C5}"/>
    <cellStyle name="Normal 4 6 2 2 5 2 4" xfId="20826" xr:uid="{0764941F-85F6-4BF8-95D8-7477978E2057}"/>
    <cellStyle name="Normal 4 6 2 2 5 3" xfId="6010" xr:uid="{00000000-0005-0000-0000-000024160000}"/>
    <cellStyle name="Normal 4 6 2 2 5 3 2" xfId="14452" xr:uid="{86CB3BB6-9E71-43F4-8B2F-29EEFA08C737}"/>
    <cellStyle name="Normal 4 6 2 2 5 3 3" xfId="22898" xr:uid="{D8E07E85-4672-490A-A287-5A88BC3FC90B}"/>
    <cellStyle name="Normal 4 6 2 2 5 4" xfId="10234" xr:uid="{AE8E0FFC-6B84-4F47-BB76-D6CA73797FF1}"/>
    <cellStyle name="Normal 4 6 2 2 5 5" xfId="18679" xr:uid="{F91D9F75-86E9-4E67-9872-E68D449A7CF9}"/>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2B344688-05D3-46B6-9DD1-BA2276D24716}"/>
    <cellStyle name="Normal 4 6 2 2 6 2 2 3" xfId="25456" xr:uid="{67E2244B-90BF-4CFF-9719-B66998994968}"/>
    <cellStyle name="Normal 4 6 2 2 6 2 3" xfId="12792" xr:uid="{EBC80315-D5AA-4FCC-8946-F46DB4529CC7}"/>
    <cellStyle name="Normal 4 6 2 2 6 2 4" xfId="21239" xr:uid="{BD0DB92F-D304-4092-A6BF-8CB8CBB1F249}"/>
    <cellStyle name="Normal 4 6 2 2 6 3" xfId="6423" xr:uid="{00000000-0005-0000-0000-000028160000}"/>
    <cellStyle name="Normal 4 6 2 2 6 3 2" xfId="14865" xr:uid="{73291A52-D2C9-4325-A9D4-962AFC330B2B}"/>
    <cellStyle name="Normal 4 6 2 2 6 3 3" xfId="23311" xr:uid="{25351431-1C5F-4DBB-8D05-6711EEB7ABF3}"/>
    <cellStyle name="Normal 4 6 2 2 6 4" xfId="10647" xr:uid="{D749BFC7-16BF-4EFF-8D78-DE424E5CDB69}"/>
    <cellStyle name="Normal 4 6 2 2 6 5" xfId="19092" xr:uid="{FB4965A1-6A50-43B5-BC7A-B0C13ACBBF26}"/>
    <cellStyle name="Normal 4 6 2 2 7" xfId="2552" xr:uid="{00000000-0005-0000-0000-000029160000}"/>
    <cellStyle name="Normal 4 6 2 2 7 2" xfId="6836" xr:uid="{00000000-0005-0000-0000-00002A160000}"/>
    <cellStyle name="Normal 4 6 2 2 7 2 2" xfId="15278" xr:uid="{1ACE4ABB-0E41-445E-A37E-CACD6203380C}"/>
    <cellStyle name="Normal 4 6 2 2 7 2 3" xfId="23724" xr:uid="{CEF98D3C-3ED0-45D1-8496-48D18494C978}"/>
    <cellStyle name="Normal 4 6 2 2 7 3" xfId="11060" xr:uid="{F45C6C30-F12F-4D21-89F3-3B55CFADA243}"/>
    <cellStyle name="Normal 4 6 2 2 7 4" xfId="19505" xr:uid="{057B14B1-6C50-4B44-B245-9DFB71CAFB36}"/>
    <cellStyle name="Normal 4 6 2 2 8" xfId="4771" xr:uid="{00000000-0005-0000-0000-00002B160000}"/>
    <cellStyle name="Normal 4 6 2 2 8 2" xfId="13213" xr:uid="{BF445464-F2CF-4919-B6B5-F6E1250FF535}"/>
    <cellStyle name="Normal 4 6 2 2 8 3" xfId="21659" xr:uid="{72C87AA5-A57F-4971-9E09-C81E0D9B5F75}"/>
    <cellStyle name="Normal 4 6 2 2 9" xfId="8995" xr:uid="{36D1DA6E-BED3-4C95-925A-6A407324CDFB}"/>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1C4982C9-514C-4D06-92D2-76A825DDA821}"/>
    <cellStyle name="Normal 4 6 2 3 2 2 2 3" xfId="24219" xr:uid="{B6825CB5-2773-490C-900C-1338115B6ABC}"/>
    <cellStyle name="Normal 4 6 2 3 2 2 3" xfId="11555" xr:uid="{28D9A64C-CF24-487E-A5E4-20135EBE785F}"/>
    <cellStyle name="Normal 4 6 2 3 2 2 4" xfId="20002" xr:uid="{F87DC97A-2BE9-4B02-8D7C-CE4145548D41}"/>
    <cellStyle name="Normal 4 6 2 3 2 3" xfId="5186" xr:uid="{00000000-0005-0000-0000-000030160000}"/>
    <cellStyle name="Normal 4 6 2 3 2 3 2" xfId="13628" xr:uid="{B1270A8C-FAB4-417F-95CB-EDCFC50001AC}"/>
    <cellStyle name="Normal 4 6 2 3 2 3 3" xfId="22074" xr:uid="{9D09387E-80E7-457F-8AAF-6EB490A069F9}"/>
    <cellStyle name="Normal 4 6 2 3 2 4" xfId="9410" xr:uid="{992915B9-E43F-4F6C-B362-02D6F70D5225}"/>
    <cellStyle name="Normal 4 6 2 3 2 5" xfId="17855" xr:uid="{A9A391F1-128B-4083-9385-877295956FAE}"/>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2C453A0E-AF27-4595-994F-57437E76582E}"/>
    <cellStyle name="Normal 4 6 2 3 3 2 2 3" xfId="24632" xr:uid="{19899A32-66B3-4882-A823-A9CFAF4E2C86}"/>
    <cellStyle name="Normal 4 6 2 3 3 2 3" xfId="11968" xr:uid="{6D128B97-613B-46BF-9473-E2A0FB707623}"/>
    <cellStyle name="Normal 4 6 2 3 3 2 4" xfId="20415" xr:uid="{E79612BF-949F-4B86-853E-0037EAABA5C2}"/>
    <cellStyle name="Normal 4 6 2 3 3 3" xfId="5599" xr:uid="{00000000-0005-0000-0000-000034160000}"/>
    <cellStyle name="Normal 4 6 2 3 3 3 2" xfId="14041" xr:uid="{46FD08A3-75CF-4A82-BCDB-FA596BAA18AD}"/>
    <cellStyle name="Normal 4 6 2 3 3 3 3" xfId="22487" xr:uid="{4DC244B0-A909-4550-BAE8-42D98F481930}"/>
    <cellStyle name="Normal 4 6 2 3 3 4" xfId="9823" xr:uid="{937D83B2-6F6A-49F9-A156-7015DD32A3E7}"/>
    <cellStyle name="Normal 4 6 2 3 3 5" xfId="18268" xr:uid="{DF597B33-5F4A-46BD-8DC0-1FE999270246}"/>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214A5AD8-088E-4A71-805E-95E8E54760A1}"/>
    <cellStyle name="Normal 4 6 2 3 4 2 2 3" xfId="25045" xr:uid="{5B33206B-3DEF-4A49-B94F-44270ED198D7}"/>
    <cellStyle name="Normal 4 6 2 3 4 2 3" xfId="12381" xr:uid="{DEF01F7F-AD68-4990-BCEE-4766C2D4949B}"/>
    <cellStyle name="Normal 4 6 2 3 4 2 4" xfId="20828" xr:uid="{5520E68C-90ED-4229-A8F6-6C334FE2D448}"/>
    <cellStyle name="Normal 4 6 2 3 4 3" xfId="6012" xr:uid="{00000000-0005-0000-0000-000038160000}"/>
    <cellStyle name="Normal 4 6 2 3 4 3 2" xfId="14454" xr:uid="{EC734607-EE2E-4B46-9911-0E26B7EA0D2D}"/>
    <cellStyle name="Normal 4 6 2 3 4 3 3" xfId="22900" xr:uid="{CCBA4F18-F138-46C9-8D5D-46C67D8310D0}"/>
    <cellStyle name="Normal 4 6 2 3 4 4" xfId="10236" xr:uid="{3F418677-6AEC-419B-8226-1EE600AAD505}"/>
    <cellStyle name="Normal 4 6 2 3 4 5" xfId="18681" xr:uid="{7E64D95C-07A9-4ABD-8F10-A9ECE8A8B83D}"/>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3E22E2AB-AF45-4086-8FD3-97D7D9839322}"/>
    <cellStyle name="Normal 4 6 2 3 5 2 2 3" xfId="25458" xr:uid="{96DF31FA-FA4F-4FC6-9510-89975DBF5F96}"/>
    <cellStyle name="Normal 4 6 2 3 5 2 3" xfId="12794" xr:uid="{E454FE28-D900-4CF9-A8E9-FDFF3F4E4ED9}"/>
    <cellStyle name="Normal 4 6 2 3 5 2 4" xfId="21241" xr:uid="{B6098CC0-A4F1-43AF-BCF5-4018D590B5BE}"/>
    <cellStyle name="Normal 4 6 2 3 5 3" xfId="6425" xr:uid="{00000000-0005-0000-0000-00003C160000}"/>
    <cellStyle name="Normal 4 6 2 3 5 3 2" xfId="14867" xr:uid="{A11228A4-A9EF-4F62-A9AE-04B0BB794AE6}"/>
    <cellStyle name="Normal 4 6 2 3 5 3 3" xfId="23313" xr:uid="{03B6DC88-2605-4218-A313-51D7FF704BD9}"/>
    <cellStyle name="Normal 4 6 2 3 5 4" xfId="10649" xr:uid="{15836967-66CE-4050-AA39-FEB13662B5B2}"/>
    <cellStyle name="Normal 4 6 2 3 5 5" xfId="19094" xr:uid="{C0BBECB3-BF87-4C52-9E10-B275EBB93B60}"/>
    <cellStyle name="Normal 4 6 2 3 6" xfId="2554" xr:uid="{00000000-0005-0000-0000-00003D160000}"/>
    <cellStyle name="Normal 4 6 2 3 6 2" xfId="6838" xr:uid="{00000000-0005-0000-0000-00003E160000}"/>
    <cellStyle name="Normal 4 6 2 3 6 2 2" xfId="15280" xr:uid="{ADA3ED31-5AD8-4175-97CE-E1557392D297}"/>
    <cellStyle name="Normal 4 6 2 3 6 2 3" xfId="23726" xr:uid="{9A1329ED-7A15-45D2-807B-8EB87FFB99BF}"/>
    <cellStyle name="Normal 4 6 2 3 6 3" xfId="11062" xr:uid="{1D8E14FF-F019-40E1-8CD6-70CA1B94EBF3}"/>
    <cellStyle name="Normal 4 6 2 3 6 4" xfId="19507" xr:uid="{B33C3C7A-D58C-4CEB-90A0-61566C708D66}"/>
    <cellStyle name="Normal 4 6 2 3 7" xfId="4773" xr:uid="{00000000-0005-0000-0000-00003F160000}"/>
    <cellStyle name="Normal 4 6 2 3 7 2" xfId="13215" xr:uid="{B7EEFE5E-7708-4CBC-AF30-3716D5AE3662}"/>
    <cellStyle name="Normal 4 6 2 3 7 3" xfId="21661" xr:uid="{C30D2637-7F51-4E69-883C-A7583BB7242F}"/>
    <cellStyle name="Normal 4 6 2 3 8" xfId="8997" xr:uid="{DE61DCDC-3780-40E8-A632-0928F9F82BBB}"/>
    <cellStyle name="Normal 4 6 2 3 9" xfId="17441" xr:uid="{F942976A-5486-4A56-8ACA-20A16AC0EC7D}"/>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468FF901-19E5-4172-932C-B3F13A151F80}"/>
    <cellStyle name="Normal 4 6 2 4 2 2 3" xfId="24216" xr:uid="{4967FC92-6397-4B43-81B6-E96B1B7BEDD1}"/>
    <cellStyle name="Normal 4 6 2 4 2 3" xfId="11552" xr:uid="{E774842C-B6CE-41DB-BBA3-3BFE27E3E419}"/>
    <cellStyle name="Normal 4 6 2 4 2 4" xfId="19999" xr:uid="{CE6FE2C0-FD4C-4AA0-AFBD-310C31FF5DBB}"/>
    <cellStyle name="Normal 4 6 2 4 3" xfId="5183" xr:uid="{00000000-0005-0000-0000-000043160000}"/>
    <cellStyle name="Normal 4 6 2 4 3 2" xfId="13625" xr:uid="{F3877D7E-E1F2-42E9-A759-CEA1940795F5}"/>
    <cellStyle name="Normal 4 6 2 4 3 3" xfId="22071" xr:uid="{3B35B946-B471-42D4-B334-D9C4A3EB862F}"/>
    <cellStyle name="Normal 4 6 2 4 4" xfId="9407" xr:uid="{89EB309A-8AF2-489F-8A6A-48DE8F02C0AF}"/>
    <cellStyle name="Normal 4 6 2 4 5" xfId="17852" xr:uid="{C4DB4C40-9842-4113-A114-8BB5076B302D}"/>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405F5988-12CD-4E85-9694-E6A9EEC74660}"/>
    <cellStyle name="Normal 4 6 2 5 2 2 3" xfId="24629" xr:uid="{49E6C9CA-1ACC-46D9-A986-76BF47BF8B79}"/>
    <cellStyle name="Normal 4 6 2 5 2 3" xfId="11965" xr:uid="{FF4306AD-4402-4358-AFAD-7449028BB80F}"/>
    <cellStyle name="Normal 4 6 2 5 2 4" xfId="20412" xr:uid="{888B93DA-E049-4DD4-93B4-5B56E0CF970A}"/>
    <cellStyle name="Normal 4 6 2 5 3" xfId="5596" xr:uid="{00000000-0005-0000-0000-000047160000}"/>
    <cellStyle name="Normal 4 6 2 5 3 2" xfId="14038" xr:uid="{2E55A944-D4C5-446B-A57D-F32F607D3BF4}"/>
    <cellStyle name="Normal 4 6 2 5 3 3" xfId="22484" xr:uid="{88426759-632B-44BA-9ABC-B5DBC93C404A}"/>
    <cellStyle name="Normal 4 6 2 5 4" xfId="9820" xr:uid="{97F06A97-723F-4D29-A779-B268AE4353B0}"/>
    <cellStyle name="Normal 4 6 2 5 5" xfId="18265" xr:uid="{51885E3E-24F4-407F-BDA8-EB218FE40DA9}"/>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05DD5455-EBD9-40E4-BED0-9DBE057F6C3E}"/>
    <cellStyle name="Normal 4 6 2 6 2 2 3" xfId="25042" xr:uid="{F075D6EB-288A-4125-98C3-9680D1982723}"/>
    <cellStyle name="Normal 4 6 2 6 2 3" xfId="12378" xr:uid="{A88998F0-2797-4659-8049-9E8C52CD82E3}"/>
    <cellStyle name="Normal 4 6 2 6 2 4" xfId="20825" xr:uid="{A870CEC9-764F-4E6F-94E0-ED9775AD8CD1}"/>
    <cellStyle name="Normal 4 6 2 6 3" xfId="6009" xr:uid="{00000000-0005-0000-0000-00004B160000}"/>
    <cellStyle name="Normal 4 6 2 6 3 2" xfId="14451" xr:uid="{3509C0BD-3D16-4A2E-833B-7715035CFC35}"/>
    <cellStyle name="Normal 4 6 2 6 3 3" xfId="22897" xr:uid="{6B6C169B-6F0C-426A-9B8E-0EB68EDC68E2}"/>
    <cellStyle name="Normal 4 6 2 6 4" xfId="10233" xr:uid="{D2D5999C-0537-4CB8-84C1-0E852EC7DAB4}"/>
    <cellStyle name="Normal 4 6 2 6 5" xfId="18678" xr:uid="{85A71A1A-6870-4AAF-A9F4-27CEC0B35803}"/>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C2D0DCD2-E53C-4EEF-ABFF-136B90222CD9}"/>
    <cellStyle name="Normal 4 6 2 7 2 2 3" xfId="25455" xr:uid="{1DC454F8-9E6E-4171-9B37-931401958F29}"/>
    <cellStyle name="Normal 4 6 2 7 2 3" xfId="12791" xr:uid="{92F433EB-A2A2-4D75-8170-586FD9EDA9ED}"/>
    <cellStyle name="Normal 4 6 2 7 2 4" xfId="21238" xr:uid="{A400112F-3E05-4BB3-8F3D-45AB251DA898}"/>
    <cellStyle name="Normal 4 6 2 7 3" xfId="6422" xr:uid="{00000000-0005-0000-0000-00004F160000}"/>
    <cellStyle name="Normal 4 6 2 7 3 2" xfId="14864" xr:uid="{B3BE8B1C-64E2-4552-B626-246BAB384BD7}"/>
    <cellStyle name="Normal 4 6 2 7 3 3" xfId="23310" xr:uid="{14A40C90-0FCD-4E9D-BF43-BEB52F18C8E4}"/>
    <cellStyle name="Normal 4 6 2 7 4" xfId="10646" xr:uid="{B47733B9-5F1A-4EFC-AEDC-822D63998815}"/>
    <cellStyle name="Normal 4 6 2 7 5" xfId="19091" xr:uid="{21E81C96-AB1C-4F8F-A517-C5D9582084C6}"/>
    <cellStyle name="Normal 4 6 2 8" xfId="2551" xr:uid="{00000000-0005-0000-0000-000050160000}"/>
    <cellStyle name="Normal 4 6 2 8 2" xfId="6835" xr:uid="{00000000-0005-0000-0000-000051160000}"/>
    <cellStyle name="Normal 4 6 2 8 2 2" xfId="15277" xr:uid="{A76F6BA9-4759-4F4E-A474-FEB2C7FDC433}"/>
    <cellStyle name="Normal 4 6 2 8 2 3" xfId="23723" xr:uid="{F30E7CC1-6298-44C3-97E1-BC07887A74A3}"/>
    <cellStyle name="Normal 4 6 2 8 3" xfId="11059" xr:uid="{98965C15-B2C1-4F54-A78B-639899D245C5}"/>
    <cellStyle name="Normal 4 6 2 8 4" xfId="19504" xr:uid="{81AFA613-5F0B-4B9D-8F5C-2595CC08F3D0}"/>
    <cellStyle name="Normal 4 6 2 9" xfId="4770" xr:uid="{00000000-0005-0000-0000-000052160000}"/>
    <cellStyle name="Normal 4 6 2 9 2" xfId="13212" xr:uid="{F6395996-0F25-43B6-9BA1-D9D2709D5D2B}"/>
    <cellStyle name="Normal 4 6 2 9 3" xfId="21658" xr:uid="{AD1C7C20-D1AD-46D4-8D06-6DF302E6A450}"/>
    <cellStyle name="Normal 4 6 3" xfId="400" xr:uid="{00000000-0005-0000-0000-000053160000}"/>
    <cellStyle name="Normal 4 6 3 10" xfId="17442" xr:uid="{3538C06C-91A9-40D3-A83C-0A87E98F43F3}"/>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B9653B1D-01F2-4246-B729-863E77A011E3}"/>
    <cellStyle name="Normal 4 6 3 2 2 2 2 3" xfId="24221" xr:uid="{9A14F44F-E5FD-4AF1-8120-D78DC870748F}"/>
    <cellStyle name="Normal 4 6 3 2 2 2 3" xfId="11557" xr:uid="{AFE97CA7-366E-4287-9CB7-4A2FAFCEDE09}"/>
    <cellStyle name="Normal 4 6 3 2 2 2 4" xfId="20004" xr:uid="{D503427B-965B-4BC9-A09E-78D7320D7D95}"/>
    <cellStyle name="Normal 4 6 3 2 2 3" xfId="5188" xr:uid="{00000000-0005-0000-0000-000058160000}"/>
    <cellStyle name="Normal 4 6 3 2 2 3 2" xfId="13630" xr:uid="{B1167A10-8BB9-4C44-BDC9-645ECF764F25}"/>
    <cellStyle name="Normal 4 6 3 2 2 3 3" xfId="22076" xr:uid="{8DBCA723-A65C-4395-9AB6-4F422E62E83F}"/>
    <cellStyle name="Normal 4 6 3 2 2 4" xfId="9412" xr:uid="{5E10F0FE-860C-45F8-9A13-A2A611592A6F}"/>
    <cellStyle name="Normal 4 6 3 2 2 5" xfId="17857" xr:uid="{B816ACC9-D92C-435D-A857-20598F07B0E4}"/>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C2B5F014-7797-474B-927C-525DFC737664}"/>
    <cellStyle name="Normal 4 6 3 2 3 2 2 3" xfId="24634" xr:uid="{F6C9A352-9171-4288-9031-4F1029BD420C}"/>
    <cellStyle name="Normal 4 6 3 2 3 2 3" xfId="11970" xr:uid="{D245CE3D-8D55-484A-8825-611E04600F99}"/>
    <cellStyle name="Normal 4 6 3 2 3 2 4" xfId="20417" xr:uid="{1AFE6217-1107-4FF1-965A-F98EDEA46B51}"/>
    <cellStyle name="Normal 4 6 3 2 3 3" xfId="5601" xr:uid="{00000000-0005-0000-0000-00005C160000}"/>
    <cellStyle name="Normal 4 6 3 2 3 3 2" xfId="14043" xr:uid="{FE0D3C8E-F4FF-46AF-9FF5-B472D718BDB0}"/>
    <cellStyle name="Normal 4 6 3 2 3 3 3" xfId="22489" xr:uid="{7C2828EF-E44D-4218-B31A-383064546B33}"/>
    <cellStyle name="Normal 4 6 3 2 3 4" xfId="9825" xr:uid="{7EA84179-8379-42F0-B379-F63EEB03DA3A}"/>
    <cellStyle name="Normal 4 6 3 2 3 5" xfId="18270" xr:uid="{FDC313AB-A9DC-4DE5-8D37-8918C92C986E}"/>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6840B7CC-7E5F-4C91-988E-A3E92F54AF18}"/>
    <cellStyle name="Normal 4 6 3 2 4 2 2 3" xfId="25047" xr:uid="{50AA2257-4381-4BD0-9FB8-83D15613BAD3}"/>
    <cellStyle name="Normal 4 6 3 2 4 2 3" xfId="12383" xr:uid="{F58DE711-87D9-4E00-B29E-AE24862FEBEA}"/>
    <cellStyle name="Normal 4 6 3 2 4 2 4" xfId="20830" xr:uid="{4CBFD963-1154-4577-8809-97FFDA97E123}"/>
    <cellStyle name="Normal 4 6 3 2 4 3" xfId="6014" xr:uid="{00000000-0005-0000-0000-000060160000}"/>
    <cellStyle name="Normal 4 6 3 2 4 3 2" xfId="14456" xr:uid="{5642C15E-ED19-4B48-92B3-1D8BCD067172}"/>
    <cellStyle name="Normal 4 6 3 2 4 3 3" xfId="22902" xr:uid="{645B3B79-1865-49E9-980D-916BAA8CB245}"/>
    <cellStyle name="Normal 4 6 3 2 4 4" xfId="10238" xr:uid="{2D7C47FC-C854-4CE4-992A-62759E96D85F}"/>
    <cellStyle name="Normal 4 6 3 2 4 5" xfId="18683" xr:uid="{303832F2-A760-4C20-A8A4-9BDB1E679A1B}"/>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42377B85-6BEE-4A2F-B30F-81B98663D70D}"/>
    <cellStyle name="Normal 4 6 3 2 5 2 2 3" xfId="25460" xr:uid="{191FC3B1-AE31-4F9F-BA50-5C8FC655A4D3}"/>
    <cellStyle name="Normal 4 6 3 2 5 2 3" xfId="12796" xr:uid="{E593359D-7680-4DF4-8C4B-FDAD343031C0}"/>
    <cellStyle name="Normal 4 6 3 2 5 2 4" xfId="21243" xr:uid="{7C2B9B6D-D7F2-4996-B0E7-D18415013ACC}"/>
    <cellStyle name="Normal 4 6 3 2 5 3" xfId="6427" xr:uid="{00000000-0005-0000-0000-000064160000}"/>
    <cellStyle name="Normal 4 6 3 2 5 3 2" xfId="14869" xr:uid="{01CC14CD-9149-47D8-B3FB-B6366B1E191C}"/>
    <cellStyle name="Normal 4 6 3 2 5 3 3" xfId="23315" xr:uid="{A8708C97-54D0-4D84-BBB0-1A08C4D10FE3}"/>
    <cellStyle name="Normal 4 6 3 2 5 4" xfId="10651" xr:uid="{73A79C4E-FA96-42C4-8CC5-58426E73765F}"/>
    <cellStyle name="Normal 4 6 3 2 5 5" xfId="19096" xr:uid="{53DC95B0-6FB2-4137-B94A-BA70666FCC09}"/>
    <cellStyle name="Normal 4 6 3 2 6" xfId="2556" xr:uid="{00000000-0005-0000-0000-000065160000}"/>
    <cellStyle name="Normal 4 6 3 2 6 2" xfId="6840" xr:uid="{00000000-0005-0000-0000-000066160000}"/>
    <cellStyle name="Normal 4 6 3 2 6 2 2" xfId="15282" xr:uid="{521C21FF-4D66-4FAC-A5AB-D0EA16D80BAD}"/>
    <cellStyle name="Normal 4 6 3 2 6 2 3" xfId="23728" xr:uid="{3FDED09D-E17D-43CF-8E13-AFAAF898D315}"/>
    <cellStyle name="Normal 4 6 3 2 6 3" xfId="11064" xr:uid="{C1BCD9DB-FDEE-41EC-BEF0-CEAEA9F8440D}"/>
    <cellStyle name="Normal 4 6 3 2 6 4" xfId="19509" xr:uid="{41008025-4C75-4CBC-A553-E6F075B84A57}"/>
    <cellStyle name="Normal 4 6 3 2 7" xfId="4775" xr:uid="{00000000-0005-0000-0000-000067160000}"/>
    <cellStyle name="Normal 4 6 3 2 7 2" xfId="13217" xr:uid="{1AC3FDC6-9F36-452A-A40B-5DB9A4C375F4}"/>
    <cellStyle name="Normal 4 6 3 2 7 3" xfId="21663" xr:uid="{A6D0BF87-30CA-4C4A-AFE6-168FBE9AC619}"/>
    <cellStyle name="Normal 4 6 3 2 8" xfId="8999" xr:uid="{FFD1FCB3-BCB8-4806-BDF1-96FAE3A69228}"/>
    <cellStyle name="Normal 4 6 3 2 9" xfId="17443" xr:uid="{E959DD7E-DCD8-4D74-8EA9-43849BEF90E3}"/>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8A44000E-3613-434A-946D-1D8A222F28A7}"/>
    <cellStyle name="Normal 4 6 3 3 2 2 3" xfId="24220" xr:uid="{6A40E382-47EA-4A36-9070-94CCA787436E}"/>
    <cellStyle name="Normal 4 6 3 3 2 3" xfId="11556" xr:uid="{9A46AEE8-5198-4920-AB27-3C93D15636E4}"/>
    <cellStyle name="Normal 4 6 3 3 2 4" xfId="20003" xr:uid="{5042AD4E-C433-40EA-A89A-271FA292935F}"/>
    <cellStyle name="Normal 4 6 3 3 3" xfId="5187" xr:uid="{00000000-0005-0000-0000-00006B160000}"/>
    <cellStyle name="Normal 4 6 3 3 3 2" xfId="13629" xr:uid="{8C859E35-50CD-4271-BC46-4BAC6C760DD9}"/>
    <cellStyle name="Normal 4 6 3 3 3 3" xfId="22075" xr:uid="{920CF6FB-68D9-4ADD-A53F-0B7780B3538F}"/>
    <cellStyle name="Normal 4 6 3 3 4" xfId="9411" xr:uid="{54F105E9-9AD4-4851-91DF-D290B57CB828}"/>
    <cellStyle name="Normal 4 6 3 3 5" xfId="17856" xr:uid="{B3F35075-453A-4C4E-9B82-32C14F0C88A2}"/>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D17D15C7-D965-4C9A-8747-CE0FB7A4AA8D}"/>
    <cellStyle name="Normal 4 6 3 4 2 2 3" xfId="24633" xr:uid="{BADC194C-2814-43AF-97A9-9A4AA425AFDF}"/>
    <cellStyle name="Normal 4 6 3 4 2 3" xfId="11969" xr:uid="{606A9466-1687-4640-BB09-D1485B16741F}"/>
    <cellStyle name="Normal 4 6 3 4 2 4" xfId="20416" xr:uid="{041408A4-798D-4BA6-AC7D-C235D100E1FF}"/>
    <cellStyle name="Normal 4 6 3 4 3" xfId="5600" xr:uid="{00000000-0005-0000-0000-00006F160000}"/>
    <cellStyle name="Normal 4 6 3 4 3 2" xfId="14042" xr:uid="{730C818E-D2DB-430B-AFB1-9F36ACE316A3}"/>
    <cellStyle name="Normal 4 6 3 4 3 3" xfId="22488" xr:uid="{957314D0-DC4A-4908-A789-760EEF1B9DD9}"/>
    <cellStyle name="Normal 4 6 3 4 4" xfId="9824" xr:uid="{3F3EF066-60AD-4B43-B462-19C826F714E6}"/>
    <cellStyle name="Normal 4 6 3 4 5" xfId="18269" xr:uid="{7DBC60E7-6191-4842-8BBB-F7A5356EA767}"/>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8734A188-D438-4E51-9DC3-562F9B94CA46}"/>
    <cellStyle name="Normal 4 6 3 5 2 2 3" xfId="25046" xr:uid="{76922EF5-9D3D-4B34-B5C4-BF22A4FC8F42}"/>
    <cellStyle name="Normal 4 6 3 5 2 3" xfId="12382" xr:uid="{DF8D1E1B-D056-4BC5-A8E2-BC9713ED57C2}"/>
    <cellStyle name="Normal 4 6 3 5 2 4" xfId="20829" xr:uid="{791BAC80-FCE9-40AC-B2DE-59D7549CDAB4}"/>
    <cellStyle name="Normal 4 6 3 5 3" xfId="6013" xr:uid="{00000000-0005-0000-0000-000073160000}"/>
    <cellStyle name="Normal 4 6 3 5 3 2" xfId="14455" xr:uid="{CC8ED8E2-677A-4CAC-A86A-DD149279A474}"/>
    <cellStyle name="Normal 4 6 3 5 3 3" xfId="22901" xr:uid="{4939CE40-B7C1-4A0E-878D-D122BBEB67E5}"/>
    <cellStyle name="Normal 4 6 3 5 4" xfId="10237" xr:uid="{28CD843B-9716-4902-A8F3-4F09804D6A79}"/>
    <cellStyle name="Normal 4 6 3 5 5" xfId="18682" xr:uid="{7D34DC6D-7C9D-421B-9032-213CAB69C142}"/>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2F78DC6C-6A28-4872-AEB0-257687C04816}"/>
    <cellStyle name="Normal 4 6 3 6 2 2 3" xfId="25459" xr:uid="{D89C7A47-9D64-4CD1-9C85-3E8CB064AA28}"/>
    <cellStyle name="Normal 4 6 3 6 2 3" xfId="12795" xr:uid="{5EEF0236-CBC6-4AB1-9893-295DA2B175CE}"/>
    <cellStyle name="Normal 4 6 3 6 2 4" xfId="21242" xr:uid="{DB68EA41-B57B-4267-86C9-A696A007D517}"/>
    <cellStyle name="Normal 4 6 3 6 3" xfId="6426" xr:uid="{00000000-0005-0000-0000-000077160000}"/>
    <cellStyle name="Normal 4 6 3 6 3 2" xfId="14868" xr:uid="{80BEFB63-00FB-483B-9CB8-F7561F040B41}"/>
    <cellStyle name="Normal 4 6 3 6 3 3" xfId="23314" xr:uid="{C895F423-969A-4580-A578-62F8BDAE2B8F}"/>
    <cellStyle name="Normal 4 6 3 6 4" xfId="10650" xr:uid="{CE42D548-F3D2-4D92-A2FB-BCB36BF15A4A}"/>
    <cellStyle name="Normal 4 6 3 6 5" xfId="19095" xr:uid="{555C95D8-1FFC-4078-83AD-7402C980FA68}"/>
    <cellStyle name="Normal 4 6 3 7" xfId="2555" xr:uid="{00000000-0005-0000-0000-000078160000}"/>
    <cellStyle name="Normal 4 6 3 7 2" xfId="6839" xr:uid="{00000000-0005-0000-0000-000079160000}"/>
    <cellStyle name="Normal 4 6 3 7 2 2" xfId="15281" xr:uid="{3B853999-B092-4B2A-829D-638DD629465F}"/>
    <cellStyle name="Normal 4 6 3 7 2 3" xfId="23727" xr:uid="{5B229E11-C1A7-42C3-9F99-3B528A71BFEF}"/>
    <cellStyle name="Normal 4 6 3 7 3" xfId="11063" xr:uid="{5C329B6F-53C6-4FE9-A5AD-491CE2031160}"/>
    <cellStyle name="Normal 4 6 3 7 4" xfId="19508" xr:uid="{540A5D49-7327-4DD2-BE35-72CD1249A33E}"/>
    <cellStyle name="Normal 4 6 3 8" xfId="4774" xr:uid="{00000000-0005-0000-0000-00007A160000}"/>
    <cellStyle name="Normal 4 6 3 8 2" xfId="13216" xr:uid="{45D7F75D-FD75-4828-BC13-F93DD4635B55}"/>
    <cellStyle name="Normal 4 6 3 8 3" xfId="21662" xr:uid="{D9084967-6B4D-486C-989D-BB4DBCCE9945}"/>
    <cellStyle name="Normal 4 6 3 9" xfId="8998" xr:uid="{F3BF54A6-FB13-49D8-939D-52F466EFC3D2}"/>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A27BEF98-F803-4E7C-A4E4-B9A5DD2A8980}"/>
    <cellStyle name="Normal 4 6 4 2 2 2 3" xfId="24222" xr:uid="{0CA866BB-7370-431D-A7BD-459A277A3974}"/>
    <cellStyle name="Normal 4 6 4 2 2 3" xfId="11558" xr:uid="{4B261DC6-5781-4AF1-A986-A31EFFF396D3}"/>
    <cellStyle name="Normal 4 6 4 2 2 4" xfId="20005" xr:uid="{A9A3CB95-119D-46DD-A842-D012D7A1A6F0}"/>
    <cellStyle name="Normal 4 6 4 2 3" xfId="5189" xr:uid="{00000000-0005-0000-0000-00007F160000}"/>
    <cellStyle name="Normal 4 6 4 2 3 2" xfId="13631" xr:uid="{95AE22D9-35C4-4167-9A3A-9FF1CA171DC8}"/>
    <cellStyle name="Normal 4 6 4 2 3 3" xfId="22077" xr:uid="{07DDF86C-2E19-488C-BDF6-2A0A7F21EB62}"/>
    <cellStyle name="Normal 4 6 4 2 4" xfId="9413" xr:uid="{E828935E-7FBC-4D19-8403-4A12FE79F58C}"/>
    <cellStyle name="Normal 4 6 4 2 5" xfId="17858" xr:uid="{E4984446-C5F0-4087-9142-524F6D39B42C}"/>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C7CE0341-E977-4224-8E4B-E2939E20F0C7}"/>
    <cellStyle name="Normal 4 6 4 3 2 2 3" xfId="24635" xr:uid="{79D26FE1-A6C0-4D60-A8AA-4E0B358BC1F9}"/>
    <cellStyle name="Normal 4 6 4 3 2 3" xfId="11971" xr:uid="{2F20A606-36E3-4CE1-90CE-ECD74FB7A887}"/>
    <cellStyle name="Normal 4 6 4 3 2 4" xfId="20418" xr:uid="{001E3405-D20A-494E-9226-227600F657C2}"/>
    <cellStyle name="Normal 4 6 4 3 3" xfId="5602" xr:uid="{00000000-0005-0000-0000-000083160000}"/>
    <cellStyle name="Normal 4 6 4 3 3 2" xfId="14044" xr:uid="{4FC8CA96-6F19-4E1A-AFB6-D7EB1F0A1270}"/>
    <cellStyle name="Normal 4 6 4 3 3 3" xfId="22490" xr:uid="{4F6C5779-214A-4401-AEBB-B88E2E0CFD4B}"/>
    <cellStyle name="Normal 4 6 4 3 4" xfId="9826" xr:uid="{08F0603C-9ABF-445D-A5CE-2A91058FEB88}"/>
    <cellStyle name="Normal 4 6 4 3 5" xfId="18271" xr:uid="{D056D343-9387-4EBF-BEEA-EB4D666123C9}"/>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2A6D0910-932A-4F00-8D28-690B30E1920F}"/>
    <cellStyle name="Normal 4 6 4 4 2 2 3" xfId="25048" xr:uid="{B4C6E9E8-B2AD-4AAE-A240-A0AA6DCB4AAB}"/>
    <cellStyle name="Normal 4 6 4 4 2 3" xfId="12384" xr:uid="{4F1AF3F7-ADC9-464D-8616-15E2FE160997}"/>
    <cellStyle name="Normal 4 6 4 4 2 4" xfId="20831" xr:uid="{B8202294-005D-4343-8F65-3A7F01BB31E9}"/>
    <cellStyle name="Normal 4 6 4 4 3" xfId="6015" xr:uid="{00000000-0005-0000-0000-000087160000}"/>
    <cellStyle name="Normal 4 6 4 4 3 2" xfId="14457" xr:uid="{7E9D7E6E-B355-4EE8-B38B-66C4123C1ACC}"/>
    <cellStyle name="Normal 4 6 4 4 3 3" xfId="22903" xr:uid="{C1780CE2-D233-4EB3-BA04-8B1A221552F1}"/>
    <cellStyle name="Normal 4 6 4 4 4" xfId="10239" xr:uid="{D218FA25-19CC-4A49-B974-871EC9453A10}"/>
    <cellStyle name="Normal 4 6 4 4 5" xfId="18684" xr:uid="{26B57B68-534C-4492-91BB-E4D522C9EC60}"/>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38BC199D-C261-47D8-A76F-2F4E2D402D61}"/>
    <cellStyle name="Normal 4 6 4 5 2 2 3" xfId="25461" xr:uid="{5EAB1C1A-2053-4FAD-B7B5-92FA536B7DD6}"/>
    <cellStyle name="Normal 4 6 4 5 2 3" xfId="12797" xr:uid="{B45216FB-CC56-483E-8558-3074CCA09FD6}"/>
    <cellStyle name="Normal 4 6 4 5 2 4" xfId="21244" xr:uid="{2FB9B2C8-ECB0-4466-BBEB-BBE5E4774EBA}"/>
    <cellStyle name="Normal 4 6 4 5 3" xfId="6428" xr:uid="{00000000-0005-0000-0000-00008B160000}"/>
    <cellStyle name="Normal 4 6 4 5 3 2" xfId="14870" xr:uid="{7B8B6F65-465A-4DFE-A8D4-0BC947C65042}"/>
    <cellStyle name="Normal 4 6 4 5 3 3" xfId="23316" xr:uid="{7E72CEE3-2079-4BB4-9621-E0C724717207}"/>
    <cellStyle name="Normal 4 6 4 5 4" xfId="10652" xr:uid="{E809E313-AE10-482F-B59F-6BD9F3B59FF8}"/>
    <cellStyle name="Normal 4 6 4 5 5" xfId="19097" xr:uid="{8898ECD3-31F6-4995-8A9A-C000C92C1A65}"/>
    <cellStyle name="Normal 4 6 4 6" xfId="2557" xr:uid="{00000000-0005-0000-0000-00008C160000}"/>
    <cellStyle name="Normal 4 6 4 6 2" xfId="6841" xr:uid="{00000000-0005-0000-0000-00008D160000}"/>
    <cellStyle name="Normal 4 6 4 6 2 2" xfId="15283" xr:uid="{FFD166DC-91A8-4B18-BB7D-821D7AD562A6}"/>
    <cellStyle name="Normal 4 6 4 6 2 3" xfId="23729" xr:uid="{4D2F6C92-514B-4D1C-804E-EE00FE777058}"/>
    <cellStyle name="Normal 4 6 4 6 3" xfId="11065" xr:uid="{4C647A46-4256-44F0-BC46-C3EC483FC214}"/>
    <cellStyle name="Normal 4 6 4 6 4" xfId="19510" xr:uid="{069E2F39-F25F-4A78-A610-586C98E4B044}"/>
    <cellStyle name="Normal 4 6 4 7" xfId="4776" xr:uid="{00000000-0005-0000-0000-00008E160000}"/>
    <cellStyle name="Normal 4 6 4 7 2" xfId="13218" xr:uid="{763DB0E2-6BC3-4154-A425-6E4641105D14}"/>
    <cellStyle name="Normal 4 6 4 7 3" xfId="21664" xr:uid="{1BCD4B63-38CD-456F-8105-4EB97C55FC3D}"/>
    <cellStyle name="Normal 4 6 4 8" xfId="9000" xr:uid="{82FD1EB5-A42D-451D-BF2A-7C89BAB94B56}"/>
    <cellStyle name="Normal 4 6 4 9" xfId="17444" xr:uid="{C6254E40-3639-4802-AF42-32E8C09DFD63}"/>
    <cellStyle name="Normal 4 6 5" xfId="869" xr:uid="{00000000-0005-0000-0000-00008F160000}"/>
    <cellStyle name="Normal 4 6 5 2" xfId="3104" xr:uid="{00000000-0005-0000-0000-000090160000}"/>
    <cellStyle name="Normal 4 6 5 2 2" xfId="7327" xr:uid="{00000000-0005-0000-0000-000091160000}"/>
    <cellStyle name="Normal 4 6 5 2 2 2" xfId="15769" xr:uid="{F2CBD4B9-27FE-4712-B835-6C8D2B099FD7}"/>
    <cellStyle name="Normal 4 6 5 2 2 3" xfId="24215" xr:uid="{2C743295-EDBE-4919-9A8C-274E4CE63D51}"/>
    <cellStyle name="Normal 4 6 5 2 3" xfId="11551" xr:uid="{CD4B80DA-4D5D-4185-9ABE-61C06B800F3B}"/>
    <cellStyle name="Normal 4 6 5 2 4" xfId="19998" xr:uid="{C043C21B-4584-4F88-8624-3F49407684DF}"/>
    <cellStyle name="Normal 4 6 5 3" xfId="5182" xr:uid="{00000000-0005-0000-0000-000092160000}"/>
    <cellStyle name="Normal 4 6 5 3 2" xfId="13624" xr:uid="{AC6954D5-7C60-41EF-90B6-7031C6B0D0CA}"/>
    <cellStyle name="Normal 4 6 5 3 3" xfId="22070" xr:uid="{73E9492E-EA68-40AC-9105-367E8CD1BF09}"/>
    <cellStyle name="Normal 4 6 5 4" xfId="9406" xr:uid="{B304C535-AFF1-46D5-AD46-DC1D6324BE46}"/>
    <cellStyle name="Normal 4 6 5 5" xfId="17851" xr:uid="{603C6C0E-AFC9-47DE-B397-99D7B793D243}"/>
    <cellStyle name="Normal 4 6 6" xfId="1287" xr:uid="{00000000-0005-0000-0000-000093160000}"/>
    <cellStyle name="Normal 4 6 6 2" xfId="3517" xr:uid="{00000000-0005-0000-0000-000094160000}"/>
    <cellStyle name="Normal 4 6 6 2 2" xfId="7740" xr:uid="{00000000-0005-0000-0000-000095160000}"/>
    <cellStyle name="Normal 4 6 6 2 2 2" xfId="16182" xr:uid="{71E69795-577C-462B-9C82-DA70FA58DD48}"/>
    <cellStyle name="Normal 4 6 6 2 2 3" xfId="24628" xr:uid="{890C4E1B-9B1B-41F0-87B8-5BBD19E42670}"/>
    <cellStyle name="Normal 4 6 6 2 3" xfId="11964" xr:uid="{3D55E6A8-BF71-4353-AE1D-65C6F871F9F0}"/>
    <cellStyle name="Normal 4 6 6 2 4" xfId="20411" xr:uid="{F8881390-F5A5-4776-B984-6D70636132D8}"/>
    <cellStyle name="Normal 4 6 6 3" xfId="5595" xr:uid="{00000000-0005-0000-0000-000096160000}"/>
    <cellStyle name="Normal 4 6 6 3 2" xfId="14037" xr:uid="{98AEC6F3-4D6B-4C3F-87F9-28BCB63ABB71}"/>
    <cellStyle name="Normal 4 6 6 3 3" xfId="22483" xr:uid="{0FDEFAC1-8B24-40F7-BB3A-E9E57D3EA5BB}"/>
    <cellStyle name="Normal 4 6 6 4" xfId="9819" xr:uid="{F955FDB4-3235-43BC-B7CC-F2595FB1DDFD}"/>
    <cellStyle name="Normal 4 6 6 5" xfId="18264" xr:uid="{B69A04BF-86A5-47EF-BAB0-6E30A6621518}"/>
    <cellStyle name="Normal 4 6 7" xfId="1700" xr:uid="{00000000-0005-0000-0000-000097160000}"/>
    <cellStyle name="Normal 4 6 7 2" xfId="3930" xr:uid="{00000000-0005-0000-0000-000098160000}"/>
    <cellStyle name="Normal 4 6 7 2 2" xfId="8153" xr:uid="{00000000-0005-0000-0000-000099160000}"/>
    <cellStyle name="Normal 4 6 7 2 2 2" xfId="16595" xr:uid="{39E6777D-6761-4BF0-B18D-245147BF8A44}"/>
    <cellStyle name="Normal 4 6 7 2 2 3" xfId="25041" xr:uid="{37DE2A97-0F44-4079-90BB-FF4D52FDFFF4}"/>
    <cellStyle name="Normal 4 6 7 2 3" xfId="12377" xr:uid="{4EA9689F-6277-4BB9-A7DF-E03170BF1A06}"/>
    <cellStyle name="Normal 4 6 7 2 4" xfId="20824" xr:uid="{C11FA6A4-A472-4D0C-B46D-98F1B4167EBE}"/>
    <cellStyle name="Normal 4 6 7 3" xfId="6008" xr:uid="{00000000-0005-0000-0000-00009A160000}"/>
    <cellStyle name="Normal 4 6 7 3 2" xfId="14450" xr:uid="{BE4DF1D4-98FD-4916-8FB1-EBFC62E084F0}"/>
    <cellStyle name="Normal 4 6 7 3 3" xfId="22896" xr:uid="{2FCDF21D-B00E-46F1-B266-D222F33C3DBE}"/>
    <cellStyle name="Normal 4 6 7 4" xfId="10232" xr:uid="{D0398BD9-649A-4298-8BB5-86A850ADB2D9}"/>
    <cellStyle name="Normal 4 6 7 5" xfId="18677" xr:uid="{25204156-F8CC-4AFF-959F-EACA333A5124}"/>
    <cellStyle name="Normal 4 6 8" xfId="2114" xr:uid="{00000000-0005-0000-0000-00009B160000}"/>
    <cellStyle name="Normal 4 6 8 2" xfId="4343" xr:uid="{00000000-0005-0000-0000-00009C160000}"/>
    <cellStyle name="Normal 4 6 8 2 2" xfId="8566" xr:uid="{00000000-0005-0000-0000-00009D160000}"/>
    <cellStyle name="Normal 4 6 8 2 2 2" xfId="17008" xr:uid="{CDAFD78B-BEFA-42B1-9990-9647D74A3DD6}"/>
    <cellStyle name="Normal 4 6 8 2 2 3" xfId="25454" xr:uid="{83060AF1-78AC-4D94-8E81-78E45AF5C281}"/>
    <cellStyle name="Normal 4 6 8 2 3" xfId="12790" xr:uid="{1A2CC8D7-076F-4E8A-BBDC-510F961A5DE3}"/>
    <cellStyle name="Normal 4 6 8 2 4" xfId="21237" xr:uid="{78714E79-F94D-441A-A3D7-F7BDF8B1FB09}"/>
    <cellStyle name="Normal 4 6 8 3" xfId="6421" xr:uid="{00000000-0005-0000-0000-00009E160000}"/>
    <cellStyle name="Normal 4 6 8 3 2" xfId="14863" xr:uid="{08DA6876-635F-460E-8B10-70956EDEC1E7}"/>
    <cellStyle name="Normal 4 6 8 3 3" xfId="23309" xr:uid="{1CD2D94B-90BB-4677-9EE9-2662CF6684D4}"/>
    <cellStyle name="Normal 4 6 8 4" xfId="10645" xr:uid="{261D444D-1D8C-4FC5-9656-577D27D9588E}"/>
    <cellStyle name="Normal 4 6 8 5" xfId="19090" xr:uid="{D5E09501-0FA1-4998-9BB7-D8E3DB985933}"/>
    <cellStyle name="Normal 4 6 9" xfId="2550" xr:uid="{00000000-0005-0000-0000-00009F160000}"/>
    <cellStyle name="Normal 4 6 9 2" xfId="6834" xr:uid="{00000000-0005-0000-0000-0000A0160000}"/>
    <cellStyle name="Normal 4 6 9 2 2" xfId="15276" xr:uid="{F49104E7-D19B-414D-98D3-C4B102A5E5A5}"/>
    <cellStyle name="Normal 4 6 9 2 3" xfId="23722" xr:uid="{2DD0C823-C977-49A9-9278-8DB9E7D07008}"/>
    <cellStyle name="Normal 4 6 9 3" xfId="11058" xr:uid="{65FEDDF2-B94C-49E1-B31E-EB4697E7377D}"/>
    <cellStyle name="Normal 4 6 9 4" xfId="19503" xr:uid="{C596FD4D-6DFF-4C7E-B5AF-D7BB4C46514E}"/>
    <cellStyle name="Normal 4 7" xfId="403" xr:uid="{00000000-0005-0000-0000-0000A1160000}"/>
    <cellStyle name="Normal 4 7 10" xfId="17445" xr:uid="{09759253-505F-456E-81C2-C058A05FDC2F}"/>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91C79723-DFEB-42BD-B9EF-5E6F9A8E3D23}"/>
    <cellStyle name="Normal 4 7 2 2 2 2 3" xfId="24224" xr:uid="{13BBCDB6-3794-4660-AA79-8FAD24F20E26}"/>
    <cellStyle name="Normal 4 7 2 2 2 3" xfId="11560" xr:uid="{8E93AA64-A719-4971-9EE2-8D03C5993F85}"/>
    <cellStyle name="Normal 4 7 2 2 2 4" xfId="20007" xr:uid="{3B557F55-DC2F-4BBD-81E3-E1AAD7774F81}"/>
    <cellStyle name="Normal 4 7 2 2 3" xfId="5191" xr:uid="{00000000-0005-0000-0000-0000A6160000}"/>
    <cellStyle name="Normal 4 7 2 2 3 2" xfId="13633" xr:uid="{E9192F16-D421-4CA0-A663-76D151A0F5A7}"/>
    <cellStyle name="Normal 4 7 2 2 3 3" xfId="22079" xr:uid="{93D62C11-80E1-4B9E-9064-ED644BBC0FCE}"/>
    <cellStyle name="Normal 4 7 2 2 4" xfId="9415" xr:uid="{AFC4C51B-E6C8-4DD1-8E66-74837A55973E}"/>
    <cellStyle name="Normal 4 7 2 2 5" xfId="17860" xr:uid="{F870AF14-AF1D-4A71-A10C-51C4F6F6E4F8}"/>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BECC0489-D89B-4D6D-91AD-201F940BCCD3}"/>
    <cellStyle name="Normal 4 7 2 3 2 2 3" xfId="24637" xr:uid="{53956A49-4ACE-4A4C-A715-35A860442A9A}"/>
    <cellStyle name="Normal 4 7 2 3 2 3" xfId="11973" xr:uid="{1A150520-8EA4-42FB-ABBD-3423B9BC6104}"/>
    <cellStyle name="Normal 4 7 2 3 2 4" xfId="20420" xr:uid="{E2A8CD15-BD99-4F1D-8F84-00B5FBDAD4D0}"/>
    <cellStyle name="Normal 4 7 2 3 3" xfId="5604" xr:uid="{00000000-0005-0000-0000-0000AA160000}"/>
    <cellStyle name="Normal 4 7 2 3 3 2" xfId="14046" xr:uid="{9D46D86A-1823-465A-A6B1-C7FE874BC908}"/>
    <cellStyle name="Normal 4 7 2 3 3 3" xfId="22492" xr:uid="{AD832292-7BA7-4287-A2DD-9B1F8A1C3323}"/>
    <cellStyle name="Normal 4 7 2 3 4" xfId="9828" xr:uid="{54F6A5DD-B72E-43C1-8D59-9FA31324BFC0}"/>
    <cellStyle name="Normal 4 7 2 3 5" xfId="18273" xr:uid="{A38EBB6A-477C-4D1F-B29E-EEE3C4905477}"/>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A82E6555-D7C5-4BD0-908B-574B33EF9624}"/>
    <cellStyle name="Normal 4 7 2 4 2 2 3" xfId="25050" xr:uid="{176ED6FC-9045-4756-89EC-EC1E7EE72984}"/>
    <cellStyle name="Normal 4 7 2 4 2 3" xfId="12386" xr:uid="{7DA53E1C-DA30-402F-8165-7139C4D2EE1D}"/>
    <cellStyle name="Normal 4 7 2 4 2 4" xfId="20833" xr:uid="{1AC87940-E8F3-4050-BAC6-F5CB554302EF}"/>
    <cellStyle name="Normal 4 7 2 4 3" xfId="6017" xr:uid="{00000000-0005-0000-0000-0000AE160000}"/>
    <cellStyle name="Normal 4 7 2 4 3 2" xfId="14459" xr:uid="{EAEA13CF-310A-48A1-97B5-955B48BB5444}"/>
    <cellStyle name="Normal 4 7 2 4 3 3" xfId="22905" xr:uid="{FA44EAE9-22B5-47F7-A61D-41F4ED696168}"/>
    <cellStyle name="Normal 4 7 2 4 4" xfId="10241" xr:uid="{249A6ED0-112B-4EC6-933A-5906E5BB7836}"/>
    <cellStyle name="Normal 4 7 2 4 5" xfId="18686" xr:uid="{9F334791-01BC-47AB-B69B-8C296794C349}"/>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4C634154-4D80-4E5D-BC48-1730D25C8979}"/>
    <cellStyle name="Normal 4 7 2 5 2 2 3" xfId="25463" xr:uid="{B3F29992-A142-4CCC-96C2-0C88D8352553}"/>
    <cellStyle name="Normal 4 7 2 5 2 3" xfId="12799" xr:uid="{3B99A17C-C2F2-46BE-A073-1C9095659788}"/>
    <cellStyle name="Normal 4 7 2 5 2 4" xfId="21246" xr:uid="{D4F6B582-80F8-49CA-A976-8BB390EBAD88}"/>
    <cellStyle name="Normal 4 7 2 5 3" xfId="6430" xr:uid="{00000000-0005-0000-0000-0000B2160000}"/>
    <cellStyle name="Normal 4 7 2 5 3 2" xfId="14872" xr:uid="{AF3308BC-6295-4F9D-8C04-FB2F728BF3D1}"/>
    <cellStyle name="Normal 4 7 2 5 3 3" xfId="23318" xr:uid="{CED6F685-1387-4999-ACEE-61434376589D}"/>
    <cellStyle name="Normal 4 7 2 5 4" xfId="10654" xr:uid="{25EEAC4A-1748-4DCB-AD94-7093910B8411}"/>
    <cellStyle name="Normal 4 7 2 5 5" xfId="19099" xr:uid="{376291B4-DB96-4A56-BE8F-EDE19AF9428E}"/>
    <cellStyle name="Normal 4 7 2 6" xfId="2559" xr:uid="{00000000-0005-0000-0000-0000B3160000}"/>
    <cellStyle name="Normal 4 7 2 6 2" xfId="6843" xr:uid="{00000000-0005-0000-0000-0000B4160000}"/>
    <cellStyle name="Normal 4 7 2 6 2 2" xfId="15285" xr:uid="{B3611DE6-E7AA-4E0B-994A-808FA9F16D97}"/>
    <cellStyle name="Normal 4 7 2 6 2 3" xfId="23731" xr:uid="{D895AB1C-8FF0-4D42-AE3B-805CBE958905}"/>
    <cellStyle name="Normal 4 7 2 6 3" xfId="11067" xr:uid="{58F29D3C-5ACB-4833-896A-5D17144E577E}"/>
    <cellStyle name="Normal 4 7 2 6 4" xfId="19512" xr:uid="{78E6DD1F-2E42-4DE0-BBA4-4F658D591A76}"/>
    <cellStyle name="Normal 4 7 2 7" xfId="4778" xr:uid="{00000000-0005-0000-0000-0000B5160000}"/>
    <cellStyle name="Normal 4 7 2 7 2" xfId="13220" xr:uid="{0D93E669-8E7A-44F4-A233-6FABEC066F11}"/>
    <cellStyle name="Normal 4 7 2 7 3" xfId="21666" xr:uid="{82E9B78D-3B7F-44BA-B356-D27FF270BD74}"/>
    <cellStyle name="Normal 4 7 2 8" xfId="9002" xr:uid="{4080C711-11B9-4DE1-8BC8-0A5D08B8D06E}"/>
    <cellStyle name="Normal 4 7 2 9" xfId="17446" xr:uid="{7561FE5B-D06D-462C-821C-E75DE697CCE0}"/>
    <cellStyle name="Normal 4 7 3" xfId="877" xr:uid="{00000000-0005-0000-0000-0000B6160000}"/>
    <cellStyle name="Normal 4 7 3 2" xfId="3112" xr:uid="{00000000-0005-0000-0000-0000B7160000}"/>
    <cellStyle name="Normal 4 7 3 2 2" xfId="7335" xr:uid="{00000000-0005-0000-0000-0000B8160000}"/>
    <cellStyle name="Normal 4 7 3 2 2 2" xfId="15777" xr:uid="{ADF25EAE-D47F-4D11-B826-7972BBC4B35E}"/>
    <cellStyle name="Normal 4 7 3 2 2 3" xfId="24223" xr:uid="{29D3965F-A661-42B6-83F5-807987611279}"/>
    <cellStyle name="Normal 4 7 3 2 3" xfId="11559" xr:uid="{F136A4AE-8E16-418A-B565-1758B3CB2504}"/>
    <cellStyle name="Normal 4 7 3 2 4" xfId="20006" xr:uid="{61C59BFA-EEA2-47EA-A75E-0EAD46E54BA6}"/>
    <cellStyle name="Normal 4 7 3 3" xfId="5190" xr:uid="{00000000-0005-0000-0000-0000B9160000}"/>
    <cellStyle name="Normal 4 7 3 3 2" xfId="13632" xr:uid="{9230F568-8E58-4E14-A0AD-287102E77F1F}"/>
    <cellStyle name="Normal 4 7 3 3 3" xfId="22078" xr:uid="{2CEBBD52-15A0-4C2E-A98E-A499804E4F50}"/>
    <cellStyle name="Normal 4 7 3 4" xfId="9414" xr:uid="{5F67853F-89BD-4676-972E-353BE545CC39}"/>
    <cellStyle name="Normal 4 7 3 5" xfId="17859" xr:uid="{969E9FBB-F914-410B-B8E9-56F8951A434C}"/>
    <cellStyle name="Normal 4 7 4" xfId="1295" xr:uid="{00000000-0005-0000-0000-0000BA160000}"/>
    <cellStyle name="Normal 4 7 4 2" xfId="3525" xr:uid="{00000000-0005-0000-0000-0000BB160000}"/>
    <cellStyle name="Normal 4 7 4 2 2" xfId="7748" xr:uid="{00000000-0005-0000-0000-0000BC160000}"/>
    <cellStyle name="Normal 4 7 4 2 2 2" xfId="16190" xr:uid="{5A6CB6F8-BD16-4ECF-9691-1BD5209C2D22}"/>
    <cellStyle name="Normal 4 7 4 2 2 3" xfId="24636" xr:uid="{ACBAF9B6-CC63-4DEF-9FE5-D4449C8D320A}"/>
    <cellStyle name="Normal 4 7 4 2 3" xfId="11972" xr:uid="{245EB7BF-AF2F-4A46-836F-3F9A03229789}"/>
    <cellStyle name="Normal 4 7 4 2 4" xfId="20419" xr:uid="{D68A7A34-E679-423F-BD7E-8C7F7AC8558F}"/>
    <cellStyle name="Normal 4 7 4 3" xfId="5603" xr:uid="{00000000-0005-0000-0000-0000BD160000}"/>
    <cellStyle name="Normal 4 7 4 3 2" xfId="14045" xr:uid="{D6D26D7D-47A9-4B1C-A3AF-A84567E20074}"/>
    <cellStyle name="Normal 4 7 4 3 3" xfId="22491" xr:uid="{38528CF4-AFB3-430E-B280-C012124D4B16}"/>
    <cellStyle name="Normal 4 7 4 4" xfId="9827" xr:uid="{F8EBF38D-C28B-4975-B6DC-399D2EC7189C}"/>
    <cellStyle name="Normal 4 7 4 5" xfId="18272" xr:uid="{089FEC8C-0728-4B73-94EA-D21AB1DBA5ED}"/>
    <cellStyle name="Normal 4 7 5" xfId="1708" xr:uid="{00000000-0005-0000-0000-0000BE160000}"/>
    <cellStyle name="Normal 4 7 5 2" xfId="3938" xr:uid="{00000000-0005-0000-0000-0000BF160000}"/>
    <cellStyle name="Normal 4 7 5 2 2" xfId="8161" xr:uid="{00000000-0005-0000-0000-0000C0160000}"/>
    <cellStyle name="Normal 4 7 5 2 2 2" xfId="16603" xr:uid="{8880ECC7-816D-4FED-BF6B-CAA3A751FA0A}"/>
    <cellStyle name="Normal 4 7 5 2 2 3" xfId="25049" xr:uid="{691BF311-0CD3-4263-97A9-79BDFEFBDFC9}"/>
    <cellStyle name="Normal 4 7 5 2 3" xfId="12385" xr:uid="{7D2EB076-25AD-428D-AD00-AA5BF16C5C0E}"/>
    <cellStyle name="Normal 4 7 5 2 4" xfId="20832" xr:uid="{2C53AD1C-D7D1-4A16-9DEF-465E6088790F}"/>
    <cellStyle name="Normal 4 7 5 3" xfId="6016" xr:uid="{00000000-0005-0000-0000-0000C1160000}"/>
    <cellStyle name="Normal 4 7 5 3 2" xfId="14458" xr:uid="{9AA69855-E826-4F6C-BF77-E46D04ED8D62}"/>
    <cellStyle name="Normal 4 7 5 3 3" xfId="22904" xr:uid="{E7FFB7FB-9702-497E-8540-58A5D2925B6B}"/>
    <cellStyle name="Normal 4 7 5 4" xfId="10240" xr:uid="{565F8F55-919C-4728-9F94-F3E9F30443AB}"/>
    <cellStyle name="Normal 4 7 5 5" xfId="18685" xr:uid="{EC030B67-8F17-4978-AA2B-24D7A5D2B364}"/>
    <cellStyle name="Normal 4 7 6" xfId="2122" xr:uid="{00000000-0005-0000-0000-0000C2160000}"/>
    <cellStyle name="Normal 4 7 6 2" xfId="4351" xr:uid="{00000000-0005-0000-0000-0000C3160000}"/>
    <cellStyle name="Normal 4 7 6 2 2" xfId="8574" xr:uid="{00000000-0005-0000-0000-0000C4160000}"/>
    <cellStyle name="Normal 4 7 6 2 2 2" xfId="17016" xr:uid="{EABEFB41-02EE-476B-998D-2A72197E453D}"/>
    <cellStyle name="Normal 4 7 6 2 2 3" xfId="25462" xr:uid="{D37DEB68-6B91-4B7C-8E81-5EE0DE43D942}"/>
    <cellStyle name="Normal 4 7 6 2 3" xfId="12798" xr:uid="{F619A4C1-359B-41AD-B6C4-83470986D650}"/>
    <cellStyle name="Normal 4 7 6 2 4" xfId="21245" xr:uid="{3F24F6BA-3A6D-428B-8AE6-0CFE331A2E85}"/>
    <cellStyle name="Normal 4 7 6 3" xfId="6429" xr:uid="{00000000-0005-0000-0000-0000C5160000}"/>
    <cellStyle name="Normal 4 7 6 3 2" xfId="14871" xr:uid="{A4712177-F88F-439F-AF80-65E3A71E25DB}"/>
    <cellStyle name="Normal 4 7 6 3 3" xfId="23317" xr:uid="{74AD1CF8-29FB-49FC-A2C5-964DF14710E2}"/>
    <cellStyle name="Normal 4 7 6 4" xfId="10653" xr:uid="{1190FAF2-FAA0-4E0D-A15A-526ECB2BB58C}"/>
    <cellStyle name="Normal 4 7 6 5" xfId="19098" xr:uid="{99485430-DDA7-4823-A562-1F9130E15767}"/>
    <cellStyle name="Normal 4 7 7" xfId="2558" xr:uid="{00000000-0005-0000-0000-0000C6160000}"/>
    <cellStyle name="Normal 4 7 7 2" xfId="6842" xr:uid="{00000000-0005-0000-0000-0000C7160000}"/>
    <cellStyle name="Normal 4 7 7 2 2" xfId="15284" xr:uid="{DD3A699D-6087-4B40-874C-76FBC10748E3}"/>
    <cellStyle name="Normal 4 7 7 2 3" xfId="23730" xr:uid="{58BF4A8A-CFA4-406F-B7FC-8566E5AEA178}"/>
    <cellStyle name="Normal 4 7 7 3" xfId="11066" xr:uid="{1F89C23F-CE7F-419A-A816-B8F053F4F3BA}"/>
    <cellStyle name="Normal 4 7 7 4" xfId="19511" xr:uid="{EF76A069-7E41-48B5-B8EE-D0313E9AE10A}"/>
    <cellStyle name="Normal 4 7 8" xfId="4777" xr:uid="{00000000-0005-0000-0000-0000C8160000}"/>
    <cellStyle name="Normal 4 7 8 2" xfId="13219" xr:uid="{BFBD7FEC-58A2-4D76-8EAA-5AE21C3BDCD3}"/>
    <cellStyle name="Normal 4 7 8 3" xfId="21665" xr:uid="{22A53B0A-51E8-48D3-8E41-3332CAF39EE4}"/>
    <cellStyle name="Normal 4 7 9" xfId="9001" xr:uid="{26ADB4E0-65C2-4C4F-BC03-0060EBF91788}"/>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8B36A8C7-78F7-407C-B513-99ED2FAADF42}"/>
    <cellStyle name="Normal 4 8 2 2 2 3" xfId="24225" xr:uid="{2F806F6F-6AA4-448E-9815-2BE32CCF1E0B}"/>
    <cellStyle name="Normal 4 8 2 2 3" xfId="11561" xr:uid="{BC388924-5B33-4AC1-9F8C-38831F3D266F}"/>
    <cellStyle name="Normal 4 8 2 2 4" xfId="20008" xr:uid="{52F135AA-7D25-4379-98C5-FD1DE64B0960}"/>
    <cellStyle name="Normal 4 8 2 3" xfId="5192" xr:uid="{00000000-0005-0000-0000-0000CD160000}"/>
    <cellStyle name="Normal 4 8 2 3 2" xfId="13634" xr:uid="{1B9F5FF3-EC6E-4924-9F79-A189C682487F}"/>
    <cellStyle name="Normal 4 8 2 3 3" xfId="22080" xr:uid="{B83C16EE-073A-48A9-8909-F0CB61D97179}"/>
    <cellStyle name="Normal 4 8 2 4" xfId="9416" xr:uid="{6426515C-5806-4E94-95D4-DD8E988C4BA2}"/>
    <cellStyle name="Normal 4 8 2 5" xfId="17861" xr:uid="{7FF74C06-D5C9-4F07-9127-9FAB10FCFF90}"/>
    <cellStyle name="Normal 4 8 3" xfId="1297" xr:uid="{00000000-0005-0000-0000-0000CE160000}"/>
    <cellStyle name="Normal 4 8 3 2" xfId="3527" xr:uid="{00000000-0005-0000-0000-0000CF160000}"/>
    <cellStyle name="Normal 4 8 3 2 2" xfId="7750" xr:uid="{00000000-0005-0000-0000-0000D0160000}"/>
    <cellStyle name="Normal 4 8 3 2 2 2" xfId="16192" xr:uid="{51A7483A-C01C-4A98-85D2-C007412C0908}"/>
    <cellStyle name="Normal 4 8 3 2 2 3" xfId="24638" xr:uid="{98BA1DEC-F16E-4E89-A042-528464A74C1B}"/>
    <cellStyle name="Normal 4 8 3 2 3" xfId="11974" xr:uid="{3BADF035-8460-4A7E-BA9C-7CCC0EA4D02E}"/>
    <cellStyle name="Normal 4 8 3 2 4" xfId="20421" xr:uid="{1F377ADE-261F-46D6-B094-CB43FE40C102}"/>
    <cellStyle name="Normal 4 8 3 3" xfId="5605" xr:uid="{00000000-0005-0000-0000-0000D1160000}"/>
    <cellStyle name="Normal 4 8 3 3 2" xfId="14047" xr:uid="{D5D08FEE-E1DB-45F6-8F90-449D38F87F32}"/>
    <cellStyle name="Normal 4 8 3 3 3" xfId="22493" xr:uid="{8D46508F-7D04-4E2F-90E4-DE414854FE1A}"/>
    <cellStyle name="Normal 4 8 3 4" xfId="9829" xr:uid="{3B6AA43B-9AA3-48AA-BD71-B3424B683AA8}"/>
    <cellStyle name="Normal 4 8 3 5" xfId="18274" xr:uid="{29C80013-4D7F-452E-B7E3-439F59B13505}"/>
    <cellStyle name="Normal 4 8 4" xfId="1710" xr:uid="{00000000-0005-0000-0000-0000D2160000}"/>
    <cellStyle name="Normal 4 8 4 2" xfId="3940" xr:uid="{00000000-0005-0000-0000-0000D3160000}"/>
    <cellStyle name="Normal 4 8 4 2 2" xfId="8163" xr:uid="{00000000-0005-0000-0000-0000D4160000}"/>
    <cellStyle name="Normal 4 8 4 2 2 2" xfId="16605" xr:uid="{0A62C15A-4AC0-4A14-AA6E-9A3517AC78C1}"/>
    <cellStyle name="Normal 4 8 4 2 2 3" xfId="25051" xr:uid="{D828B4DA-A564-40F8-9648-051F817E2353}"/>
    <cellStyle name="Normal 4 8 4 2 3" xfId="12387" xr:uid="{3CF17AC7-F20B-48C0-B8AE-D5B3FC8D7FEC}"/>
    <cellStyle name="Normal 4 8 4 2 4" xfId="20834" xr:uid="{FB4E128E-C6E5-443F-8071-AA2AF8803A35}"/>
    <cellStyle name="Normal 4 8 4 3" xfId="6018" xr:uid="{00000000-0005-0000-0000-0000D5160000}"/>
    <cellStyle name="Normal 4 8 4 3 2" xfId="14460" xr:uid="{6CCF3E9D-D923-435E-BF1A-FD9BEF2FE2E7}"/>
    <cellStyle name="Normal 4 8 4 3 3" xfId="22906" xr:uid="{DD514318-D170-45B3-99CD-215894BE1DC7}"/>
    <cellStyle name="Normal 4 8 4 4" xfId="10242" xr:uid="{26AFE41A-0CB2-4541-A9AC-B0DD7ACF2F17}"/>
    <cellStyle name="Normal 4 8 4 5" xfId="18687" xr:uid="{2BF07F0F-9393-4567-A2B9-892BD584A5CB}"/>
    <cellStyle name="Normal 4 8 5" xfId="2124" xr:uid="{00000000-0005-0000-0000-0000D6160000}"/>
    <cellStyle name="Normal 4 8 5 2" xfId="4353" xr:uid="{00000000-0005-0000-0000-0000D7160000}"/>
    <cellStyle name="Normal 4 8 5 2 2" xfId="8576" xr:uid="{00000000-0005-0000-0000-0000D8160000}"/>
    <cellStyle name="Normal 4 8 5 2 2 2" xfId="17018" xr:uid="{919A9FD1-0B66-4C4F-ADB3-28C7A5A03CDB}"/>
    <cellStyle name="Normal 4 8 5 2 2 3" xfId="25464" xr:uid="{5D0ACB0A-FAD2-4C47-BCAA-8C16EDA14E9B}"/>
    <cellStyle name="Normal 4 8 5 2 3" xfId="12800" xr:uid="{974D5A6A-0BFD-4895-BF4C-876FDEAB8A4B}"/>
    <cellStyle name="Normal 4 8 5 2 4" xfId="21247" xr:uid="{00A321ED-B941-4E8A-884D-98C5C862DCDB}"/>
    <cellStyle name="Normal 4 8 5 3" xfId="6431" xr:uid="{00000000-0005-0000-0000-0000D9160000}"/>
    <cellStyle name="Normal 4 8 5 3 2" xfId="14873" xr:uid="{DDEFD010-3A65-4E0E-A658-495A76AA15BD}"/>
    <cellStyle name="Normal 4 8 5 3 3" xfId="23319" xr:uid="{65B8B20E-2EAC-4627-8884-C9453944B99C}"/>
    <cellStyle name="Normal 4 8 5 4" xfId="10655" xr:uid="{CE540DA5-E91C-40CC-859E-865A7E32E40B}"/>
    <cellStyle name="Normal 4 8 5 5" xfId="19100" xr:uid="{BA765262-BA93-4AF7-B5CB-CBA36E904B59}"/>
    <cellStyle name="Normal 4 8 6" xfId="2560" xr:uid="{00000000-0005-0000-0000-0000DA160000}"/>
    <cellStyle name="Normal 4 8 6 2" xfId="6844" xr:uid="{00000000-0005-0000-0000-0000DB160000}"/>
    <cellStyle name="Normal 4 8 6 2 2" xfId="15286" xr:uid="{C8888E26-B12E-4733-B6D3-A2BB08B3840A}"/>
    <cellStyle name="Normal 4 8 6 2 3" xfId="23732" xr:uid="{EBA64AE2-30AE-407A-91B4-1ACC06467E75}"/>
    <cellStyle name="Normal 4 8 6 3" xfId="11068" xr:uid="{62ED5124-F5E1-4634-9576-02BD5410C701}"/>
    <cellStyle name="Normal 4 8 6 4" xfId="19513" xr:uid="{961345F3-F389-44F9-9A4B-3D3C9FE70AD6}"/>
    <cellStyle name="Normal 4 8 7" xfId="4779" xr:uid="{00000000-0005-0000-0000-0000DC160000}"/>
    <cellStyle name="Normal 4 8 7 2" xfId="13221" xr:uid="{524A3026-85A9-4EB3-96FF-B04DBDAF99CC}"/>
    <cellStyle name="Normal 4 8 7 3" xfId="21667" xr:uid="{98077F86-BBDE-475D-838A-66420ABA2D52}"/>
    <cellStyle name="Normal 4 8 8" xfId="9003" xr:uid="{BF47C4C1-F38E-42C2-BA29-A40E8BEFCB5D}"/>
    <cellStyle name="Normal 4 8 9" xfId="17447" xr:uid="{9EEBDF6B-4CC2-4BE6-A6B4-3D9E3C0CD8C3}"/>
    <cellStyle name="Normal 4 9" xfId="4716" xr:uid="{00000000-0005-0000-0000-0000DD160000}"/>
    <cellStyle name="Normal 4 9 2" xfId="13158" xr:uid="{5E3AACE6-21C3-4B68-9705-B5D9F87EC924}"/>
    <cellStyle name="Normal 4 9 3" xfId="21604" xr:uid="{FB9CABB7-BCD2-4090-9DB9-0EAB137DD8C3}"/>
    <cellStyle name="Normal 4_Dropdowns" xfId="25778" xr:uid="{0B00042B-B57F-4D84-9D01-2846A664DD2A}"/>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63BBF304-5308-4A4B-BCF5-E749EAE2BDD2}"/>
    <cellStyle name="Normal 5 10 2 2 3" xfId="25052" xr:uid="{FB2779F0-320F-40C7-8366-928D6FEF8D5C}"/>
    <cellStyle name="Normal 5 10 2 3" xfId="12388" xr:uid="{5DEE2B1F-BEC7-4B5B-A023-F6CBF03C9128}"/>
    <cellStyle name="Normal 5 10 2 4" xfId="20835" xr:uid="{EFFDBF82-97FB-4BF5-96D9-A121A118272F}"/>
    <cellStyle name="Normal 5 10 3" xfId="6019" xr:uid="{00000000-0005-0000-0000-0000E2160000}"/>
    <cellStyle name="Normal 5 10 3 2" xfId="14461" xr:uid="{44E42120-C4A0-49B7-83C0-630897A159ED}"/>
    <cellStyle name="Normal 5 10 3 3" xfId="22907" xr:uid="{E3D03D1C-4DED-4E58-9BD9-9FFBCCCA1BB6}"/>
    <cellStyle name="Normal 5 10 4" xfId="10243" xr:uid="{E63309C4-9411-4F3C-8E82-D83B0DE9DC5A}"/>
    <cellStyle name="Normal 5 10 5" xfId="18688" xr:uid="{59FF6F92-1C1A-4692-A925-89DFEA00AFFD}"/>
    <cellStyle name="Normal 5 11" xfId="2125" xr:uid="{00000000-0005-0000-0000-0000E3160000}"/>
    <cellStyle name="Normal 5 11 2" xfId="4354" xr:uid="{00000000-0005-0000-0000-0000E4160000}"/>
    <cellStyle name="Normal 5 11 2 2" xfId="8577" xr:uid="{00000000-0005-0000-0000-0000E5160000}"/>
    <cellStyle name="Normal 5 11 2 2 2" xfId="17019" xr:uid="{318FF4F4-E8EC-48F3-AFE3-45B86D6C3887}"/>
    <cellStyle name="Normal 5 11 2 2 3" xfId="25465" xr:uid="{C40491DC-AD30-48F6-AF8C-966C43035CFF}"/>
    <cellStyle name="Normal 5 11 2 3" xfId="12801" xr:uid="{61058854-B98D-4984-957B-BD889480ED46}"/>
    <cellStyle name="Normal 5 11 2 4" xfId="21248" xr:uid="{1DDD8EF2-2CA7-4B0D-A711-CB73D991C216}"/>
    <cellStyle name="Normal 5 11 3" xfId="6432" xr:uid="{00000000-0005-0000-0000-0000E6160000}"/>
    <cellStyle name="Normal 5 11 3 2" xfId="14874" xr:uid="{2971D7DA-1FBF-4706-8B7B-0471F7B0EE88}"/>
    <cellStyle name="Normal 5 11 3 3" xfId="23320" xr:uid="{BF690828-19BD-40D8-8BDB-12B9DBBC3AD0}"/>
    <cellStyle name="Normal 5 11 4" xfId="10656" xr:uid="{C09CFA83-512D-493B-8214-B1A76D194ED6}"/>
    <cellStyle name="Normal 5 11 5" xfId="19101" xr:uid="{6122CDB9-F756-4278-BA0C-46E00BC7C9D5}"/>
    <cellStyle name="Normal 5 12" xfId="2561" xr:uid="{00000000-0005-0000-0000-0000E7160000}"/>
    <cellStyle name="Normal 5 12 2" xfId="6845" xr:uid="{00000000-0005-0000-0000-0000E8160000}"/>
    <cellStyle name="Normal 5 12 2 2" xfId="15287" xr:uid="{F6B977BB-BCAC-45C4-A20D-4151FCCA1D50}"/>
    <cellStyle name="Normal 5 12 2 3" xfId="23733" xr:uid="{8E6ED4E7-1F1D-405B-BD27-E4833A18BA52}"/>
    <cellStyle name="Normal 5 12 3" xfId="11069" xr:uid="{D10C58CE-1963-4B69-9E01-F0F44AC2F145}"/>
    <cellStyle name="Normal 5 12 4" xfId="19514" xr:uid="{CEA412FE-AA81-4F3D-BA70-728EC399D023}"/>
    <cellStyle name="Normal 5 13" xfId="4780" xr:uid="{00000000-0005-0000-0000-0000E9160000}"/>
    <cellStyle name="Normal 5 13 2" xfId="13222" xr:uid="{4BABD6B4-0F39-4629-A1EC-A36DCD99E706}"/>
    <cellStyle name="Normal 5 13 3" xfId="21668" xr:uid="{7776F4FE-11F8-4206-BB1E-E3CFFA1B61D2}"/>
    <cellStyle name="Normal 5 14" xfId="9004" xr:uid="{0649587F-E190-4D8E-8B8B-18324538D8FE}"/>
    <cellStyle name="Normal 5 15" xfId="17448" xr:uid="{13CB1E0B-36A6-4621-BD3A-FAB3E7E2DF13}"/>
    <cellStyle name="Normal 5 16" xfId="25730" xr:uid="{3756C6AF-DA07-4C52-8EBA-E461F77E3F6B}"/>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4A61C7F1-3DF2-4FED-B0F6-13C679C8EC6C}"/>
    <cellStyle name="Normal 5 2 10 2 2 3" xfId="25466" xr:uid="{4F3320D2-2033-4B86-9031-57ECDF143F9D}"/>
    <cellStyle name="Normal 5 2 10 2 3" xfId="12802" xr:uid="{4DC8CD6A-3D5D-4BFE-BA76-EFD659A18C50}"/>
    <cellStyle name="Normal 5 2 10 2 4" xfId="21249" xr:uid="{2763F66D-D9FD-445F-BE32-C795AD25C53A}"/>
    <cellStyle name="Normal 5 2 10 3" xfId="6433" xr:uid="{00000000-0005-0000-0000-0000EE160000}"/>
    <cellStyle name="Normal 5 2 10 3 2" xfId="14875" xr:uid="{A4096ECD-2ECE-4B12-ADD2-3278CD27B330}"/>
    <cellStyle name="Normal 5 2 10 3 3" xfId="23321" xr:uid="{51B340A5-0D49-49F9-A1D2-34AA33C71730}"/>
    <cellStyle name="Normal 5 2 10 4" xfId="10657" xr:uid="{2FB548B0-8489-442E-8815-3329D434466A}"/>
    <cellStyle name="Normal 5 2 10 5" xfId="19102" xr:uid="{18A23A0C-6AA2-48F3-A653-161EC1D8225A}"/>
    <cellStyle name="Normal 5 2 11" xfId="2562" xr:uid="{00000000-0005-0000-0000-0000EF160000}"/>
    <cellStyle name="Normal 5 2 11 2" xfId="6846" xr:uid="{00000000-0005-0000-0000-0000F0160000}"/>
    <cellStyle name="Normal 5 2 11 2 2" xfId="15288" xr:uid="{D698B012-69D7-41B2-AA53-121AA3EC52AE}"/>
    <cellStyle name="Normal 5 2 11 2 3" xfId="23734" xr:uid="{98C9175C-7156-485D-9564-6F17E07251A7}"/>
    <cellStyle name="Normal 5 2 11 3" xfId="11070" xr:uid="{525ACB22-D4EC-4009-92E2-D694313A0BBB}"/>
    <cellStyle name="Normal 5 2 11 4" xfId="19515" xr:uid="{58B40720-CC2D-437F-8BCD-0C3951BE80E9}"/>
    <cellStyle name="Normal 5 2 12" xfId="4781" xr:uid="{00000000-0005-0000-0000-0000F1160000}"/>
    <cellStyle name="Normal 5 2 12 2" xfId="13223" xr:uid="{EAD2DE14-9F40-4CA1-9D5A-A346CC623172}"/>
    <cellStyle name="Normal 5 2 12 3" xfId="21669" xr:uid="{5EAEA0F1-A885-43D8-9211-E9A73635E01A}"/>
    <cellStyle name="Normal 5 2 13" xfId="9005" xr:uid="{BAD178CC-5AB7-4CCB-A930-F103B385DF9C}"/>
    <cellStyle name="Normal 5 2 14" xfId="17449" xr:uid="{FBE8BFF5-3D85-498C-B772-EADD93A58DE0}"/>
    <cellStyle name="Normal 5 2 15" xfId="25754" xr:uid="{A5280AF6-7123-4AE0-BAFB-47AA522E72F8}"/>
    <cellStyle name="Normal 5 2 2" xfId="408" xr:uid="{00000000-0005-0000-0000-0000F2160000}"/>
    <cellStyle name="Normal 5 2 2 10" xfId="2563" xr:uid="{00000000-0005-0000-0000-0000F3160000}"/>
    <cellStyle name="Normal 5 2 2 10 2" xfId="6847" xr:uid="{00000000-0005-0000-0000-0000F4160000}"/>
    <cellStyle name="Normal 5 2 2 10 2 2" xfId="15289" xr:uid="{3ED5BCA0-7620-4BA7-926E-888DDB4F6866}"/>
    <cellStyle name="Normal 5 2 2 10 2 3" xfId="23735" xr:uid="{ECECC333-47A6-4103-96F2-71D51CA9C818}"/>
    <cellStyle name="Normal 5 2 2 10 3" xfId="11071" xr:uid="{E4EE3AE9-C38E-42B0-A0D4-FB393BFBDD8F}"/>
    <cellStyle name="Normal 5 2 2 10 4" xfId="19516" xr:uid="{4BB25D28-E52D-40B3-AAEF-C6D5369F216B}"/>
    <cellStyle name="Normal 5 2 2 11" xfId="4782" xr:uid="{00000000-0005-0000-0000-0000F5160000}"/>
    <cellStyle name="Normal 5 2 2 11 2" xfId="13224" xr:uid="{8FCED6B2-EA94-4A0D-932E-DC417A2959A4}"/>
    <cellStyle name="Normal 5 2 2 11 3" xfId="21670" xr:uid="{112A5761-B92C-449C-922B-C3FA996E82F4}"/>
    <cellStyle name="Normal 5 2 2 12" xfId="9006" xr:uid="{AA3164F6-E52C-4ECC-84FA-8E2E085EB92A}"/>
    <cellStyle name="Normal 5 2 2 13" xfId="17450" xr:uid="{2B6D2536-771B-4F8D-9DA8-CE294895E981}"/>
    <cellStyle name="Normal 5 2 2 14" xfId="25640" xr:uid="{73FFF6D9-A31F-4F42-BC19-5AEE3AEBA8B4}"/>
    <cellStyle name="Normal 5 2 2 2" xfId="409" xr:uid="{00000000-0005-0000-0000-0000F6160000}"/>
    <cellStyle name="Normal 5 2 2 2 10" xfId="4783" xr:uid="{00000000-0005-0000-0000-0000F7160000}"/>
    <cellStyle name="Normal 5 2 2 2 10 2" xfId="13225" xr:uid="{02156291-0390-4409-A1E2-487864063A9C}"/>
    <cellStyle name="Normal 5 2 2 2 10 3" xfId="21671" xr:uid="{04581073-0B30-4B2E-A0FA-E4B5E114D669}"/>
    <cellStyle name="Normal 5 2 2 2 11" xfId="9007" xr:uid="{BEA3D4B7-DAB6-4B75-AF82-FD61E388AB48}"/>
    <cellStyle name="Normal 5 2 2 2 12" xfId="17451" xr:uid="{993B4EE7-7A13-4462-A4AA-FDAF8E467F7A}"/>
    <cellStyle name="Normal 5 2 2 2 2" xfId="410" xr:uid="{00000000-0005-0000-0000-0000F8160000}"/>
    <cellStyle name="Normal 5 2 2 2 2 10" xfId="9008" xr:uid="{DA3558A4-77FF-4EE0-B735-AB919986D136}"/>
    <cellStyle name="Normal 5 2 2 2 2 11" xfId="17452" xr:uid="{60AF7BBF-2599-4659-B53F-C61CDCF9D294}"/>
    <cellStyle name="Normal 5 2 2 2 2 2" xfId="411" xr:uid="{00000000-0005-0000-0000-0000F9160000}"/>
    <cellStyle name="Normal 5 2 2 2 2 2 10" xfId="17453" xr:uid="{17E0767E-B00C-4ADA-B29B-5CAB3D1CF85E}"/>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9C687D53-FF07-4D7A-BEC2-FE90553E5DC0}"/>
    <cellStyle name="Normal 5 2 2 2 2 2 2 2 2 2 3" xfId="24232" xr:uid="{8C8287ED-91CC-41F7-8B40-61693F560F66}"/>
    <cellStyle name="Normal 5 2 2 2 2 2 2 2 2 3" xfId="11568" xr:uid="{89035564-2455-4868-8039-FB2793860596}"/>
    <cellStyle name="Normal 5 2 2 2 2 2 2 2 2 4" xfId="20015" xr:uid="{93CAEBC0-B21B-44B7-95C8-52F6E336A5C9}"/>
    <cellStyle name="Normal 5 2 2 2 2 2 2 2 3" xfId="5199" xr:uid="{00000000-0005-0000-0000-0000FE160000}"/>
    <cellStyle name="Normal 5 2 2 2 2 2 2 2 3 2" xfId="13641" xr:uid="{6798F5D1-8B2D-4302-942A-6BC5585DE6CB}"/>
    <cellStyle name="Normal 5 2 2 2 2 2 2 2 3 3" xfId="22087" xr:uid="{F4C7DAE6-0068-404C-8924-6D043D5D8376}"/>
    <cellStyle name="Normal 5 2 2 2 2 2 2 2 4" xfId="9423" xr:uid="{B3400B8B-C4E1-449B-BFA2-4FAAF3D86B2A}"/>
    <cellStyle name="Normal 5 2 2 2 2 2 2 2 5" xfId="17868" xr:uid="{C0834F03-8B3B-4CFD-9917-576A50F0AE5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A450C88F-6793-4C8E-AF26-F311F153A453}"/>
    <cellStyle name="Normal 5 2 2 2 2 2 2 3 2 2 3" xfId="24645" xr:uid="{CE39B6F9-4338-424C-9D98-F37ECC9259F3}"/>
    <cellStyle name="Normal 5 2 2 2 2 2 2 3 2 3" xfId="11981" xr:uid="{F57CC27E-F300-4E04-B0E4-A3159010DB20}"/>
    <cellStyle name="Normal 5 2 2 2 2 2 2 3 2 4" xfId="20428" xr:uid="{701DD395-0A80-41C4-9F62-F7A590F87B3B}"/>
    <cellStyle name="Normal 5 2 2 2 2 2 2 3 3" xfId="5612" xr:uid="{00000000-0005-0000-0000-000002170000}"/>
    <cellStyle name="Normal 5 2 2 2 2 2 2 3 3 2" xfId="14054" xr:uid="{6085B745-4E5A-4AC3-B926-655FF6C99AC3}"/>
    <cellStyle name="Normal 5 2 2 2 2 2 2 3 3 3" xfId="22500" xr:uid="{70B2F9DC-3E79-4A3A-B6CA-186B209D2643}"/>
    <cellStyle name="Normal 5 2 2 2 2 2 2 3 4" xfId="9836" xr:uid="{44A4503D-47A6-4FF8-89F8-09062E544FE2}"/>
    <cellStyle name="Normal 5 2 2 2 2 2 2 3 5" xfId="18281" xr:uid="{62778270-A261-4CEA-9044-453A343D6F7B}"/>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F49B5BC3-8CE2-4F52-8431-50840977F6B2}"/>
    <cellStyle name="Normal 5 2 2 2 2 2 2 4 2 2 3" xfId="25058" xr:uid="{EED4E4C6-1C60-44A8-BFF9-0B58400D1844}"/>
    <cellStyle name="Normal 5 2 2 2 2 2 2 4 2 3" xfId="12394" xr:uid="{6288E048-22A3-4790-992F-8A6E1BEEECDD}"/>
    <cellStyle name="Normal 5 2 2 2 2 2 2 4 2 4" xfId="20841" xr:uid="{405F66FE-6B32-4CD0-A965-9552883451E9}"/>
    <cellStyle name="Normal 5 2 2 2 2 2 2 4 3" xfId="6025" xr:uid="{00000000-0005-0000-0000-000006170000}"/>
    <cellStyle name="Normal 5 2 2 2 2 2 2 4 3 2" xfId="14467" xr:uid="{5014DB00-1CA1-4C46-BA0F-12C2FE29D512}"/>
    <cellStyle name="Normal 5 2 2 2 2 2 2 4 3 3" xfId="22913" xr:uid="{835C8310-4CE1-403F-894D-1DC3A1890750}"/>
    <cellStyle name="Normal 5 2 2 2 2 2 2 4 4" xfId="10249" xr:uid="{AC658118-BE8A-4D78-A821-78D03572FF23}"/>
    <cellStyle name="Normal 5 2 2 2 2 2 2 4 5" xfId="18694" xr:uid="{169C2037-EF07-44EE-A407-DEA2487C0EFC}"/>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E359AA5C-A1AA-4540-95DF-14F2058B295D}"/>
    <cellStyle name="Normal 5 2 2 2 2 2 2 5 2 2 3" xfId="25471" xr:uid="{0CCCBB78-3C8C-47B9-AC46-D24934C6385B}"/>
    <cellStyle name="Normal 5 2 2 2 2 2 2 5 2 3" xfId="12807" xr:uid="{8C384BC9-B61D-4242-B159-D2610E4C9346}"/>
    <cellStyle name="Normal 5 2 2 2 2 2 2 5 2 4" xfId="21254" xr:uid="{FF7E3CFA-8525-4FA9-8DC9-91EFE824342B}"/>
    <cellStyle name="Normal 5 2 2 2 2 2 2 5 3" xfId="6438" xr:uid="{00000000-0005-0000-0000-00000A170000}"/>
    <cellStyle name="Normal 5 2 2 2 2 2 2 5 3 2" xfId="14880" xr:uid="{B78752F0-A68F-4E95-B1EB-9E4AB94D34AD}"/>
    <cellStyle name="Normal 5 2 2 2 2 2 2 5 3 3" xfId="23326" xr:uid="{CFB67D75-5733-4D21-8386-A2E9D2BE93A9}"/>
    <cellStyle name="Normal 5 2 2 2 2 2 2 5 4" xfId="10662" xr:uid="{39D501DC-C209-40F9-8AF2-75D4E5333C4C}"/>
    <cellStyle name="Normal 5 2 2 2 2 2 2 5 5" xfId="19107" xr:uid="{0EDABD13-E69F-4563-98C2-6AB180E1DED3}"/>
    <cellStyle name="Normal 5 2 2 2 2 2 2 6" xfId="2567" xr:uid="{00000000-0005-0000-0000-00000B170000}"/>
    <cellStyle name="Normal 5 2 2 2 2 2 2 6 2" xfId="6851" xr:uid="{00000000-0005-0000-0000-00000C170000}"/>
    <cellStyle name="Normal 5 2 2 2 2 2 2 6 2 2" xfId="15293" xr:uid="{FFAD74D1-B56B-489E-8820-18745A655E99}"/>
    <cellStyle name="Normal 5 2 2 2 2 2 2 6 2 3" xfId="23739" xr:uid="{8386154C-FE04-483B-83DF-3994240A8885}"/>
    <cellStyle name="Normal 5 2 2 2 2 2 2 6 3" xfId="11075" xr:uid="{B9122E5E-1DC4-41B9-9B37-9A6AB4D8B3F7}"/>
    <cellStyle name="Normal 5 2 2 2 2 2 2 6 4" xfId="19520" xr:uid="{0A27787C-E0F0-4E4E-A6C0-682DE9037ACC}"/>
    <cellStyle name="Normal 5 2 2 2 2 2 2 7" xfId="4786" xr:uid="{00000000-0005-0000-0000-00000D170000}"/>
    <cellStyle name="Normal 5 2 2 2 2 2 2 7 2" xfId="13228" xr:uid="{EBA03BAC-F099-438A-AB3B-5D8EA07374F7}"/>
    <cellStyle name="Normal 5 2 2 2 2 2 2 7 3" xfId="21674" xr:uid="{EC75E995-9033-4B8E-91E3-2BF0B41B15A1}"/>
    <cellStyle name="Normal 5 2 2 2 2 2 2 8" xfId="9010" xr:uid="{C239FB4A-BF68-464F-8696-893DAA3EE830}"/>
    <cellStyle name="Normal 5 2 2 2 2 2 2 9" xfId="17454" xr:uid="{740D79C2-C997-4A02-AB5E-CA18E139576B}"/>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4CF2C263-EA63-4AB8-B870-1FD486810695}"/>
    <cellStyle name="Normal 5 2 2 2 2 2 3 2 2 3" xfId="24231" xr:uid="{EA46056A-9028-499F-B1E3-4D344CD5FDED}"/>
    <cellStyle name="Normal 5 2 2 2 2 2 3 2 3" xfId="11567" xr:uid="{9E7C51D2-6CFF-440E-B7A9-8E731AFA64BF}"/>
    <cellStyle name="Normal 5 2 2 2 2 2 3 2 4" xfId="20014" xr:uid="{37C7D59F-BD7B-4834-82DD-1BB96547691C}"/>
    <cellStyle name="Normal 5 2 2 2 2 2 3 3" xfId="5198" xr:uid="{00000000-0005-0000-0000-000011170000}"/>
    <cellStyle name="Normal 5 2 2 2 2 2 3 3 2" xfId="13640" xr:uid="{1DC80E6A-83F5-47ED-A7ED-E9F25F9B2C4C}"/>
    <cellStyle name="Normal 5 2 2 2 2 2 3 3 3" xfId="22086" xr:uid="{50FE2F64-53BE-4DE9-9C9B-EDFE14992522}"/>
    <cellStyle name="Normal 5 2 2 2 2 2 3 4" xfId="9422" xr:uid="{7FFA8027-BC23-46C7-9426-E44E4966F480}"/>
    <cellStyle name="Normal 5 2 2 2 2 2 3 5" xfId="17867" xr:uid="{97796211-6882-44D3-9F02-2141580C065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BDD7E0A7-4636-48F6-B099-90AFE855D439}"/>
    <cellStyle name="Normal 5 2 2 2 2 2 4 2 2 3" xfId="24644" xr:uid="{FEEF4955-7DE4-4963-809E-95CC49CA1722}"/>
    <cellStyle name="Normal 5 2 2 2 2 2 4 2 3" xfId="11980" xr:uid="{E0196E4F-70C0-4E34-B32F-9EAB208821D1}"/>
    <cellStyle name="Normal 5 2 2 2 2 2 4 2 4" xfId="20427" xr:uid="{45A94445-C0FE-44F7-956F-BA137969D801}"/>
    <cellStyle name="Normal 5 2 2 2 2 2 4 3" xfId="5611" xr:uid="{00000000-0005-0000-0000-000015170000}"/>
    <cellStyle name="Normal 5 2 2 2 2 2 4 3 2" xfId="14053" xr:uid="{181172AD-D2E6-482C-B3F1-DEF5F6D29328}"/>
    <cellStyle name="Normal 5 2 2 2 2 2 4 3 3" xfId="22499" xr:uid="{A0F8B1F2-CF01-46E3-93F6-AC8FF1A3C30C}"/>
    <cellStyle name="Normal 5 2 2 2 2 2 4 4" xfId="9835" xr:uid="{B3EFCE93-AC20-41FF-8815-6C04D0CCF940}"/>
    <cellStyle name="Normal 5 2 2 2 2 2 4 5" xfId="18280" xr:uid="{9C2EE6EF-D422-4E4A-99EE-6D964141EC08}"/>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E65ED2B9-96F6-440E-A463-848DD6DF99A4}"/>
    <cellStyle name="Normal 5 2 2 2 2 2 5 2 2 3" xfId="25057" xr:uid="{2C99B43F-B767-4871-AFD6-75540175A419}"/>
    <cellStyle name="Normal 5 2 2 2 2 2 5 2 3" xfId="12393" xr:uid="{824FC758-7396-4510-9BC0-E3CA04685D94}"/>
    <cellStyle name="Normal 5 2 2 2 2 2 5 2 4" xfId="20840" xr:uid="{AEFBFE63-1C76-4BA8-9395-4434D16CFCA4}"/>
    <cellStyle name="Normal 5 2 2 2 2 2 5 3" xfId="6024" xr:uid="{00000000-0005-0000-0000-000019170000}"/>
    <cellStyle name="Normal 5 2 2 2 2 2 5 3 2" xfId="14466" xr:uid="{FA24D618-D9D0-4CFA-ADB7-DF8B61C9653E}"/>
    <cellStyle name="Normal 5 2 2 2 2 2 5 3 3" xfId="22912" xr:uid="{39FF8395-699B-4FB8-84DF-487C41182066}"/>
    <cellStyle name="Normal 5 2 2 2 2 2 5 4" xfId="10248" xr:uid="{632A4AE7-181E-4FD4-9968-F923F7CEC1E5}"/>
    <cellStyle name="Normal 5 2 2 2 2 2 5 5" xfId="18693" xr:uid="{A94D2A14-05F6-4754-A551-87BF86ED90D7}"/>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887A19FF-3C23-4C90-9563-032E7B0DF07B}"/>
    <cellStyle name="Normal 5 2 2 2 2 2 6 2 2 3" xfId="25470" xr:uid="{CD3DBB96-CE61-4A0C-859A-3DC70C6E739C}"/>
    <cellStyle name="Normal 5 2 2 2 2 2 6 2 3" xfId="12806" xr:uid="{98B73E48-ECC7-46A8-BEC9-B9A3249E5353}"/>
    <cellStyle name="Normal 5 2 2 2 2 2 6 2 4" xfId="21253" xr:uid="{81376C5D-6572-4D30-93D1-EBB64005D072}"/>
    <cellStyle name="Normal 5 2 2 2 2 2 6 3" xfId="6437" xr:uid="{00000000-0005-0000-0000-00001D170000}"/>
    <cellStyle name="Normal 5 2 2 2 2 2 6 3 2" xfId="14879" xr:uid="{DD1C4091-7F6E-4C93-93A0-A8A45B5787C0}"/>
    <cellStyle name="Normal 5 2 2 2 2 2 6 3 3" xfId="23325" xr:uid="{29D1032D-F226-4751-B430-CD66DBAA2DB9}"/>
    <cellStyle name="Normal 5 2 2 2 2 2 6 4" xfId="10661" xr:uid="{DD573D1C-C673-41B2-8F11-D6A888781986}"/>
    <cellStyle name="Normal 5 2 2 2 2 2 6 5" xfId="19106" xr:uid="{6CA8CC91-1455-4CEC-B8C4-C8F54FFDB35B}"/>
    <cellStyle name="Normal 5 2 2 2 2 2 7" xfId="2566" xr:uid="{00000000-0005-0000-0000-00001E170000}"/>
    <cellStyle name="Normal 5 2 2 2 2 2 7 2" xfId="6850" xr:uid="{00000000-0005-0000-0000-00001F170000}"/>
    <cellStyle name="Normal 5 2 2 2 2 2 7 2 2" xfId="15292" xr:uid="{1AA49FFC-7F9B-4A1E-A900-303C473660F5}"/>
    <cellStyle name="Normal 5 2 2 2 2 2 7 2 3" xfId="23738" xr:uid="{C08416E6-9FE6-464F-B272-3B9DFC223734}"/>
    <cellStyle name="Normal 5 2 2 2 2 2 7 3" xfId="11074" xr:uid="{B9961E71-4A30-47E6-94FF-33D5F8F562B3}"/>
    <cellStyle name="Normal 5 2 2 2 2 2 7 4" xfId="19519" xr:uid="{7DCB0C7D-9A36-4A54-A53B-32B96338CCC1}"/>
    <cellStyle name="Normal 5 2 2 2 2 2 8" xfId="4785" xr:uid="{00000000-0005-0000-0000-000020170000}"/>
    <cellStyle name="Normal 5 2 2 2 2 2 8 2" xfId="13227" xr:uid="{E9B37783-D06D-4738-B489-CCD2C6AFED16}"/>
    <cellStyle name="Normal 5 2 2 2 2 2 8 3" xfId="21673" xr:uid="{115D0237-7F70-40F0-82F3-958ACCC1157A}"/>
    <cellStyle name="Normal 5 2 2 2 2 2 9" xfId="9009" xr:uid="{4FF46897-0E86-40EE-9766-56E25920CA8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0BD081FC-6891-459C-9B31-09EFE4247E91}"/>
    <cellStyle name="Normal 5 2 2 2 2 3 2 2 2 3" xfId="24233" xr:uid="{693F5E12-D275-4CB9-A79B-80C0121BD272}"/>
    <cellStyle name="Normal 5 2 2 2 2 3 2 2 3" xfId="11569" xr:uid="{C98AD1A2-3C63-4736-8F6E-E33CF8E55FFA}"/>
    <cellStyle name="Normal 5 2 2 2 2 3 2 2 4" xfId="20016" xr:uid="{155C786F-7530-487C-8322-00C8A447384D}"/>
    <cellStyle name="Normal 5 2 2 2 2 3 2 3" xfId="5200" xr:uid="{00000000-0005-0000-0000-000025170000}"/>
    <cellStyle name="Normal 5 2 2 2 2 3 2 3 2" xfId="13642" xr:uid="{58281B76-1F2E-4F2E-BCAD-9F939B0309DB}"/>
    <cellStyle name="Normal 5 2 2 2 2 3 2 3 3" xfId="22088" xr:uid="{FA447A9D-3DB5-4919-9610-BCEEF9CB5C0E}"/>
    <cellStyle name="Normal 5 2 2 2 2 3 2 4" xfId="9424" xr:uid="{F20AC7E3-A977-40E1-8376-46640208D10F}"/>
    <cellStyle name="Normal 5 2 2 2 2 3 2 5" xfId="17869" xr:uid="{45634260-917E-4FDC-AC64-FC762D8AFA6E}"/>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9E27638F-A681-4AB5-A746-BA975EBCCD25}"/>
    <cellStyle name="Normal 5 2 2 2 2 3 3 2 2 3" xfId="24646" xr:uid="{CE212DBA-9C01-4BC7-8AEB-073CC0872197}"/>
    <cellStyle name="Normal 5 2 2 2 2 3 3 2 3" xfId="11982" xr:uid="{4FE7CDF8-F94A-478B-A360-DB31639C9CF8}"/>
    <cellStyle name="Normal 5 2 2 2 2 3 3 2 4" xfId="20429" xr:uid="{D9D6B246-D200-47A5-AB9D-95F825DB0185}"/>
    <cellStyle name="Normal 5 2 2 2 2 3 3 3" xfId="5613" xr:uid="{00000000-0005-0000-0000-000029170000}"/>
    <cellStyle name="Normal 5 2 2 2 2 3 3 3 2" xfId="14055" xr:uid="{8D20D8BF-0C4A-46F9-9A57-1BB6318FC798}"/>
    <cellStyle name="Normal 5 2 2 2 2 3 3 3 3" xfId="22501" xr:uid="{DC88CFAE-8B26-47F0-B497-CBE7A0FA88DD}"/>
    <cellStyle name="Normal 5 2 2 2 2 3 3 4" xfId="9837" xr:uid="{1C720DD7-915A-4B5B-A739-846596D306EF}"/>
    <cellStyle name="Normal 5 2 2 2 2 3 3 5" xfId="18282" xr:uid="{8A629A9B-D2CE-429E-BC8B-4C15461028DB}"/>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7E4EEB69-4E2D-42C7-B7A8-BDB4C4D69DBB}"/>
    <cellStyle name="Normal 5 2 2 2 2 3 4 2 2 3" xfId="25059" xr:uid="{99F2A8EC-8A8E-4D69-A80C-5FD085C0DEA5}"/>
    <cellStyle name="Normal 5 2 2 2 2 3 4 2 3" xfId="12395" xr:uid="{F400DA9D-9F15-41DC-BB72-F985466EB43B}"/>
    <cellStyle name="Normal 5 2 2 2 2 3 4 2 4" xfId="20842" xr:uid="{A2BC33D7-7C89-43D8-8E3F-81ACDBE2A854}"/>
    <cellStyle name="Normal 5 2 2 2 2 3 4 3" xfId="6026" xr:uid="{00000000-0005-0000-0000-00002D170000}"/>
    <cellStyle name="Normal 5 2 2 2 2 3 4 3 2" xfId="14468" xr:uid="{B45B8D63-E8CE-40AC-AF17-AE42A47BC97A}"/>
    <cellStyle name="Normal 5 2 2 2 2 3 4 3 3" xfId="22914" xr:uid="{7FBC6CA4-9BF9-4879-866B-4B04405391A6}"/>
    <cellStyle name="Normal 5 2 2 2 2 3 4 4" xfId="10250" xr:uid="{0DC7F3FA-F411-4E8C-8419-530582925A6A}"/>
    <cellStyle name="Normal 5 2 2 2 2 3 4 5" xfId="18695" xr:uid="{83F8DE4F-2589-4E36-9DF9-023DCAEBA1F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E3A172ED-A864-40A0-827B-33630B71AFD7}"/>
    <cellStyle name="Normal 5 2 2 2 2 3 5 2 2 3" xfId="25472" xr:uid="{BF080EF9-6454-4331-A5F9-0A2868E6DD3C}"/>
    <cellStyle name="Normal 5 2 2 2 2 3 5 2 3" xfId="12808" xr:uid="{56A8D172-BF65-4054-B7AE-3CFCF4D1A8E1}"/>
    <cellStyle name="Normal 5 2 2 2 2 3 5 2 4" xfId="21255" xr:uid="{721CC0DA-65F2-4AD5-8F52-4A1C81A27E4E}"/>
    <cellStyle name="Normal 5 2 2 2 2 3 5 3" xfId="6439" xr:uid="{00000000-0005-0000-0000-000031170000}"/>
    <cellStyle name="Normal 5 2 2 2 2 3 5 3 2" xfId="14881" xr:uid="{50829BF2-4B0A-4590-BAB7-5058B04158FC}"/>
    <cellStyle name="Normal 5 2 2 2 2 3 5 3 3" xfId="23327" xr:uid="{42598394-F553-4243-B0F2-58D114D01184}"/>
    <cellStyle name="Normal 5 2 2 2 2 3 5 4" xfId="10663" xr:uid="{5E6DAA50-EB6E-4E4D-AF9F-31F73506666E}"/>
    <cellStyle name="Normal 5 2 2 2 2 3 5 5" xfId="19108" xr:uid="{7CD160D2-68C4-48E5-B881-CF1A49C2E19E}"/>
    <cellStyle name="Normal 5 2 2 2 2 3 6" xfId="2568" xr:uid="{00000000-0005-0000-0000-000032170000}"/>
    <cellStyle name="Normal 5 2 2 2 2 3 6 2" xfId="6852" xr:uid="{00000000-0005-0000-0000-000033170000}"/>
    <cellStyle name="Normal 5 2 2 2 2 3 6 2 2" xfId="15294" xr:uid="{62E0CFB6-1D23-463D-8E01-9554CE3CDCC2}"/>
    <cellStyle name="Normal 5 2 2 2 2 3 6 2 3" xfId="23740" xr:uid="{E9D93CE1-E3F9-4504-A69E-BED4BF8511B4}"/>
    <cellStyle name="Normal 5 2 2 2 2 3 6 3" xfId="11076" xr:uid="{752366F1-ED14-40E6-B1AC-952FF90435AE}"/>
    <cellStyle name="Normal 5 2 2 2 2 3 6 4" xfId="19521" xr:uid="{E70AD496-C4FF-4CC3-B05B-A03295B057BD}"/>
    <cellStyle name="Normal 5 2 2 2 2 3 7" xfId="4787" xr:uid="{00000000-0005-0000-0000-000034170000}"/>
    <cellStyle name="Normal 5 2 2 2 2 3 7 2" xfId="13229" xr:uid="{244743E7-0ED6-4942-8D32-969E7BB96CE2}"/>
    <cellStyle name="Normal 5 2 2 2 2 3 7 3" xfId="21675" xr:uid="{400E7F27-08E2-433C-AE91-583B65829B0B}"/>
    <cellStyle name="Normal 5 2 2 2 2 3 8" xfId="9011" xr:uid="{95D46C6B-1F4B-4E8C-B614-DC6AA4D7FFBC}"/>
    <cellStyle name="Normal 5 2 2 2 2 3 9" xfId="17455" xr:uid="{4893A3DF-DDDC-435F-99A3-E38A6B72AC4D}"/>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DA5994F1-6DFC-481B-814F-3491A4758B47}"/>
    <cellStyle name="Normal 5 2 2 2 2 4 2 2 3" xfId="24230" xr:uid="{CAC3ECCA-2AF3-4314-A052-54D8FE64517A}"/>
    <cellStyle name="Normal 5 2 2 2 2 4 2 3" xfId="11566" xr:uid="{C6FE8D72-93D6-4C85-A53D-462CC7F8CB11}"/>
    <cellStyle name="Normal 5 2 2 2 2 4 2 4" xfId="20013" xr:uid="{424229A7-1538-444E-B73A-4A48B0980E8C}"/>
    <cellStyle name="Normal 5 2 2 2 2 4 3" xfId="5197" xr:uid="{00000000-0005-0000-0000-000038170000}"/>
    <cellStyle name="Normal 5 2 2 2 2 4 3 2" xfId="13639" xr:uid="{7A37053B-145E-48DE-AB25-B33132EF8C8E}"/>
    <cellStyle name="Normal 5 2 2 2 2 4 3 3" xfId="22085" xr:uid="{1DBB8C5F-AEC9-4672-9449-8D94B47386EA}"/>
    <cellStyle name="Normal 5 2 2 2 2 4 4" xfId="9421" xr:uid="{6A652F6C-7B37-498D-9B84-F3413AD4D5A5}"/>
    <cellStyle name="Normal 5 2 2 2 2 4 5" xfId="17866" xr:uid="{1756E4F9-5226-4815-8020-E0E3CCDB5DFA}"/>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0F28EE54-DC4F-495A-8BA5-B0BA54A916AD}"/>
    <cellStyle name="Normal 5 2 2 2 2 5 2 2 3" xfId="24643" xr:uid="{2989FA89-0911-456F-8C86-BE443A058063}"/>
    <cellStyle name="Normal 5 2 2 2 2 5 2 3" xfId="11979" xr:uid="{3EC24859-B167-41B7-A621-76972C5918BF}"/>
    <cellStyle name="Normal 5 2 2 2 2 5 2 4" xfId="20426" xr:uid="{E2254B35-0EF7-4F56-B36D-B4069C2C548D}"/>
    <cellStyle name="Normal 5 2 2 2 2 5 3" xfId="5610" xr:uid="{00000000-0005-0000-0000-00003C170000}"/>
    <cellStyle name="Normal 5 2 2 2 2 5 3 2" xfId="14052" xr:uid="{99E22609-0138-4271-B6C7-8A74EBC27352}"/>
    <cellStyle name="Normal 5 2 2 2 2 5 3 3" xfId="22498" xr:uid="{D1317BB9-EB57-4C7E-9318-006636A60708}"/>
    <cellStyle name="Normal 5 2 2 2 2 5 4" xfId="9834" xr:uid="{601A26BC-C425-48CB-8092-10CD8ED40327}"/>
    <cellStyle name="Normal 5 2 2 2 2 5 5" xfId="18279" xr:uid="{C868CA97-3227-49CF-8464-AC5550C4912F}"/>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26C98A75-8026-4AB5-A29E-45297297D2FF}"/>
    <cellStyle name="Normal 5 2 2 2 2 6 2 2 3" xfId="25056" xr:uid="{790583FA-FDC4-40D6-8779-401DD694B685}"/>
    <cellStyle name="Normal 5 2 2 2 2 6 2 3" xfId="12392" xr:uid="{4915961C-4943-485F-8E5A-A3CD762FEB58}"/>
    <cellStyle name="Normal 5 2 2 2 2 6 2 4" xfId="20839" xr:uid="{E9DA688A-3CF2-467F-8285-EC82E4F9CD55}"/>
    <cellStyle name="Normal 5 2 2 2 2 6 3" xfId="6023" xr:uid="{00000000-0005-0000-0000-000040170000}"/>
    <cellStyle name="Normal 5 2 2 2 2 6 3 2" xfId="14465" xr:uid="{7B19C115-3FA2-4763-BEA9-C0B51F5683C0}"/>
    <cellStyle name="Normal 5 2 2 2 2 6 3 3" xfId="22911" xr:uid="{C06E0129-80F3-4046-AEFA-3C3D83B77A8D}"/>
    <cellStyle name="Normal 5 2 2 2 2 6 4" xfId="10247" xr:uid="{6C57E489-80C8-44B5-8714-58C50BC527DA}"/>
    <cellStyle name="Normal 5 2 2 2 2 6 5" xfId="18692" xr:uid="{CCB0E8FA-08A8-4BE6-A5ED-D0B7655EC3FB}"/>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376538F7-0122-4E40-BA0A-6E44E6483B7B}"/>
    <cellStyle name="Normal 5 2 2 2 2 7 2 2 3" xfId="25469" xr:uid="{2C1E1B48-A0F7-4550-8282-9617A26A365D}"/>
    <cellStyle name="Normal 5 2 2 2 2 7 2 3" xfId="12805" xr:uid="{951185C8-32E8-44FE-8C16-C4B067E9970D}"/>
    <cellStyle name="Normal 5 2 2 2 2 7 2 4" xfId="21252" xr:uid="{4ED6C5C8-48CE-4373-B409-9E3ADD6284F6}"/>
    <cellStyle name="Normal 5 2 2 2 2 7 3" xfId="6436" xr:uid="{00000000-0005-0000-0000-000044170000}"/>
    <cellStyle name="Normal 5 2 2 2 2 7 3 2" xfId="14878" xr:uid="{1F088A69-74CA-4326-9641-5C0158FFCC19}"/>
    <cellStyle name="Normal 5 2 2 2 2 7 3 3" xfId="23324" xr:uid="{E4C9779F-5864-4616-9C4E-D359A51D4200}"/>
    <cellStyle name="Normal 5 2 2 2 2 7 4" xfId="10660" xr:uid="{9FE66574-555E-47EF-9611-D226AF6BA813}"/>
    <cellStyle name="Normal 5 2 2 2 2 7 5" xfId="19105" xr:uid="{B2833C58-01FA-4951-8729-752D074AB7CA}"/>
    <cellStyle name="Normal 5 2 2 2 2 8" xfId="2565" xr:uid="{00000000-0005-0000-0000-000045170000}"/>
    <cellStyle name="Normal 5 2 2 2 2 8 2" xfId="6849" xr:uid="{00000000-0005-0000-0000-000046170000}"/>
    <cellStyle name="Normal 5 2 2 2 2 8 2 2" xfId="15291" xr:uid="{0B8DEEC0-770F-415D-B233-55A40FEB6241}"/>
    <cellStyle name="Normal 5 2 2 2 2 8 2 3" xfId="23737" xr:uid="{74EAA3CD-3637-460B-A6EF-CE3D09DA459A}"/>
    <cellStyle name="Normal 5 2 2 2 2 8 3" xfId="11073" xr:uid="{1A78EDE3-8EB9-422A-BD51-37F800CFFD52}"/>
    <cellStyle name="Normal 5 2 2 2 2 8 4" xfId="19518" xr:uid="{23CA5758-E345-4DD3-A520-1BD968782CEB}"/>
    <cellStyle name="Normal 5 2 2 2 2 9" xfId="4784" xr:uid="{00000000-0005-0000-0000-000047170000}"/>
    <cellStyle name="Normal 5 2 2 2 2 9 2" xfId="13226" xr:uid="{CCB73621-AF68-46BD-AE64-E02184B376AA}"/>
    <cellStyle name="Normal 5 2 2 2 2 9 3" xfId="21672" xr:uid="{16AF5388-BB5D-43AA-9995-29A0DD7B2994}"/>
    <cellStyle name="Normal 5 2 2 2 3" xfId="414" xr:uid="{00000000-0005-0000-0000-000048170000}"/>
    <cellStyle name="Normal 5 2 2 2 3 10" xfId="17456" xr:uid="{58E3C5E8-2F04-4021-871E-4D081F98541F}"/>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18BD1C78-8BBB-453A-90F3-0A6C15EF0A95}"/>
    <cellStyle name="Normal 5 2 2 2 3 2 2 2 2 3" xfId="24235" xr:uid="{5C4F61F9-758A-4459-A2D3-0E04ECBCE7A7}"/>
    <cellStyle name="Normal 5 2 2 2 3 2 2 2 3" xfId="11571" xr:uid="{C6039F82-AF27-4C39-9D63-F47996260E10}"/>
    <cellStyle name="Normal 5 2 2 2 3 2 2 2 4" xfId="20018" xr:uid="{30421C12-D1AE-41E0-8A12-2D1B7B7198FF}"/>
    <cellStyle name="Normal 5 2 2 2 3 2 2 3" xfId="5202" xr:uid="{00000000-0005-0000-0000-00004D170000}"/>
    <cellStyle name="Normal 5 2 2 2 3 2 2 3 2" xfId="13644" xr:uid="{C7135942-D83B-4631-9FD8-96B709521B07}"/>
    <cellStyle name="Normal 5 2 2 2 3 2 2 3 3" xfId="22090" xr:uid="{224059D5-D3D3-4043-B606-4D9AEB980AD0}"/>
    <cellStyle name="Normal 5 2 2 2 3 2 2 4" xfId="9426" xr:uid="{2E845659-310A-4EB4-9628-1FC4A2D076F4}"/>
    <cellStyle name="Normal 5 2 2 2 3 2 2 5" xfId="17871" xr:uid="{5E8882C9-FF48-4F67-8F36-3D1BE0D00B08}"/>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0D3F4FE3-C32A-4115-A6B8-23F3B94E89F2}"/>
    <cellStyle name="Normal 5 2 2 2 3 2 3 2 2 3" xfId="24648" xr:uid="{A8EF7768-CAFE-4708-A626-B50E76A5229F}"/>
    <cellStyle name="Normal 5 2 2 2 3 2 3 2 3" xfId="11984" xr:uid="{CA4191B0-7E40-4CC3-9F49-BB478DC1D280}"/>
    <cellStyle name="Normal 5 2 2 2 3 2 3 2 4" xfId="20431" xr:uid="{2626E135-C6ED-49AB-BF2E-4C0A4DFC7B53}"/>
    <cellStyle name="Normal 5 2 2 2 3 2 3 3" xfId="5615" xr:uid="{00000000-0005-0000-0000-000051170000}"/>
    <cellStyle name="Normal 5 2 2 2 3 2 3 3 2" xfId="14057" xr:uid="{B2906C54-8A07-4F55-ADB2-13080AB65504}"/>
    <cellStyle name="Normal 5 2 2 2 3 2 3 3 3" xfId="22503" xr:uid="{EA5C7EBD-82DB-453D-8092-A9A493E2CF66}"/>
    <cellStyle name="Normal 5 2 2 2 3 2 3 4" xfId="9839" xr:uid="{401A5672-FA2D-4F38-8148-3F96742234D6}"/>
    <cellStyle name="Normal 5 2 2 2 3 2 3 5" xfId="18284" xr:uid="{C1B3FE31-7522-49CB-BFA6-2C42E53F03AF}"/>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F93D06B1-4E2E-4F36-9BEF-95EA0660C06E}"/>
    <cellStyle name="Normal 5 2 2 2 3 2 4 2 2 3" xfId="25061" xr:uid="{E983CB45-8CDB-423B-AD9F-BCC674ED96B7}"/>
    <cellStyle name="Normal 5 2 2 2 3 2 4 2 3" xfId="12397" xr:uid="{CD8DB3DB-BE7F-4DD9-9F11-E2DDADBB754E}"/>
    <cellStyle name="Normal 5 2 2 2 3 2 4 2 4" xfId="20844" xr:uid="{E3FC74B8-839F-4EA1-9009-7A361521862B}"/>
    <cellStyle name="Normal 5 2 2 2 3 2 4 3" xfId="6028" xr:uid="{00000000-0005-0000-0000-000055170000}"/>
    <cellStyle name="Normal 5 2 2 2 3 2 4 3 2" xfId="14470" xr:uid="{F35DD2EB-4B6C-499E-B244-ECB7A0533ED6}"/>
    <cellStyle name="Normal 5 2 2 2 3 2 4 3 3" xfId="22916" xr:uid="{99C13C94-B62E-49EA-B67E-475868022770}"/>
    <cellStyle name="Normal 5 2 2 2 3 2 4 4" xfId="10252" xr:uid="{9D4EB433-6EA7-454C-8410-535D92452791}"/>
    <cellStyle name="Normal 5 2 2 2 3 2 4 5" xfId="18697" xr:uid="{0E97C7B8-0641-4418-BCCB-E9E623F996DD}"/>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9C43FDBD-66F5-4A7A-8563-B5E0E48D1CC4}"/>
    <cellStyle name="Normal 5 2 2 2 3 2 5 2 2 3" xfId="25474" xr:uid="{625A9486-1F29-4CE6-B180-105DB36BA7C4}"/>
    <cellStyle name="Normal 5 2 2 2 3 2 5 2 3" xfId="12810" xr:uid="{835A28D8-7A0D-4859-AAEA-662430DC70D2}"/>
    <cellStyle name="Normal 5 2 2 2 3 2 5 2 4" xfId="21257" xr:uid="{E34F4809-ACD3-4992-8537-174C59D132B3}"/>
    <cellStyle name="Normal 5 2 2 2 3 2 5 3" xfId="6441" xr:uid="{00000000-0005-0000-0000-000059170000}"/>
    <cellStyle name="Normal 5 2 2 2 3 2 5 3 2" xfId="14883" xr:uid="{09354FDF-8DBE-4925-92EF-C22E73031608}"/>
    <cellStyle name="Normal 5 2 2 2 3 2 5 3 3" xfId="23329" xr:uid="{014EFDEF-430A-4CC1-880C-2E59CDB1AE69}"/>
    <cellStyle name="Normal 5 2 2 2 3 2 5 4" xfId="10665" xr:uid="{3B16043E-E8FC-433F-8A5E-600069BB15CF}"/>
    <cellStyle name="Normal 5 2 2 2 3 2 5 5" xfId="19110" xr:uid="{34403606-5DB4-4C52-898E-7581D682AAEA}"/>
    <cellStyle name="Normal 5 2 2 2 3 2 6" xfId="2570" xr:uid="{00000000-0005-0000-0000-00005A170000}"/>
    <cellStyle name="Normal 5 2 2 2 3 2 6 2" xfId="6854" xr:uid="{00000000-0005-0000-0000-00005B170000}"/>
    <cellStyle name="Normal 5 2 2 2 3 2 6 2 2" xfId="15296" xr:uid="{9CE624A7-61A2-4682-8133-65BFF6011690}"/>
    <cellStyle name="Normal 5 2 2 2 3 2 6 2 3" xfId="23742" xr:uid="{97E098E7-6376-4CE4-95FD-4102D42222A9}"/>
    <cellStyle name="Normal 5 2 2 2 3 2 6 3" xfId="11078" xr:uid="{9718F64D-E6AA-4FF8-8B04-DECB500111F5}"/>
    <cellStyle name="Normal 5 2 2 2 3 2 6 4" xfId="19523" xr:uid="{DF9F855E-F62D-4777-BCAD-DE434DE7E798}"/>
    <cellStyle name="Normal 5 2 2 2 3 2 7" xfId="4789" xr:uid="{00000000-0005-0000-0000-00005C170000}"/>
    <cellStyle name="Normal 5 2 2 2 3 2 7 2" xfId="13231" xr:uid="{C892F637-CE72-4D22-8BD1-9386E8501277}"/>
    <cellStyle name="Normal 5 2 2 2 3 2 7 3" xfId="21677" xr:uid="{0F4FCC60-28C1-4DB3-B386-44DAB2B3C9A7}"/>
    <cellStyle name="Normal 5 2 2 2 3 2 8" xfId="9013" xr:uid="{11C566C9-6490-44E8-8EFA-D7A00500D81A}"/>
    <cellStyle name="Normal 5 2 2 2 3 2 9" xfId="17457" xr:uid="{30D6AAAC-B82D-4C40-A211-C06284A35C33}"/>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A2081E56-5E47-4F3F-983E-886AE7CF5C8D}"/>
    <cellStyle name="Normal 5 2 2 2 3 3 2 2 3" xfId="24234" xr:uid="{1A94E950-8767-40AC-BFEB-307F6186DD2D}"/>
    <cellStyle name="Normal 5 2 2 2 3 3 2 3" xfId="11570" xr:uid="{9650230E-FE40-40B9-BD26-646A18047D23}"/>
    <cellStyle name="Normal 5 2 2 2 3 3 2 4" xfId="20017" xr:uid="{4657EFF5-49C0-4526-AD14-AEFFD6BB83E8}"/>
    <cellStyle name="Normal 5 2 2 2 3 3 3" xfId="5201" xr:uid="{00000000-0005-0000-0000-000060170000}"/>
    <cellStyle name="Normal 5 2 2 2 3 3 3 2" xfId="13643" xr:uid="{F6238C60-B7F3-4155-9A73-20D9D05A4F18}"/>
    <cellStyle name="Normal 5 2 2 2 3 3 3 3" xfId="22089" xr:uid="{7C5D1FD0-0EFC-4CCE-B1F0-6CB506FB05CA}"/>
    <cellStyle name="Normal 5 2 2 2 3 3 4" xfId="9425" xr:uid="{460BE132-9523-4919-A25E-842EBE058B3B}"/>
    <cellStyle name="Normal 5 2 2 2 3 3 5" xfId="17870" xr:uid="{3192D177-D735-4F3F-B778-0E7EA16784FF}"/>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9805A5C3-3352-4D1F-9E53-985F3188E95E}"/>
    <cellStyle name="Normal 5 2 2 2 3 4 2 2 3" xfId="24647" xr:uid="{EE2D413E-5F76-4EB3-968E-02081E8476B5}"/>
    <cellStyle name="Normal 5 2 2 2 3 4 2 3" xfId="11983" xr:uid="{D6F6D846-FE4B-4AF9-86A8-F19DD9CA3125}"/>
    <cellStyle name="Normal 5 2 2 2 3 4 2 4" xfId="20430" xr:uid="{33087F83-BF31-40E5-AC4C-7748A61FA75C}"/>
    <cellStyle name="Normal 5 2 2 2 3 4 3" xfId="5614" xr:uid="{00000000-0005-0000-0000-000064170000}"/>
    <cellStyle name="Normal 5 2 2 2 3 4 3 2" xfId="14056" xr:uid="{BB338318-BA49-49FD-A463-A6B6DC6E6FE2}"/>
    <cellStyle name="Normal 5 2 2 2 3 4 3 3" xfId="22502" xr:uid="{CB6FE9A5-CDFC-4055-BFC4-D6287EAC538D}"/>
    <cellStyle name="Normal 5 2 2 2 3 4 4" xfId="9838" xr:uid="{E12B07C2-43E2-4124-8C3F-7A2A42E93B6F}"/>
    <cellStyle name="Normal 5 2 2 2 3 4 5" xfId="18283" xr:uid="{B8AD0050-E7FA-49B6-8723-29EB75A05AE7}"/>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AF9BBEFC-06E3-4CFF-8642-A72A32007605}"/>
    <cellStyle name="Normal 5 2 2 2 3 5 2 2 3" xfId="25060" xr:uid="{096E7EF8-2529-4BCE-BF7A-44E5F8678068}"/>
    <cellStyle name="Normal 5 2 2 2 3 5 2 3" xfId="12396" xr:uid="{DF4DCD61-6BCD-4C24-9D26-7E5F9212F0ED}"/>
    <cellStyle name="Normal 5 2 2 2 3 5 2 4" xfId="20843" xr:uid="{A4318CE2-8787-4F9F-B54A-79C986A0275F}"/>
    <cellStyle name="Normal 5 2 2 2 3 5 3" xfId="6027" xr:uid="{00000000-0005-0000-0000-000068170000}"/>
    <cellStyle name="Normal 5 2 2 2 3 5 3 2" xfId="14469" xr:uid="{43E9C055-4344-4789-ACCF-32B388928105}"/>
    <cellStyle name="Normal 5 2 2 2 3 5 3 3" xfId="22915" xr:uid="{D3C6622A-F966-49A3-B1EE-D25BD814297E}"/>
    <cellStyle name="Normal 5 2 2 2 3 5 4" xfId="10251" xr:uid="{62171012-8998-4084-8F86-41D1487FC503}"/>
    <cellStyle name="Normal 5 2 2 2 3 5 5" xfId="18696" xr:uid="{58DC9622-1298-4D03-95E9-62C3B58A0FCF}"/>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4469948C-D727-43D8-BB6D-11F0E6489157}"/>
    <cellStyle name="Normal 5 2 2 2 3 6 2 2 3" xfId="25473" xr:uid="{2718A724-61AD-4D66-A745-80BEA25CF032}"/>
    <cellStyle name="Normal 5 2 2 2 3 6 2 3" xfId="12809" xr:uid="{5645E6F5-CA47-4F74-ACA0-FA770D898980}"/>
    <cellStyle name="Normal 5 2 2 2 3 6 2 4" xfId="21256" xr:uid="{A4041329-5ADE-4DF6-970C-E5E15DD7C04E}"/>
    <cellStyle name="Normal 5 2 2 2 3 6 3" xfId="6440" xr:uid="{00000000-0005-0000-0000-00006C170000}"/>
    <cellStyle name="Normal 5 2 2 2 3 6 3 2" xfId="14882" xr:uid="{E7CC0280-EAE4-4DC4-BA62-D174CE17273D}"/>
    <cellStyle name="Normal 5 2 2 2 3 6 3 3" xfId="23328" xr:uid="{48621A7D-7DFF-4AD0-AF35-93D8FB41C0B5}"/>
    <cellStyle name="Normal 5 2 2 2 3 6 4" xfId="10664" xr:uid="{05D458EF-4511-4385-B033-A30FDB841F0E}"/>
    <cellStyle name="Normal 5 2 2 2 3 6 5" xfId="19109" xr:uid="{7D384FE6-ABAF-4CFC-B0AA-C758645D10C5}"/>
    <cellStyle name="Normal 5 2 2 2 3 7" xfId="2569" xr:uid="{00000000-0005-0000-0000-00006D170000}"/>
    <cellStyle name="Normal 5 2 2 2 3 7 2" xfId="6853" xr:uid="{00000000-0005-0000-0000-00006E170000}"/>
    <cellStyle name="Normal 5 2 2 2 3 7 2 2" xfId="15295" xr:uid="{E53FC82F-42C7-4643-AE6F-59FDB8BAE8EE}"/>
    <cellStyle name="Normal 5 2 2 2 3 7 2 3" xfId="23741" xr:uid="{EAF04678-AFA1-412E-9253-003F9BB4B1EA}"/>
    <cellStyle name="Normal 5 2 2 2 3 7 3" xfId="11077" xr:uid="{D63C1776-CBEA-488A-A399-816D921F4CAE}"/>
    <cellStyle name="Normal 5 2 2 2 3 7 4" xfId="19522" xr:uid="{B0A75751-CA4D-46EE-8A40-7468BB4CAE01}"/>
    <cellStyle name="Normal 5 2 2 2 3 8" xfId="4788" xr:uid="{00000000-0005-0000-0000-00006F170000}"/>
    <cellStyle name="Normal 5 2 2 2 3 8 2" xfId="13230" xr:uid="{DA9A71DF-ED4D-417F-BAE1-6569857BD4B7}"/>
    <cellStyle name="Normal 5 2 2 2 3 8 3" xfId="21676" xr:uid="{9797D7E3-CF1A-46EB-A0A0-8AC7A77BF9DF}"/>
    <cellStyle name="Normal 5 2 2 2 3 9" xfId="9012" xr:uid="{70A6A10A-F34B-414D-AD8F-067096C4B64E}"/>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9D21D5C4-3527-4D44-AE98-EB91F528B841}"/>
    <cellStyle name="Normal 5 2 2 2 4 2 2 2 3" xfId="24236" xr:uid="{D02D1F10-3A3B-4F76-AADE-EDEB0A9A8FDB}"/>
    <cellStyle name="Normal 5 2 2 2 4 2 2 3" xfId="11572" xr:uid="{1F71D4F4-9154-44F1-89D5-F36B8DECD7C6}"/>
    <cellStyle name="Normal 5 2 2 2 4 2 2 4" xfId="20019" xr:uid="{6A3C1CE9-031C-4FAA-A8DF-66744CD01D1E}"/>
    <cellStyle name="Normal 5 2 2 2 4 2 3" xfId="5203" xr:uid="{00000000-0005-0000-0000-000074170000}"/>
    <cellStyle name="Normal 5 2 2 2 4 2 3 2" xfId="13645" xr:uid="{C45A928C-1C8A-4C06-9F2A-9DD967C957A1}"/>
    <cellStyle name="Normal 5 2 2 2 4 2 3 3" xfId="22091" xr:uid="{C89C62D9-EF71-46EC-9CA1-6EE46D4CCF69}"/>
    <cellStyle name="Normal 5 2 2 2 4 2 4" xfId="9427" xr:uid="{4454D447-263A-45F8-892A-C3E632434003}"/>
    <cellStyle name="Normal 5 2 2 2 4 2 5" xfId="17872" xr:uid="{9FEE4E6C-1661-4621-988C-67A03084B954}"/>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A67032EE-414C-461C-A668-6C910B336A6A}"/>
    <cellStyle name="Normal 5 2 2 2 4 3 2 2 3" xfId="24649" xr:uid="{4DC4707F-9482-4819-B06B-852FE0C562F7}"/>
    <cellStyle name="Normal 5 2 2 2 4 3 2 3" xfId="11985" xr:uid="{891688D5-5E6A-4830-A9D4-1E1CEB00B55F}"/>
    <cellStyle name="Normal 5 2 2 2 4 3 2 4" xfId="20432" xr:uid="{E5A639F4-B310-4DFD-AD02-D18727F91EA7}"/>
    <cellStyle name="Normal 5 2 2 2 4 3 3" xfId="5616" xr:uid="{00000000-0005-0000-0000-000078170000}"/>
    <cellStyle name="Normal 5 2 2 2 4 3 3 2" xfId="14058" xr:uid="{CB812C91-0204-43A8-A257-ED4453FD1F2D}"/>
    <cellStyle name="Normal 5 2 2 2 4 3 3 3" xfId="22504" xr:uid="{2F5FFF0D-0166-4589-B973-E7FDA96E19B5}"/>
    <cellStyle name="Normal 5 2 2 2 4 3 4" xfId="9840" xr:uid="{96355DB4-7798-45F7-B52A-BF8B91438719}"/>
    <cellStyle name="Normal 5 2 2 2 4 3 5" xfId="18285" xr:uid="{466AB30B-2C7C-4406-B4CB-94ADBB68C6B8}"/>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6A98B381-5314-4A97-9C0A-53658C929C16}"/>
    <cellStyle name="Normal 5 2 2 2 4 4 2 2 3" xfId="25062" xr:uid="{335BE414-CEAA-4BB8-ABD1-9C776A4BD6F6}"/>
    <cellStyle name="Normal 5 2 2 2 4 4 2 3" xfId="12398" xr:uid="{E5B4C1D2-1EDA-4F2B-A3D6-F51B016B79EE}"/>
    <cellStyle name="Normal 5 2 2 2 4 4 2 4" xfId="20845" xr:uid="{55FA4004-40A3-4B5F-951A-C1BA0D1AADC4}"/>
    <cellStyle name="Normal 5 2 2 2 4 4 3" xfId="6029" xr:uid="{00000000-0005-0000-0000-00007C170000}"/>
    <cellStyle name="Normal 5 2 2 2 4 4 3 2" xfId="14471" xr:uid="{2ACE8317-4E4E-4A37-B702-E49CEB00ECE5}"/>
    <cellStyle name="Normal 5 2 2 2 4 4 3 3" xfId="22917" xr:uid="{8BBF2940-7987-4CA2-9ECC-1041CEEF742F}"/>
    <cellStyle name="Normal 5 2 2 2 4 4 4" xfId="10253" xr:uid="{EB552524-D051-458C-8733-532EA7A59CE2}"/>
    <cellStyle name="Normal 5 2 2 2 4 4 5" xfId="18698" xr:uid="{5FF92E65-9103-485D-8465-3333DD1BF9C8}"/>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E1EEED82-BA00-40FF-BCAA-769E9E0153B4}"/>
    <cellStyle name="Normal 5 2 2 2 4 5 2 2 3" xfId="25475" xr:uid="{D08A3E96-5A22-440D-945D-3D388E33C8CB}"/>
    <cellStyle name="Normal 5 2 2 2 4 5 2 3" xfId="12811" xr:uid="{4FCF146E-A5ED-4AE6-A773-6CB8B0F3BB86}"/>
    <cellStyle name="Normal 5 2 2 2 4 5 2 4" xfId="21258" xr:uid="{7EB53C43-2A1A-4C0F-913A-C361F21FB02E}"/>
    <cellStyle name="Normal 5 2 2 2 4 5 3" xfId="6442" xr:uid="{00000000-0005-0000-0000-000080170000}"/>
    <cellStyle name="Normal 5 2 2 2 4 5 3 2" xfId="14884" xr:uid="{E5DCD337-6B74-444A-AC7A-8386114F1705}"/>
    <cellStyle name="Normal 5 2 2 2 4 5 3 3" xfId="23330" xr:uid="{CCB0A77F-41BF-46C4-AFD4-61702FF6C0BD}"/>
    <cellStyle name="Normal 5 2 2 2 4 5 4" xfId="10666" xr:uid="{C88F4AA0-CDB1-422C-A66E-747207678876}"/>
    <cellStyle name="Normal 5 2 2 2 4 5 5" xfId="19111" xr:uid="{C4BBCFAC-FBEA-4F20-B270-948AB4B13BCA}"/>
    <cellStyle name="Normal 5 2 2 2 4 6" xfId="2571" xr:uid="{00000000-0005-0000-0000-000081170000}"/>
    <cellStyle name="Normal 5 2 2 2 4 6 2" xfId="6855" xr:uid="{00000000-0005-0000-0000-000082170000}"/>
    <cellStyle name="Normal 5 2 2 2 4 6 2 2" xfId="15297" xr:uid="{DA4057F9-FECE-43B5-9EA0-7CB0E428C7AB}"/>
    <cellStyle name="Normal 5 2 2 2 4 6 2 3" xfId="23743" xr:uid="{B8AC358E-A409-465E-A183-BF0B923B9501}"/>
    <cellStyle name="Normal 5 2 2 2 4 6 3" xfId="11079" xr:uid="{986EA002-6F46-42AD-844A-8191675EE6B6}"/>
    <cellStyle name="Normal 5 2 2 2 4 6 4" xfId="19524" xr:uid="{5643641D-38C0-4379-9260-436356A4F088}"/>
    <cellStyle name="Normal 5 2 2 2 4 7" xfId="4790" xr:uid="{00000000-0005-0000-0000-000083170000}"/>
    <cellStyle name="Normal 5 2 2 2 4 7 2" xfId="13232" xr:uid="{DB28AA1D-DA51-4AF1-8CC3-D90D6EE833DE}"/>
    <cellStyle name="Normal 5 2 2 2 4 7 3" xfId="21678" xr:uid="{0994960E-7020-4DDF-A640-2DA7BF6BB421}"/>
    <cellStyle name="Normal 5 2 2 2 4 8" xfId="9014" xr:uid="{2F1BB216-824A-4649-8435-B2438B084F47}"/>
    <cellStyle name="Normal 5 2 2 2 4 9" xfId="17458" xr:uid="{B4048BCB-0EE1-4BA0-A2A9-3C582DBC3D40}"/>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5C54935F-BB02-4F62-B433-56567B305628}"/>
    <cellStyle name="Normal 5 2 2 2 5 2 2 3" xfId="24229" xr:uid="{CA8F99F2-14C9-4228-B763-51698185C5B7}"/>
    <cellStyle name="Normal 5 2 2 2 5 2 3" xfId="11565" xr:uid="{DD235D76-7EBD-484D-A0E4-40D940C6D384}"/>
    <cellStyle name="Normal 5 2 2 2 5 2 4" xfId="20012" xr:uid="{4C2FD1F7-D293-4596-8B43-0E95CCFE52A9}"/>
    <cellStyle name="Normal 5 2 2 2 5 3" xfId="5196" xr:uid="{00000000-0005-0000-0000-000087170000}"/>
    <cellStyle name="Normal 5 2 2 2 5 3 2" xfId="13638" xr:uid="{9791EA38-5F35-4629-AA83-4125C08269B5}"/>
    <cellStyle name="Normal 5 2 2 2 5 3 3" xfId="22084" xr:uid="{242B3417-0A12-4303-8960-786161FDC3C4}"/>
    <cellStyle name="Normal 5 2 2 2 5 4" xfId="9420" xr:uid="{D4C03BB4-3132-4E2B-9360-C1D5304BB0D6}"/>
    <cellStyle name="Normal 5 2 2 2 5 5" xfId="17865" xr:uid="{83B93AE8-97B5-485F-A0EF-30B1AE327DAA}"/>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B386EBE0-BD83-4B3D-848B-C9D92FD3B39A}"/>
    <cellStyle name="Normal 5 2 2 2 6 2 2 3" xfId="24642" xr:uid="{95475E1B-788F-48F4-B929-AF9E7027F431}"/>
    <cellStyle name="Normal 5 2 2 2 6 2 3" xfId="11978" xr:uid="{C83AEA31-8DC5-4E6A-B740-C562327D8E02}"/>
    <cellStyle name="Normal 5 2 2 2 6 2 4" xfId="20425" xr:uid="{31050001-0D28-4E57-A6AE-27945FDAE0C0}"/>
    <cellStyle name="Normal 5 2 2 2 6 3" xfId="5609" xr:uid="{00000000-0005-0000-0000-00008B170000}"/>
    <cellStyle name="Normal 5 2 2 2 6 3 2" xfId="14051" xr:uid="{EF7E0EF3-E6C9-43C6-B1CB-0B01B66C567E}"/>
    <cellStyle name="Normal 5 2 2 2 6 3 3" xfId="22497" xr:uid="{75125304-F481-4F25-A5A5-430D513A1636}"/>
    <cellStyle name="Normal 5 2 2 2 6 4" xfId="9833" xr:uid="{D6D087F7-FF3A-402A-A66A-8E196857B660}"/>
    <cellStyle name="Normal 5 2 2 2 6 5" xfId="18278" xr:uid="{263A09B7-D261-4E15-AA16-AAB347AA406F}"/>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CEE7DEEF-F113-4043-A663-A2CF70C6E6EB}"/>
    <cellStyle name="Normal 5 2 2 2 7 2 2 3" xfId="25055" xr:uid="{D2FB4A06-85F1-45B5-B22B-45A20A57988B}"/>
    <cellStyle name="Normal 5 2 2 2 7 2 3" xfId="12391" xr:uid="{34CEFF37-E346-4F32-868E-E736BBED6143}"/>
    <cellStyle name="Normal 5 2 2 2 7 2 4" xfId="20838" xr:uid="{45F1888C-4D60-43D4-8079-0667A272007D}"/>
    <cellStyle name="Normal 5 2 2 2 7 3" xfId="6022" xr:uid="{00000000-0005-0000-0000-00008F170000}"/>
    <cellStyle name="Normal 5 2 2 2 7 3 2" xfId="14464" xr:uid="{97A5F6C1-8563-47FF-8621-F8A670A91A28}"/>
    <cellStyle name="Normal 5 2 2 2 7 3 3" xfId="22910" xr:uid="{D5404CC0-8976-4361-B76C-A21C87C06FBE}"/>
    <cellStyle name="Normal 5 2 2 2 7 4" xfId="10246" xr:uid="{5168FBB4-C759-4370-807F-27AA17F3E393}"/>
    <cellStyle name="Normal 5 2 2 2 7 5" xfId="18691" xr:uid="{1617FF49-761E-40B7-A078-BE8BB8923D8F}"/>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E7F4F096-48DB-45E9-B365-5489DF636809}"/>
    <cellStyle name="Normal 5 2 2 2 8 2 2 3" xfId="25468" xr:uid="{352C9976-E2C1-4EBB-8B56-01D186F7BF44}"/>
    <cellStyle name="Normal 5 2 2 2 8 2 3" xfId="12804" xr:uid="{4C010722-20CA-47AA-B434-FFE4BE0DE9B2}"/>
    <cellStyle name="Normal 5 2 2 2 8 2 4" xfId="21251" xr:uid="{DFB56B23-C1AD-49BB-B921-7AC644A242BF}"/>
    <cellStyle name="Normal 5 2 2 2 8 3" xfId="6435" xr:uid="{00000000-0005-0000-0000-000093170000}"/>
    <cellStyle name="Normal 5 2 2 2 8 3 2" xfId="14877" xr:uid="{A6BFC497-CC23-4F9E-988D-A056DAB8F61B}"/>
    <cellStyle name="Normal 5 2 2 2 8 3 3" xfId="23323" xr:uid="{561CB2F8-9AF5-4CC9-9DF5-C83FF8C62008}"/>
    <cellStyle name="Normal 5 2 2 2 8 4" xfId="10659" xr:uid="{530C3965-777D-4CBC-9E39-D92B09F83F64}"/>
    <cellStyle name="Normal 5 2 2 2 8 5" xfId="19104" xr:uid="{21BE3265-3EA9-4B05-AF8A-CC08BD3E55DC}"/>
    <cellStyle name="Normal 5 2 2 2 9" xfId="2564" xr:uid="{00000000-0005-0000-0000-000094170000}"/>
    <cellStyle name="Normal 5 2 2 2 9 2" xfId="6848" xr:uid="{00000000-0005-0000-0000-000095170000}"/>
    <cellStyle name="Normal 5 2 2 2 9 2 2" xfId="15290" xr:uid="{91923ADF-4939-47DC-B1AF-5B5967F8C5D5}"/>
    <cellStyle name="Normal 5 2 2 2 9 2 3" xfId="23736" xr:uid="{7CFE89D5-74D6-4859-AA60-5B2CEF8889AA}"/>
    <cellStyle name="Normal 5 2 2 2 9 3" xfId="11072" xr:uid="{134B70D8-F8F9-4936-AF8C-9ADA6341EC2B}"/>
    <cellStyle name="Normal 5 2 2 2 9 4" xfId="19517" xr:uid="{4A602ADA-FC7A-46D3-85BB-CA56C8FE1BBA}"/>
    <cellStyle name="Normal 5 2 2 3" xfId="417" xr:uid="{00000000-0005-0000-0000-000096170000}"/>
    <cellStyle name="Normal 5 2 2 3 10" xfId="9015" xr:uid="{F868CE38-71D0-4628-84EA-14E54ED8B760}"/>
    <cellStyle name="Normal 5 2 2 3 11" xfId="17459" xr:uid="{7253C796-7011-4DA6-A830-49D35B503B0A}"/>
    <cellStyle name="Normal 5 2 2 3 2" xfId="418" xr:uid="{00000000-0005-0000-0000-000097170000}"/>
    <cellStyle name="Normal 5 2 2 3 2 10" xfId="17460" xr:uid="{AB10BB18-EBA7-4C20-A1B6-33423D2CB568}"/>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A4121340-4230-4A22-A7E1-60C5D14C6E6D}"/>
    <cellStyle name="Normal 5 2 2 3 2 2 2 2 2 3" xfId="24239" xr:uid="{5D91CA15-EAD2-455A-BE9D-94A06EDED40D}"/>
    <cellStyle name="Normal 5 2 2 3 2 2 2 2 3" xfId="11575" xr:uid="{20C33EC0-FA17-4E2A-811C-C498C3855AA0}"/>
    <cellStyle name="Normal 5 2 2 3 2 2 2 2 4" xfId="20022" xr:uid="{FA68C1C8-A108-4CFE-9E77-62B4BD8BE475}"/>
    <cellStyle name="Normal 5 2 2 3 2 2 2 3" xfId="5206" xr:uid="{00000000-0005-0000-0000-00009C170000}"/>
    <cellStyle name="Normal 5 2 2 3 2 2 2 3 2" xfId="13648" xr:uid="{B2822753-7CC6-4474-AC1D-F55D639FF4DA}"/>
    <cellStyle name="Normal 5 2 2 3 2 2 2 3 3" xfId="22094" xr:uid="{9546A5D3-80A9-46C2-A197-1658FD82C49B}"/>
    <cellStyle name="Normal 5 2 2 3 2 2 2 4" xfId="9430" xr:uid="{A64AA92B-BA1F-45F8-999B-EEB2AD5AEB73}"/>
    <cellStyle name="Normal 5 2 2 3 2 2 2 5" xfId="17875" xr:uid="{90BE280A-CD15-4D05-962C-5D292A913547}"/>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2AB2327C-1456-4598-85DA-17FE231DBE92}"/>
    <cellStyle name="Normal 5 2 2 3 2 2 3 2 2 3" xfId="24652" xr:uid="{6FCCA831-C638-4591-A67B-DA834A04EEC9}"/>
    <cellStyle name="Normal 5 2 2 3 2 2 3 2 3" xfId="11988" xr:uid="{E5933936-D334-4D0B-9AB9-F464EA4DFE52}"/>
    <cellStyle name="Normal 5 2 2 3 2 2 3 2 4" xfId="20435" xr:uid="{57BA9D4D-146D-444B-8FDB-9D438E689427}"/>
    <cellStyle name="Normal 5 2 2 3 2 2 3 3" xfId="5619" xr:uid="{00000000-0005-0000-0000-0000A0170000}"/>
    <cellStyle name="Normal 5 2 2 3 2 2 3 3 2" xfId="14061" xr:uid="{0A7C06B1-9D0A-4BFD-AA30-4A8609555C14}"/>
    <cellStyle name="Normal 5 2 2 3 2 2 3 3 3" xfId="22507" xr:uid="{CF64F331-4F12-488B-BAD3-9D323FA2AFED}"/>
    <cellStyle name="Normal 5 2 2 3 2 2 3 4" xfId="9843" xr:uid="{913EC5C7-2D61-4447-810E-16ED161A78E4}"/>
    <cellStyle name="Normal 5 2 2 3 2 2 3 5" xfId="18288" xr:uid="{4D88AB90-D02D-446C-A13D-CCF3C805B21C}"/>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45F1711F-B10F-412C-89F7-81998E236993}"/>
    <cellStyle name="Normal 5 2 2 3 2 2 4 2 2 3" xfId="25065" xr:uid="{B4FCBC40-35CA-4B70-8F5B-8879D5FEEBB7}"/>
    <cellStyle name="Normal 5 2 2 3 2 2 4 2 3" xfId="12401" xr:uid="{6F396222-D109-4A1F-9237-EB80D692CB95}"/>
    <cellStyle name="Normal 5 2 2 3 2 2 4 2 4" xfId="20848" xr:uid="{B3F10D65-E41C-4F12-92D6-4EA285078185}"/>
    <cellStyle name="Normal 5 2 2 3 2 2 4 3" xfId="6032" xr:uid="{00000000-0005-0000-0000-0000A4170000}"/>
    <cellStyle name="Normal 5 2 2 3 2 2 4 3 2" xfId="14474" xr:uid="{BDB203D0-E977-445F-AC63-3F408B46F6E8}"/>
    <cellStyle name="Normal 5 2 2 3 2 2 4 3 3" xfId="22920" xr:uid="{2A3C4AED-F256-45E4-97C1-BBE461B72582}"/>
    <cellStyle name="Normal 5 2 2 3 2 2 4 4" xfId="10256" xr:uid="{3E63C906-3E06-4FFE-BD18-59734C787623}"/>
    <cellStyle name="Normal 5 2 2 3 2 2 4 5" xfId="18701" xr:uid="{C1322145-C5D3-4BA4-962C-8A23AE50E5D6}"/>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6F330F41-4655-4B23-B723-ED54DEA5FE09}"/>
    <cellStyle name="Normal 5 2 2 3 2 2 5 2 2 3" xfId="25478" xr:uid="{A6E69AC8-B36B-4BAD-808A-C90948194CDB}"/>
    <cellStyle name="Normal 5 2 2 3 2 2 5 2 3" xfId="12814" xr:uid="{4FB47CDB-66F5-4BF4-8BF9-794EAB03D19B}"/>
    <cellStyle name="Normal 5 2 2 3 2 2 5 2 4" xfId="21261" xr:uid="{95B38478-3D2A-43AB-93A5-9E4DFF22C468}"/>
    <cellStyle name="Normal 5 2 2 3 2 2 5 3" xfId="6445" xr:uid="{00000000-0005-0000-0000-0000A8170000}"/>
    <cellStyle name="Normal 5 2 2 3 2 2 5 3 2" xfId="14887" xr:uid="{1EFEBCE6-C466-4877-A41F-D8474B5A84BC}"/>
    <cellStyle name="Normal 5 2 2 3 2 2 5 3 3" xfId="23333" xr:uid="{8B909BA2-9459-46E3-AE4D-5E11C04904D3}"/>
    <cellStyle name="Normal 5 2 2 3 2 2 5 4" xfId="10669" xr:uid="{6CC51EBD-6AB9-4C1C-B88E-B906E0A57FD8}"/>
    <cellStyle name="Normal 5 2 2 3 2 2 5 5" xfId="19114" xr:uid="{A345B8C1-CD9C-4E71-9D68-7541F662E64B}"/>
    <cellStyle name="Normal 5 2 2 3 2 2 6" xfId="2574" xr:uid="{00000000-0005-0000-0000-0000A9170000}"/>
    <cellStyle name="Normal 5 2 2 3 2 2 6 2" xfId="6858" xr:uid="{00000000-0005-0000-0000-0000AA170000}"/>
    <cellStyle name="Normal 5 2 2 3 2 2 6 2 2" xfId="15300" xr:uid="{1A169A2F-CDA0-4C6B-8C90-782191A5904C}"/>
    <cellStyle name="Normal 5 2 2 3 2 2 6 2 3" xfId="23746" xr:uid="{86082E21-154E-4952-B4B9-0ABCD86A6071}"/>
    <cellStyle name="Normal 5 2 2 3 2 2 6 3" xfId="11082" xr:uid="{622998C2-B3BF-4ECB-B660-E2919E27995C}"/>
    <cellStyle name="Normal 5 2 2 3 2 2 6 4" xfId="19527" xr:uid="{F06A9028-0CE3-42F9-91A5-32BA710F9AFD}"/>
    <cellStyle name="Normal 5 2 2 3 2 2 7" xfId="4793" xr:uid="{00000000-0005-0000-0000-0000AB170000}"/>
    <cellStyle name="Normal 5 2 2 3 2 2 7 2" xfId="13235" xr:uid="{FFA0A6E8-7107-4B29-AEC4-8EC4001D4D52}"/>
    <cellStyle name="Normal 5 2 2 3 2 2 7 3" xfId="21681" xr:uid="{948A978A-FC80-442F-BFE5-6FC488755646}"/>
    <cellStyle name="Normal 5 2 2 3 2 2 8" xfId="9017" xr:uid="{4610B3B4-5327-4412-AC13-99925253761F}"/>
    <cellStyle name="Normal 5 2 2 3 2 2 9" xfId="17461" xr:uid="{54CA932F-6F65-4BE7-95C3-F1AB39061054}"/>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F90CFA6D-5E94-4650-98B9-337772EA5588}"/>
    <cellStyle name="Normal 5 2 2 3 2 3 2 2 3" xfId="24238" xr:uid="{8432EE48-D14D-4C90-AB81-B6F169EF0FDB}"/>
    <cellStyle name="Normal 5 2 2 3 2 3 2 3" xfId="11574" xr:uid="{4D49270A-49FC-495D-8145-F992BD3D0F7A}"/>
    <cellStyle name="Normal 5 2 2 3 2 3 2 4" xfId="20021" xr:uid="{02D5F5EE-66CA-47A5-AC53-D22B29595B50}"/>
    <cellStyle name="Normal 5 2 2 3 2 3 3" xfId="5205" xr:uid="{00000000-0005-0000-0000-0000AF170000}"/>
    <cellStyle name="Normal 5 2 2 3 2 3 3 2" xfId="13647" xr:uid="{0F50CE2E-D202-41A9-9CC3-A2AAFB648030}"/>
    <cellStyle name="Normal 5 2 2 3 2 3 3 3" xfId="22093" xr:uid="{B64F9C76-0BFF-4190-98BA-EE6C1B601BEB}"/>
    <cellStyle name="Normal 5 2 2 3 2 3 4" xfId="9429" xr:uid="{82446A67-905E-4B6F-82AD-19237BE2B6B7}"/>
    <cellStyle name="Normal 5 2 2 3 2 3 5" xfId="17874" xr:uid="{36F5E94B-DEB6-48AB-AC2B-5EBF7AFBAF5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981BE8EE-7102-420A-B01C-EDF57AB4C9AB}"/>
    <cellStyle name="Normal 5 2 2 3 2 4 2 2 3" xfId="24651" xr:uid="{65D4BB37-1D5F-47E4-A31D-B87A5B2B6D8B}"/>
    <cellStyle name="Normal 5 2 2 3 2 4 2 3" xfId="11987" xr:uid="{74894848-DECC-4243-BD1D-BB8781D2A7E0}"/>
    <cellStyle name="Normal 5 2 2 3 2 4 2 4" xfId="20434" xr:uid="{87332A40-5D2C-44DD-AF60-5FB88C719069}"/>
    <cellStyle name="Normal 5 2 2 3 2 4 3" xfId="5618" xr:uid="{00000000-0005-0000-0000-0000B3170000}"/>
    <cellStyle name="Normal 5 2 2 3 2 4 3 2" xfId="14060" xr:uid="{35571167-1CFB-4EAC-BC12-88D702393DEF}"/>
    <cellStyle name="Normal 5 2 2 3 2 4 3 3" xfId="22506" xr:uid="{7F5CEBEB-824E-4946-9108-92A5786097B8}"/>
    <cellStyle name="Normal 5 2 2 3 2 4 4" xfId="9842" xr:uid="{1BD567E2-87AE-4CAA-8566-88421CFDEC80}"/>
    <cellStyle name="Normal 5 2 2 3 2 4 5" xfId="18287" xr:uid="{E0D35CA1-F380-49F8-942A-606A0A8F9195}"/>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A6BEBD54-A90C-4342-A85B-3861CCB36696}"/>
    <cellStyle name="Normal 5 2 2 3 2 5 2 2 3" xfId="25064" xr:uid="{9BB3F3E7-F5A0-415A-8B33-385D5E5BFAD6}"/>
    <cellStyle name="Normal 5 2 2 3 2 5 2 3" xfId="12400" xr:uid="{A04BE60B-C39A-4B7B-9AF4-0709C58A2C0B}"/>
    <cellStyle name="Normal 5 2 2 3 2 5 2 4" xfId="20847" xr:uid="{21E8A4EE-2156-4ED2-A2F7-D329B6B77026}"/>
    <cellStyle name="Normal 5 2 2 3 2 5 3" xfId="6031" xr:uid="{00000000-0005-0000-0000-0000B7170000}"/>
    <cellStyle name="Normal 5 2 2 3 2 5 3 2" xfId="14473" xr:uid="{8D5D7C93-198C-48CE-B6AC-0C4CD67B3B86}"/>
    <cellStyle name="Normal 5 2 2 3 2 5 3 3" xfId="22919" xr:uid="{89B85AFE-3EAE-441B-9823-AC8D0C531414}"/>
    <cellStyle name="Normal 5 2 2 3 2 5 4" xfId="10255" xr:uid="{2971C879-59B9-454F-8CFA-918865BF4DCB}"/>
    <cellStyle name="Normal 5 2 2 3 2 5 5" xfId="18700" xr:uid="{75EDF8AD-5E72-49A9-B02D-BE14CA223773}"/>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F1C263A5-ADA6-45DA-B087-138BE8550894}"/>
    <cellStyle name="Normal 5 2 2 3 2 6 2 2 3" xfId="25477" xr:uid="{0606BDFD-9211-418F-AAA1-10E38B851115}"/>
    <cellStyle name="Normal 5 2 2 3 2 6 2 3" xfId="12813" xr:uid="{4684F32E-286F-488C-AB83-BAD61A435C0B}"/>
    <cellStyle name="Normal 5 2 2 3 2 6 2 4" xfId="21260" xr:uid="{57FA600E-2B4E-4312-BA2D-8BA05513A211}"/>
    <cellStyle name="Normal 5 2 2 3 2 6 3" xfId="6444" xr:uid="{00000000-0005-0000-0000-0000BB170000}"/>
    <cellStyle name="Normal 5 2 2 3 2 6 3 2" xfId="14886" xr:uid="{C2EB64BA-1ECF-42B7-8519-704841562E49}"/>
    <cellStyle name="Normal 5 2 2 3 2 6 3 3" xfId="23332" xr:uid="{1FADF494-A849-4119-85D0-3F6518ABCA1C}"/>
    <cellStyle name="Normal 5 2 2 3 2 6 4" xfId="10668" xr:uid="{7FD914DB-1CF2-4D33-8F08-2B4081B733C0}"/>
    <cellStyle name="Normal 5 2 2 3 2 6 5" xfId="19113" xr:uid="{774F7FDE-45A5-4074-8A2C-303377D96909}"/>
    <cellStyle name="Normal 5 2 2 3 2 7" xfId="2573" xr:uid="{00000000-0005-0000-0000-0000BC170000}"/>
    <cellStyle name="Normal 5 2 2 3 2 7 2" xfId="6857" xr:uid="{00000000-0005-0000-0000-0000BD170000}"/>
    <cellStyle name="Normal 5 2 2 3 2 7 2 2" xfId="15299" xr:uid="{1F1CE173-1B5E-4FF8-B2A6-BCDAF82F374A}"/>
    <cellStyle name="Normal 5 2 2 3 2 7 2 3" xfId="23745" xr:uid="{3E18C2BF-D55B-44D0-AF19-12F4FB6D0299}"/>
    <cellStyle name="Normal 5 2 2 3 2 7 3" xfId="11081" xr:uid="{24182E6F-5E5A-4316-9390-882F04FED994}"/>
    <cellStyle name="Normal 5 2 2 3 2 7 4" xfId="19526" xr:uid="{A966867B-94AB-431A-8F3C-90A725DB2D11}"/>
    <cellStyle name="Normal 5 2 2 3 2 8" xfId="4792" xr:uid="{00000000-0005-0000-0000-0000BE170000}"/>
    <cellStyle name="Normal 5 2 2 3 2 8 2" xfId="13234" xr:uid="{487F48CC-9C38-423D-8F91-87184C76AEBD}"/>
    <cellStyle name="Normal 5 2 2 3 2 8 3" xfId="21680" xr:uid="{B5A79A35-D789-4FA9-B82B-132A2A665319}"/>
    <cellStyle name="Normal 5 2 2 3 2 9" xfId="9016" xr:uid="{1A828850-67B2-46A7-87E1-C25E7C15015B}"/>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3AE30242-2BB5-436A-B289-C48DC2315438}"/>
    <cellStyle name="Normal 5 2 2 3 3 2 2 2 3" xfId="24240" xr:uid="{DAA9995C-DDC6-48E2-AE4B-7601BD83A6C5}"/>
    <cellStyle name="Normal 5 2 2 3 3 2 2 3" xfId="11576" xr:uid="{E2DBE14C-2C02-4D40-BE39-BBE9351701C8}"/>
    <cellStyle name="Normal 5 2 2 3 3 2 2 4" xfId="20023" xr:uid="{DCE91DF6-3D97-4FB3-ABF9-7D6F096AD735}"/>
    <cellStyle name="Normal 5 2 2 3 3 2 3" xfId="5207" xr:uid="{00000000-0005-0000-0000-0000C3170000}"/>
    <cellStyle name="Normal 5 2 2 3 3 2 3 2" xfId="13649" xr:uid="{63A6A2CB-FCED-4506-BF3C-2411D67F9428}"/>
    <cellStyle name="Normal 5 2 2 3 3 2 3 3" xfId="22095" xr:uid="{11B06768-623F-4EF0-A07C-AAECA13D9E63}"/>
    <cellStyle name="Normal 5 2 2 3 3 2 4" xfId="9431" xr:uid="{A5F95565-0686-4F49-84F9-7BF5F2AE939E}"/>
    <cellStyle name="Normal 5 2 2 3 3 2 5" xfId="17876" xr:uid="{B6592C8E-141F-4CD6-8EBA-DD84AD3DC689}"/>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5FAF58C7-A1A3-476C-B0AB-FA205B100BA7}"/>
    <cellStyle name="Normal 5 2 2 3 3 3 2 2 3" xfId="24653" xr:uid="{07C3D50C-B0B8-4249-9EE2-A4DF7EA8267A}"/>
    <cellStyle name="Normal 5 2 2 3 3 3 2 3" xfId="11989" xr:uid="{6E00A407-F7BF-4B20-B5A3-20A041229E10}"/>
    <cellStyle name="Normal 5 2 2 3 3 3 2 4" xfId="20436" xr:uid="{A82D118A-BB4C-4474-8416-516C9A5A5381}"/>
    <cellStyle name="Normal 5 2 2 3 3 3 3" xfId="5620" xr:uid="{00000000-0005-0000-0000-0000C7170000}"/>
    <cellStyle name="Normal 5 2 2 3 3 3 3 2" xfId="14062" xr:uid="{D212CF4B-3A60-49BC-95C7-7323592C0425}"/>
    <cellStyle name="Normal 5 2 2 3 3 3 3 3" xfId="22508" xr:uid="{244244EF-06F4-427E-9BDB-9086D6E0B63F}"/>
    <cellStyle name="Normal 5 2 2 3 3 3 4" xfId="9844" xr:uid="{A4A4EECB-5A35-499B-BC51-F5EAA8528052}"/>
    <cellStyle name="Normal 5 2 2 3 3 3 5" xfId="18289" xr:uid="{08ABD5A9-6DD6-49E2-9E2D-A0941700A341}"/>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7986E3D0-B00E-4025-84F0-2A8BBC1916B6}"/>
    <cellStyle name="Normal 5 2 2 3 3 4 2 2 3" xfId="25066" xr:uid="{13DE3897-6483-42CE-8ED4-2D119CE165D1}"/>
    <cellStyle name="Normal 5 2 2 3 3 4 2 3" xfId="12402" xr:uid="{6EFF3280-5155-480A-9493-CDB0D6BC8818}"/>
    <cellStyle name="Normal 5 2 2 3 3 4 2 4" xfId="20849" xr:uid="{070B13CE-9E1E-4E2A-8F7D-42F5F5FC536C}"/>
    <cellStyle name="Normal 5 2 2 3 3 4 3" xfId="6033" xr:uid="{00000000-0005-0000-0000-0000CB170000}"/>
    <cellStyle name="Normal 5 2 2 3 3 4 3 2" xfId="14475" xr:uid="{7EE49CF8-7585-4862-B7AB-CDECEAEBBD6B}"/>
    <cellStyle name="Normal 5 2 2 3 3 4 3 3" xfId="22921" xr:uid="{6070369D-49E1-4785-A604-E86424755A59}"/>
    <cellStyle name="Normal 5 2 2 3 3 4 4" xfId="10257" xr:uid="{8A97C626-EB24-45D6-934B-B1BEDD983163}"/>
    <cellStyle name="Normal 5 2 2 3 3 4 5" xfId="18702" xr:uid="{EA8C6014-2F39-4D3A-9E8D-F81414B02FCA}"/>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6142CBD1-0DE8-432B-B20B-1DF5DFDC85BD}"/>
    <cellStyle name="Normal 5 2 2 3 3 5 2 2 3" xfId="25479" xr:uid="{15500ABD-58FD-4B2B-B827-75E1822A393C}"/>
    <cellStyle name="Normal 5 2 2 3 3 5 2 3" xfId="12815" xr:uid="{25B7ECDA-FFE4-4266-B9B8-2646485DFEF4}"/>
    <cellStyle name="Normal 5 2 2 3 3 5 2 4" xfId="21262" xr:uid="{1510DF9B-C79C-49C3-8678-5B29E52065A4}"/>
    <cellStyle name="Normal 5 2 2 3 3 5 3" xfId="6446" xr:uid="{00000000-0005-0000-0000-0000CF170000}"/>
    <cellStyle name="Normal 5 2 2 3 3 5 3 2" xfId="14888" xr:uid="{FAD9B856-8476-4165-B1A5-4590F204D2F5}"/>
    <cellStyle name="Normal 5 2 2 3 3 5 3 3" xfId="23334" xr:uid="{F7D894F7-6547-4406-86B9-520B90D2FC5E}"/>
    <cellStyle name="Normal 5 2 2 3 3 5 4" xfId="10670" xr:uid="{2DC270A9-8126-4AEF-9A95-D3A37CA27003}"/>
    <cellStyle name="Normal 5 2 2 3 3 5 5" xfId="19115" xr:uid="{D82524F6-BA1E-4316-854D-462DCE6A4D79}"/>
    <cellStyle name="Normal 5 2 2 3 3 6" xfId="2575" xr:uid="{00000000-0005-0000-0000-0000D0170000}"/>
    <cellStyle name="Normal 5 2 2 3 3 6 2" xfId="6859" xr:uid="{00000000-0005-0000-0000-0000D1170000}"/>
    <cellStyle name="Normal 5 2 2 3 3 6 2 2" xfId="15301" xr:uid="{E5B13D4D-EE23-461F-A346-5D434913D319}"/>
    <cellStyle name="Normal 5 2 2 3 3 6 2 3" xfId="23747" xr:uid="{3C114423-D388-479D-B89B-AD77E4ED99FE}"/>
    <cellStyle name="Normal 5 2 2 3 3 6 3" xfId="11083" xr:uid="{BCAEC63A-A85E-43D1-BC12-E354939C7199}"/>
    <cellStyle name="Normal 5 2 2 3 3 6 4" xfId="19528" xr:uid="{6BC7A86F-330C-4CD4-9620-92FCA2CB63BF}"/>
    <cellStyle name="Normal 5 2 2 3 3 7" xfId="4794" xr:uid="{00000000-0005-0000-0000-0000D2170000}"/>
    <cellStyle name="Normal 5 2 2 3 3 7 2" xfId="13236" xr:uid="{940C49C7-8DD3-43C9-9C0F-0AECBAC5324D}"/>
    <cellStyle name="Normal 5 2 2 3 3 7 3" xfId="21682" xr:uid="{34997E32-C348-4F01-9301-7EE505156F79}"/>
    <cellStyle name="Normal 5 2 2 3 3 8" xfId="9018" xr:uid="{DC187E40-EF5F-4B14-A3AA-19CE65C5D37E}"/>
    <cellStyle name="Normal 5 2 2 3 3 9" xfId="17462" xr:uid="{398B14B0-A32B-4D7B-BBBA-6730AE57717F}"/>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620CB491-2691-46A7-A240-36151794A58A}"/>
    <cellStyle name="Normal 5 2 2 3 4 2 2 3" xfId="24237" xr:uid="{65DADCD3-8DE3-459E-8759-4B49FEDC1AEB}"/>
    <cellStyle name="Normal 5 2 2 3 4 2 3" xfId="11573" xr:uid="{7505173E-3701-4E6B-8830-E25C993B63E3}"/>
    <cellStyle name="Normal 5 2 2 3 4 2 4" xfId="20020" xr:uid="{838064DA-F1AB-4AF7-AC13-5C1EDDFF042D}"/>
    <cellStyle name="Normal 5 2 2 3 4 3" xfId="5204" xr:uid="{00000000-0005-0000-0000-0000D6170000}"/>
    <cellStyle name="Normal 5 2 2 3 4 3 2" xfId="13646" xr:uid="{9245D8B6-2512-4EBF-A313-13F810CB3344}"/>
    <cellStyle name="Normal 5 2 2 3 4 3 3" xfId="22092" xr:uid="{40E5E1DF-E70A-4E5B-A2D1-B67869D9B80F}"/>
    <cellStyle name="Normal 5 2 2 3 4 4" xfId="9428" xr:uid="{E5AA94DB-99F0-47C7-BF70-A8D60981415D}"/>
    <cellStyle name="Normal 5 2 2 3 4 5" xfId="17873" xr:uid="{D652D075-CF2B-4D3B-AC3E-C908DDDF5999}"/>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4F35273D-9745-40DF-9FFA-30366AA5AE43}"/>
    <cellStyle name="Normal 5 2 2 3 5 2 2 3" xfId="24650" xr:uid="{ED86428F-9CA4-4832-BBEC-8177136E1A7E}"/>
    <cellStyle name="Normal 5 2 2 3 5 2 3" xfId="11986" xr:uid="{094C1C5F-335E-447F-8DC8-296AFED8CFE4}"/>
    <cellStyle name="Normal 5 2 2 3 5 2 4" xfId="20433" xr:uid="{F2162DFB-459A-4202-BCD2-1C7AE9776AC6}"/>
    <cellStyle name="Normal 5 2 2 3 5 3" xfId="5617" xr:uid="{00000000-0005-0000-0000-0000DA170000}"/>
    <cellStyle name="Normal 5 2 2 3 5 3 2" xfId="14059" xr:uid="{294A3B45-8692-4FFB-8C64-5E93166B5C1C}"/>
    <cellStyle name="Normal 5 2 2 3 5 3 3" xfId="22505" xr:uid="{AE07C3E3-7632-4661-A989-0B46784181D7}"/>
    <cellStyle name="Normal 5 2 2 3 5 4" xfId="9841" xr:uid="{5BBD4CC3-92D5-430F-A318-A9D1E64E39B7}"/>
    <cellStyle name="Normal 5 2 2 3 5 5" xfId="18286" xr:uid="{E62362B1-A65B-4CC5-9C00-7CD6C0C68B51}"/>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BF73B739-2F42-4A11-A1F9-824BBE2173CD}"/>
    <cellStyle name="Normal 5 2 2 3 6 2 2 3" xfId="25063" xr:uid="{1A074E33-33CA-4138-BF5E-3F37D60F4969}"/>
    <cellStyle name="Normal 5 2 2 3 6 2 3" xfId="12399" xr:uid="{BFDD6757-EFC3-4726-AD88-FDB73BE436F6}"/>
    <cellStyle name="Normal 5 2 2 3 6 2 4" xfId="20846" xr:uid="{5379ED0E-2742-471A-8497-598DBA182D23}"/>
    <cellStyle name="Normal 5 2 2 3 6 3" xfId="6030" xr:uid="{00000000-0005-0000-0000-0000DE170000}"/>
    <cellStyle name="Normal 5 2 2 3 6 3 2" xfId="14472" xr:uid="{9DC642BF-B7A0-4A6C-8847-0888DA505D91}"/>
    <cellStyle name="Normal 5 2 2 3 6 3 3" xfId="22918" xr:uid="{EB2B2FF2-8BFA-4940-906B-92638224F122}"/>
    <cellStyle name="Normal 5 2 2 3 6 4" xfId="10254" xr:uid="{2B5FB10B-2D4C-4FBF-BB8D-53B9F16B9E5A}"/>
    <cellStyle name="Normal 5 2 2 3 6 5" xfId="18699" xr:uid="{DBC42F76-15B5-46CF-B834-F7FA3C921E58}"/>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1664C662-F83B-47A1-8992-B389080DEB60}"/>
    <cellStyle name="Normal 5 2 2 3 7 2 2 3" xfId="25476" xr:uid="{CEDC9CD1-9363-4285-83A9-AFD43DC921D2}"/>
    <cellStyle name="Normal 5 2 2 3 7 2 3" xfId="12812" xr:uid="{88F432A4-B657-42E6-82AC-FC9B4E254168}"/>
    <cellStyle name="Normal 5 2 2 3 7 2 4" xfId="21259" xr:uid="{1FFFA7B7-85CF-4926-BC2A-892ADDAFE212}"/>
    <cellStyle name="Normal 5 2 2 3 7 3" xfId="6443" xr:uid="{00000000-0005-0000-0000-0000E2170000}"/>
    <cellStyle name="Normal 5 2 2 3 7 3 2" xfId="14885" xr:uid="{4D6CE685-8A67-4A10-8AD3-38DEC53FCEE5}"/>
    <cellStyle name="Normal 5 2 2 3 7 3 3" xfId="23331" xr:uid="{6EEB31F9-9DE5-4988-9284-2004E70CEF9F}"/>
    <cellStyle name="Normal 5 2 2 3 7 4" xfId="10667" xr:uid="{B2C28581-A030-44F7-8BFD-3BBAC6EB607E}"/>
    <cellStyle name="Normal 5 2 2 3 7 5" xfId="19112" xr:uid="{1A0365AD-9FCC-419B-A88B-D7EC3355530E}"/>
    <cellStyle name="Normal 5 2 2 3 8" xfId="2572" xr:uid="{00000000-0005-0000-0000-0000E3170000}"/>
    <cellStyle name="Normal 5 2 2 3 8 2" xfId="6856" xr:uid="{00000000-0005-0000-0000-0000E4170000}"/>
    <cellStyle name="Normal 5 2 2 3 8 2 2" xfId="15298" xr:uid="{238D3878-8074-4720-9A7B-EA250D264ACF}"/>
    <cellStyle name="Normal 5 2 2 3 8 2 3" xfId="23744" xr:uid="{4544C6C5-EFBA-47C5-A400-866D08A9FC46}"/>
    <cellStyle name="Normal 5 2 2 3 8 3" xfId="11080" xr:uid="{816FA2E3-EC5E-43CD-8001-37E0B0FCCFE1}"/>
    <cellStyle name="Normal 5 2 2 3 8 4" xfId="19525" xr:uid="{A1B85E8F-C587-4A57-8D30-B0AE0DF24032}"/>
    <cellStyle name="Normal 5 2 2 3 9" xfId="4791" xr:uid="{00000000-0005-0000-0000-0000E5170000}"/>
    <cellStyle name="Normal 5 2 2 3 9 2" xfId="13233" xr:uid="{7D02D93A-B439-436A-B939-D706AD091E55}"/>
    <cellStyle name="Normal 5 2 2 3 9 3" xfId="21679" xr:uid="{FE4F6290-9633-4AE2-8D45-765F9A548119}"/>
    <cellStyle name="Normal 5 2 2 4" xfId="421" xr:uid="{00000000-0005-0000-0000-0000E6170000}"/>
    <cellStyle name="Normal 5 2 2 4 10" xfId="17463" xr:uid="{F446F028-DCE5-4AAF-9708-4CCC72842ACA}"/>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1C970972-8BE8-4C90-8E29-CF299153496E}"/>
    <cellStyle name="Normal 5 2 2 4 2 2 2 2 3" xfId="24242" xr:uid="{D45E3DAE-255E-497F-8316-126CA4506E4B}"/>
    <cellStyle name="Normal 5 2 2 4 2 2 2 3" xfId="11578" xr:uid="{105A4C8A-CB07-4BD4-B197-B3BB4F7F3B45}"/>
    <cellStyle name="Normal 5 2 2 4 2 2 2 4" xfId="20025" xr:uid="{3C75D74B-CBF9-4D1E-92D0-C3150EB64FDF}"/>
    <cellStyle name="Normal 5 2 2 4 2 2 3" xfId="5209" xr:uid="{00000000-0005-0000-0000-0000EB170000}"/>
    <cellStyle name="Normal 5 2 2 4 2 2 3 2" xfId="13651" xr:uid="{3451F341-89C4-47A7-A8B9-2DD8C0349603}"/>
    <cellStyle name="Normal 5 2 2 4 2 2 3 3" xfId="22097" xr:uid="{BD75BFFE-97BF-46CA-815D-6C1D637936B4}"/>
    <cellStyle name="Normal 5 2 2 4 2 2 4" xfId="9433" xr:uid="{9A3C76AA-11F8-4FC6-8514-24A5CB03D2CA}"/>
    <cellStyle name="Normal 5 2 2 4 2 2 5" xfId="17878" xr:uid="{A4C3FAE3-7E4D-4D60-92B3-C16F2EF4809E}"/>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DFD62C42-FA1E-4F04-8397-52D3E8A92EFA}"/>
    <cellStyle name="Normal 5 2 2 4 2 3 2 2 3" xfId="24655" xr:uid="{ACC2550A-1268-46FF-8294-F2DD3C2FF01E}"/>
    <cellStyle name="Normal 5 2 2 4 2 3 2 3" xfId="11991" xr:uid="{5FB85E02-8BA4-46A2-9C97-FF9BB82364BE}"/>
    <cellStyle name="Normal 5 2 2 4 2 3 2 4" xfId="20438" xr:uid="{A8642F5C-AE51-46D5-8E76-CA381317258F}"/>
    <cellStyle name="Normal 5 2 2 4 2 3 3" xfId="5622" xr:uid="{00000000-0005-0000-0000-0000EF170000}"/>
    <cellStyle name="Normal 5 2 2 4 2 3 3 2" xfId="14064" xr:uid="{A85C0640-FF97-4B4B-810B-99513B016FFB}"/>
    <cellStyle name="Normal 5 2 2 4 2 3 3 3" xfId="22510" xr:uid="{330261F0-305E-4F1A-8788-D31C4CF43421}"/>
    <cellStyle name="Normal 5 2 2 4 2 3 4" xfId="9846" xr:uid="{AA0D9630-C8E5-48F4-8FD2-B03C347FC97D}"/>
    <cellStyle name="Normal 5 2 2 4 2 3 5" xfId="18291" xr:uid="{762EDC1E-4CD6-4099-8AFD-DE1728BC1E2D}"/>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2664D3EE-34F0-4BEE-8C2C-03BC88016475}"/>
    <cellStyle name="Normal 5 2 2 4 2 4 2 2 3" xfId="25068" xr:uid="{AFD15FD1-372C-4905-A75F-B64162CABD08}"/>
    <cellStyle name="Normal 5 2 2 4 2 4 2 3" xfId="12404" xr:uid="{D89D74A0-1439-4790-8C08-4B69033B2FF5}"/>
    <cellStyle name="Normal 5 2 2 4 2 4 2 4" xfId="20851" xr:uid="{59071D61-B8CE-436D-9836-122F2F3C61F6}"/>
    <cellStyle name="Normal 5 2 2 4 2 4 3" xfId="6035" xr:uid="{00000000-0005-0000-0000-0000F3170000}"/>
    <cellStyle name="Normal 5 2 2 4 2 4 3 2" xfId="14477" xr:uid="{7F417F89-F4A0-4528-8BF5-F6BA8FF07053}"/>
    <cellStyle name="Normal 5 2 2 4 2 4 3 3" xfId="22923" xr:uid="{070F461A-9BCC-4C88-8134-2E672E32ECB7}"/>
    <cellStyle name="Normal 5 2 2 4 2 4 4" xfId="10259" xr:uid="{63E3AF46-B8D4-4F4C-83F0-24A8B90BE191}"/>
    <cellStyle name="Normal 5 2 2 4 2 4 5" xfId="18704" xr:uid="{E730B779-420F-4087-9A7C-CCECE830E04B}"/>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1909041B-C72A-4328-9707-D3EC73DDB629}"/>
    <cellStyle name="Normal 5 2 2 4 2 5 2 2 3" xfId="25481" xr:uid="{C682906F-4096-43B6-932D-11969CDF68EA}"/>
    <cellStyle name="Normal 5 2 2 4 2 5 2 3" xfId="12817" xr:uid="{7568DA74-EB49-4D0F-89D4-285529A401CD}"/>
    <cellStyle name="Normal 5 2 2 4 2 5 2 4" xfId="21264" xr:uid="{028B72D4-F9F7-43A5-81CF-08E7B3B718C5}"/>
    <cellStyle name="Normal 5 2 2 4 2 5 3" xfId="6448" xr:uid="{00000000-0005-0000-0000-0000F7170000}"/>
    <cellStyle name="Normal 5 2 2 4 2 5 3 2" xfId="14890" xr:uid="{4C2EC83B-F1CB-4DC6-8284-74249D9F54EA}"/>
    <cellStyle name="Normal 5 2 2 4 2 5 3 3" xfId="23336" xr:uid="{26885F72-4B30-469C-96AC-EE75CE167E54}"/>
    <cellStyle name="Normal 5 2 2 4 2 5 4" xfId="10672" xr:uid="{D2C6EE5D-5E22-4164-889B-88B0316577E0}"/>
    <cellStyle name="Normal 5 2 2 4 2 5 5" xfId="19117" xr:uid="{2931B7FA-4CFD-4B63-9E5A-6040D7384C70}"/>
    <cellStyle name="Normal 5 2 2 4 2 6" xfId="2577" xr:uid="{00000000-0005-0000-0000-0000F8170000}"/>
    <cellStyle name="Normal 5 2 2 4 2 6 2" xfId="6861" xr:uid="{00000000-0005-0000-0000-0000F9170000}"/>
    <cellStyle name="Normal 5 2 2 4 2 6 2 2" xfId="15303" xr:uid="{C2BAB6DF-7DA3-4DE1-ADDF-4D600C522BCF}"/>
    <cellStyle name="Normal 5 2 2 4 2 6 2 3" xfId="23749" xr:uid="{ABBCBC57-383A-4E6D-93B8-12AC2494ADFA}"/>
    <cellStyle name="Normal 5 2 2 4 2 6 3" xfId="11085" xr:uid="{8C144EBD-4C52-475E-9D5A-E6C0809B0CB3}"/>
    <cellStyle name="Normal 5 2 2 4 2 6 4" xfId="19530" xr:uid="{0AAEC52C-6A83-41A2-9800-FE86C205513E}"/>
    <cellStyle name="Normal 5 2 2 4 2 7" xfId="4796" xr:uid="{00000000-0005-0000-0000-0000FA170000}"/>
    <cellStyle name="Normal 5 2 2 4 2 7 2" xfId="13238" xr:uid="{283F5E0A-AB1F-45DC-8C18-5D28D55D1DB6}"/>
    <cellStyle name="Normal 5 2 2 4 2 7 3" xfId="21684" xr:uid="{47BB1C5C-633D-4B79-AE93-56C4A0A0CF6B}"/>
    <cellStyle name="Normal 5 2 2 4 2 8" xfId="9020" xr:uid="{F46C93D5-5128-4320-AF8C-83C79B244813}"/>
    <cellStyle name="Normal 5 2 2 4 2 9" xfId="17464" xr:uid="{04680E02-57DF-4E91-9315-E889589225FC}"/>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7859F998-85D5-4B42-B38A-8E8003859E4D}"/>
    <cellStyle name="Normal 5 2 2 4 3 2 2 3" xfId="24241" xr:uid="{F4098CAE-6972-4637-AF43-0BAAEF78CA9A}"/>
    <cellStyle name="Normal 5 2 2 4 3 2 3" xfId="11577" xr:uid="{FB1B77BB-B5E0-498E-B1A2-3DA8C456E821}"/>
    <cellStyle name="Normal 5 2 2 4 3 2 4" xfId="20024" xr:uid="{48916AD6-3EF5-4112-A05B-C82C0A13FBAC}"/>
    <cellStyle name="Normal 5 2 2 4 3 3" xfId="5208" xr:uid="{00000000-0005-0000-0000-0000FE170000}"/>
    <cellStyle name="Normal 5 2 2 4 3 3 2" xfId="13650" xr:uid="{64BA4BB0-803A-44E1-8ED2-D1A71C803446}"/>
    <cellStyle name="Normal 5 2 2 4 3 3 3" xfId="22096" xr:uid="{26DB7E1B-3BBD-4C95-AB03-EA328DC90F5E}"/>
    <cellStyle name="Normal 5 2 2 4 3 4" xfId="9432" xr:uid="{A89F9E0F-CB47-4F88-9919-DC11A67F8C5B}"/>
    <cellStyle name="Normal 5 2 2 4 3 5" xfId="17877" xr:uid="{5A088259-898B-49FA-9B84-A501C9CD6AED}"/>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DD2BFB26-7980-4371-A95C-CE0820C9356A}"/>
    <cellStyle name="Normal 5 2 2 4 4 2 2 3" xfId="24654" xr:uid="{85428602-8AD1-4E9E-AAF1-8482C52C6917}"/>
    <cellStyle name="Normal 5 2 2 4 4 2 3" xfId="11990" xr:uid="{3823FB67-3926-4628-A705-E2D850F0B03F}"/>
    <cellStyle name="Normal 5 2 2 4 4 2 4" xfId="20437" xr:uid="{2B4E82E9-CCA9-48B2-A9E4-17E4B9CACA45}"/>
    <cellStyle name="Normal 5 2 2 4 4 3" xfId="5621" xr:uid="{00000000-0005-0000-0000-000002180000}"/>
    <cellStyle name="Normal 5 2 2 4 4 3 2" xfId="14063" xr:uid="{883D911F-BFA7-468B-8D08-4479D4CF863E}"/>
    <cellStyle name="Normal 5 2 2 4 4 3 3" xfId="22509" xr:uid="{02A17EA1-C2CD-4968-8481-1503678BAB8F}"/>
    <cellStyle name="Normal 5 2 2 4 4 4" xfId="9845" xr:uid="{7BB4A73C-F8D9-4D82-9045-CCF86436824B}"/>
    <cellStyle name="Normal 5 2 2 4 4 5" xfId="18290" xr:uid="{9D2D5229-8EFD-4F17-899D-73F03F037201}"/>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912E5DA2-650F-4F71-A313-72EAC1CC3202}"/>
    <cellStyle name="Normal 5 2 2 4 5 2 2 3" xfId="25067" xr:uid="{84A5EA93-96AC-41FE-88C5-43A0637FAFB5}"/>
    <cellStyle name="Normal 5 2 2 4 5 2 3" xfId="12403" xr:uid="{ADD3D1D3-330F-4C5C-97E9-E7A9A126DB5D}"/>
    <cellStyle name="Normal 5 2 2 4 5 2 4" xfId="20850" xr:uid="{8971D4DB-3562-4DF9-B405-7D7CF357018C}"/>
    <cellStyle name="Normal 5 2 2 4 5 3" xfId="6034" xr:uid="{00000000-0005-0000-0000-000006180000}"/>
    <cellStyle name="Normal 5 2 2 4 5 3 2" xfId="14476" xr:uid="{E609073E-7A65-4B24-8688-22BFD21948C6}"/>
    <cellStyle name="Normal 5 2 2 4 5 3 3" xfId="22922" xr:uid="{7DC49FB9-C552-4D2A-92EE-5B0773DC700F}"/>
    <cellStyle name="Normal 5 2 2 4 5 4" xfId="10258" xr:uid="{51B98147-38C4-41D2-BE08-8E63EBA12619}"/>
    <cellStyle name="Normal 5 2 2 4 5 5" xfId="18703" xr:uid="{0AB426CD-0D45-4D7C-8278-68CE366D8478}"/>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D5FA060D-D415-4320-A6A8-30260EEAEF02}"/>
    <cellStyle name="Normal 5 2 2 4 6 2 2 3" xfId="25480" xr:uid="{D5611BFB-BE8E-402D-B08D-38B369D526E5}"/>
    <cellStyle name="Normal 5 2 2 4 6 2 3" xfId="12816" xr:uid="{7718E6C6-112A-4F71-8462-7B11F865830B}"/>
    <cellStyle name="Normal 5 2 2 4 6 2 4" xfId="21263" xr:uid="{046B85BD-36FB-46C8-957A-73404900BE1F}"/>
    <cellStyle name="Normal 5 2 2 4 6 3" xfId="6447" xr:uid="{00000000-0005-0000-0000-00000A180000}"/>
    <cellStyle name="Normal 5 2 2 4 6 3 2" xfId="14889" xr:uid="{3C96472B-6A71-4480-93AE-84917FE1C80B}"/>
    <cellStyle name="Normal 5 2 2 4 6 3 3" xfId="23335" xr:uid="{11C48F34-EFCD-4413-B0B4-013A132EE462}"/>
    <cellStyle name="Normal 5 2 2 4 6 4" xfId="10671" xr:uid="{45B93458-AA5E-4952-A8B1-84E3CB858FBD}"/>
    <cellStyle name="Normal 5 2 2 4 6 5" xfId="19116" xr:uid="{81DA23E8-4C50-4E05-BD2F-B6B58082CC20}"/>
    <cellStyle name="Normal 5 2 2 4 7" xfId="2576" xr:uid="{00000000-0005-0000-0000-00000B180000}"/>
    <cellStyle name="Normal 5 2 2 4 7 2" xfId="6860" xr:uid="{00000000-0005-0000-0000-00000C180000}"/>
    <cellStyle name="Normal 5 2 2 4 7 2 2" xfId="15302" xr:uid="{FCCE8C55-E57C-4FAE-A381-C3F8D1435C83}"/>
    <cellStyle name="Normal 5 2 2 4 7 2 3" xfId="23748" xr:uid="{05065DC1-6324-4A13-8B82-F87033C47888}"/>
    <cellStyle name="Normal 5 2 2 4 7 3" xfId="11084" xr:uid="{56014D5B-3857-4249-BF59-089ED53DDF50}"/>
    <cellStyle name="Normal 5 2 2 4 7 4" xfId="19529" xr:uid="{F489E5D6-3338-48C2-A0B3-EADC8057DEDA}"/>
    <cellStyle name="Normal 5 2 2 4 8" xfId="4795" xr:uid="{00000000-0005-0000-0000-00000D180000}"/>
    <cellStyle name="Normal 5 2 2 4 8 2" xfId="13237" xr:uid="{075B4AAD-A274-4839-9EB5-302EA05920C4}"/>
    <cellStyle name="Normal 5 2 2 4 8 3" xfId="21683" xr:uid="{D6341E26-405F-4818-A494-B53FD4CBDEE0}"/>
    <cellStyle name="Normal 5 2 2 4 9" xfId="9019" xr:uid="{2F68FEFD-3B8B-4796-AEAA-476B95282FA1}"/>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B8E60180-214A-4303-8642-97A9FCE6075C}"/>
    <cellStyle name="Normal 5 2 2 5 2 2 2 3" xfId="24243" xr:uid="{F5F867F6-A35A-496A-A7D4-590FB80BAD6D}"/>
    <cellStyle name="Normal 5 2 2 5 2 2 3" xfId="11579" xr:uid="{50AB1A2C-3F43-4A4A-B8E1-C2C4AA50AF0A}"/>
    <cellStyle name="Normal 5 2 2 5 2 2 4" xfId="20026" xr:uid="{0D6ACCCB-397C-4B6B-8F01-5D39E5EF43A2}"/>
    <cellStyle name="Normal 5 2 2 5 2 3" xfId="5210" xr:uid="{00000000-0005-0000-0000-000012180000}"/>
    <cellStyle name="Normal 5 2 2 5 2 3 2" xfId="13652" xr:uid="{8C1EEACB-76EE-4A63-9A28-E5A27FABC4B5}"/>
    <cellStyle name="Normal 5 2 2 5 2 3 3" xfId="22098" xr:uid="{F43542A3-0D79-4DCD-9386-EF534FE0C46C}"/>
    <cellStyle name="Normal 5 2 2 5 2 4" xfId="9434" xr:uid="{1129DA15-6A19-48C0-A092-514771B1C33B}"/>
    <cellStyle name="Normal 5 2 2 5 2 5" xfId="17879" xr:uid="{84395D28-EFD1-41EE-B672-C76048B09CC9}"/>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40E7745D-F1CD-445C-9C31-A01CB0804F20}"/>
    <cellStyle name="Normal 5 2 2 5 3 2 2 3" xfId="24656" xr:uid="{82A2329C-566A-45D2-A706-B85BFA1F5EDC}"/>
    <cellStyle name="Normal 5 2 2 5 3 2 3" xfId="11992" xr:uid="{04B06FDD-D662-41BD-9580-AEB0CB38223B}"/>
    <cellStyle name="Normal 5 2 2 5 3 2 4" xfId="20439" xr:uid="{7DC54E18-604A-4DC7-AA26-5C4DD59A5BBB}"/>
    <cellStyle name="Normal 5 2 2 5 3 3" xfId="5623" xr:uid="{00000000-0005-0000-0000-000016180000}"/>
    <cellStyle name="Normal 5 2 2 5 3 3 2" xfId="14065" xr:uid="{6D0C526D-CF61-4083-8D18-31B28D40A9C2}"/>
    <cellStyle name="Normal 5 2 2 5 3 3 3" xfId="22511" xr:uid="{BFA28FFA-6B71-44E6-B5CE-DF016D35CDD3}"/>
    <cellStyle name="Normal 5 2 2 5 3 4" xfId="9847" xr:uid="{ACBE6D39-A9BF-4208-89CB-9477699C682C}"/>
    <cellStyle name="Normal 5 2 2 5 3 5" xfId="18292" xr:uid="{3500AE99-05D0-46D6-A4CF-CE2991B92CA5}"/>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02C2A413-53A1-44D8-BCA2-10C551A1899E}"/>
    <cellStyle name="Normal 5 2 2 5 4 2 2 3" xfId="25069" xr:uid="{4F7F86F5-0403-431C-AEC6-2B3AA9B2F717}"/>
    <cellStyle name="Normal 5 2 2 5 4 2 3" xfId="12405" xr:uid="{D3A0D37F-B762-4ACA-9598-4585D1862C24}"/>
    <cellStyle name="Normal 5 2 2 5 4 2 4" xfId="20852" xr:uid="{C4691960-CE68-4AD7-9A56-FC52993B4FD2}"/>
    <cellStyle name="Normal 5 2 2 5 4 3" xfId="6036" xr:uid="{00000000-0005-0000-0000-00001A180000}"/>
    <cellStyle name="Normal 5 2 2 5 4 3 2" xfId="14478" xr:uid="{AC906C16-AC15-4C2B-9BF5-E5CCFC14ADD2}"/>
    <cellStyle name="Normal 5 2 2 5 4 3 3" xfId="22924" xr:uid="{DCB6B5AC-9633-4D6F-A7D7-2F6FFCD46A8D}"/>
    <cellStyle name="Normal 5 2 2 5 4 4" xfId="10260" xr:uid="{BB5172F9-A950-4612-9ECC-CC7AADE2F8B5}"/>
    <cellStyle name="Normal 5 2 2 5 4 5" xfId="18705" xr:uid="{E6813DAB-D5EF-4FA3-800B-BC481B1231C4}"/>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6E57D942-C6A2-4B9D-8E0C-2E051F1A17C5}"/>
    <cellStyle name="Normal 5 2 2 5 5 2 2 3" xfId="25482" xr:uid="{DDA17964-B677-4522-B12B-B1B8DDF4D0D3}"/>
    <cellStyle name="Normal 5 2 2 5 5 2 3" xfId="12818" xr:uid="{A7D46AB8-80AC-43B5-809E-2B1DDE0851C6}"/>
    <cellStyle name="Normal 5 2 2 5 5 2 4" xfId="21265" xr:uid="{91D5EF75-63F9-4FDE-A450-642889829170}"/>
    <cellStyle name="Normal 5 2 2 5 5 3" xfId="6449" xr:uid="{00000000-0005-0000-0000-00001E180000}"/>
    <cellStyle name="Normal 5 2 2 5 5 3 2" xfId="14891" xr:uid="{EA3B5606-9EC4-4324-9C7A-80D0B07E6667}"/>
    <cellStyle name="Normal 5 2 2 5 5 3 3" xfId="23337" xr:uid="{85493DA0-C295-431C-A963-D0A448CB4C30}"/>
    <cellStyle name="Normal 5 2 2 5 5 4" xfId="10673" xr:uid="{35C49C7A-C0B1-446F-8D20-1BF6B695FC7D}"/>
    <cellStyle name="Normal 5 2 2 5 5 5" xfId="19118" xr:uid="{3D205D1F-0A19-468D-9741-65EB77076C6D}"/>
    <cellStyle name="Normal 5 2 2 5 6" xfId="2578" xr:uid="{00000000-0005-0000-0000-00001F180000}"/>
    <cellStyle name="Normal 5 2 2 5 6 2" xfId="6862" xr:uid="{00000000-0005-0000-0000-000020180000}"/>
    <cellStyle name="Normal 5 2 2 5 6 2 2" xfId="15304" xr:uid="{02848F74-97F2-4899-9C4A-EA7E031A9816}"/>
    <cellStyle name="Normal 5 2 2 5 6 2 3" xfId="23750" xr:uid="{D1030317-5CD7-4DA3-8402-A243D47C8569}"/>
    <cellStyle name="Normal 5 2 2 5 6 3" xfId="11086" xr:uid="{611FBFDB-3E58-478A-9936-1326B330E038}"/>
    <cellStyle name="Normal 5 2 2 5 6 4" xfId="19531" xr:uid="{95E5E56E-F957-4E0E-9D83-6DB600829A1B}"/>
    <cellStyle name="Normal 5 2 2 5 7" xfId="4797" xr:uid="{00000000-0005-0000-0000-000021180000}"/>
    <cellStyle name="Normal 5 2 2 5 7 2" xfId="13239" xr:uid="{F1E65FF8-098B-4B1A-B88C-C412E380080D}"/>
    <cellStyle name="Normal 5 2 2 5 7 3" xfId="21685" xr:uid="{63E1F0B1-CE1B-417B-960A-C1959F008332}"/>
    <cellStyle name="Normal 5 2 2 5 8" xfId="9021" xr:uid="{B898429E-18DA-4E82-9394-BA2CA1D3A81F}"/>
    <cellStyle name="Normal 5 2 2 5 9" xfId="17465" xr:uid="{87E25DD1-B78A-4160-BF91-325C8D9B0CC2}"/>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2DB143BD-B98F-466B-AAF7-600E3890A80B}"/>
    <cellStyle name="Normal 5 2 2 6 2 2 3" xfId="24228" xr:uid="{D4CB3F06-20B4-4880-A71E-5B8F06ECA3DA}"/>
    <cellStyle name="Normal 5 2 2 6 2 3" xfId="11564" xr:uid="{70FCB465-5C74-4092-92E1-791E2E7A02CC}"/>
    <cellStyle name="Normal 5 2 2 6 2 4" xfId="20011" xr:uid="{09A2A247-0DD8-4283-ACBF-C73706A6EDB7}"/>
    <cellStyle name="Normal 5 2 2 6 3" xfId="5195" xr:uid="{00000000-0005-0000-0000-000025180000}"/>
    <cellStyle name="Normal 5 2 2 6 3 2" xfId="13637" xr:uid="{5FB79D45-EF0F-40AE-BC64-400B2563F0B9}"/>
    <cellStyle name="Normal 5 2 2 6 3 3" xfId="22083" xr:uid="{414B1739-985A-4A1D-84E0-069B6D1BF179}"/>
    <cellStyle name="Normal 5 2 2 6 4" xfId="9419" xr:uid="{1344D1F9-D2FB-4118-97AE-F7D3E9A27BA7}"/>
    <cellStyle name="Normal 5 2 2 6 5" xfId="17864" xr:uid="{DD081B31-D74A-45C2-920F-ABA4077B4825}"/>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76410A54-FA38-49E6-A421-952697BADD87}"/>
    <cellStyle name="Normal 5 2 2 7 2 2 3" xfId="24641" xr:uid="{58E3E353-0417-4ED2-ADA3-2430A51407F4}"/>
    <cellStyle name="Normal 5 2 2 7 2 3" xfId="11977" xr:uid="{E26B6644-DBD2-4F07-8970-D650C3173DE6}"/>
    <cellStyle name="Normal 5 2 2 7 2 4" xfId="20424" xr:uid="{30540980-8BFA-4926-9DFE-28D61E3B06DE}"/>
    <cellStyle name="Normal 5 2 2 7 3" xfId="5608" xr:uid="{00000000-0005-0000-0000-000029180000}"/>
    <cellStyle name="Normal 5 2 2 7 3 2" xfId="14050" xr:uid="{B0941EC3-CB1D-4BDE-AE11-E6536CAE1B29}"/>
    <cellStyle name="Normal 5 2 2 7 3 3" xfId="22496" xr:uid="{A43FF135-F90A-42BB-B103-91AA95B7E04E}"/>
    <cellStyle name="Normal 5 2 2 7 4" xfId="9832" xr:uid="{6FBD5906-56D2-456A-A19B-E84A6B6AA2AC}"/>
    <cellStyle name="Normal 5 2 2 7 5" xfId="18277" xr:uid="{83F09B9C-CA89-484C-AE7B-1A3A661BCF21}"/>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CBCBE22A-C327-4EEB-8291-A81F62F71EDE}"/>
    <cellStyle name="Normal 5 2 2 8 2 2 3" xfId="25054" xr:uid="{DF2B9B09-BD01-48B0-A164-2ABEB60E225F}"/>
    <cellStyle name="Normal 5 2 2 8 2 3" xfId="12390" xr:uid="{35895BB7-29E4-489E-87E0-A062C10341EA}"/>
    <cellStyle name="Normal 5 2 2 8 2 4" xfId="20837" xr:uid="{4D6F5F72-4E29-4E01-AC75-DC2A2B1DB61A}"/>
    <cellStyle name="Normal 5 2 2 8 3" xfId="6021" xr:uid="{00000000-0005-0000-0000-00002D180000}"/>
    <cellStyle name="Normal 5 2 2 8 3 2" xfId="14463" xr:uid="{E37AF676-5FD6-44A8-B4CA-A36B6DF0CFC5}"/>
    <cellStyle name="Normal 5 2 2 8 3 3" xfId="22909" xr:uid="{04C8C00C-CB9A-4434-BA42-416C45A3EA02}"/>
    <cellStyle name="Normal 5 2 2 8 4" xfId="10245" xr:uid="{7BEAC7BF-D44E-4DFD-8F0C-290430C6F4F9}"/>
    <cellStyle name="Normal 5 2 2 8 5" xfId="18690" xr:uid="{733FD7BA-E20F-4A85-B10C-2124153F8D63}"/>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3B944076-34C1-47B5-8D83-6D36D0F283B3}"/>
    <cellStyle name="Normal 5 2 2 9 2 2 3" xfId="25467" xr:uid="{AE5F1B3B-76C2-4FD4-8B50-5A3E67594C3D}"/>
    <cellStyle name="Normal 5 2 2 9 2 3" xfId="12803" xr:uid="{EDBC1DDD-4130-43D2-8F8A-3A1332B2DAF4}"/>
    <cellStyle name="Normal 5 2 2 9 2 4" xfId="21250" xr:uid="{B0AFCF0E-BE32-4FF4-ACED-402F2AE675DB}"/>
    <cellStyle name="Normal 5 2 2 9 3" xfId="6434" xr:uid="{00000000-0005-0000-0000-000031180000}"/>
    <cellStyle name="Normal 5 2 2 9 3 2" xfId="14876" xr:uid="{157B06E2-EFB5-4C61-8826-F2E58BDB8D18}"/>
    <cellStyle name="Normal 5 2 2 9 3 3" xfId="23322" xr:uid="{34E15735-A29D-4FFF-BB9E-969C0DE70837}"/>
    <cellStyle name="Normal 5 2 2 9 4" xfId="10658" xr:uid="{CC748E26-A4B3-4B29-BAC9-316702FCFD08}"/>
    <cellStyle name="Normal 5 2 2 9 5" xfId="19103" xr:uid="{ACB014AF-F299-4769-B438-DF879849FD9A}"/>
    <cellStyle name="Normal 5 2 3" xfId="424" xr:uid="{00000000-0005-0000-0000-000032180000}"/>
    <cellStyle name="Normal 5 2 3 10" xfId="4798" xr:uid="{00000000-0005-0000-0000-000033180000}"/>
    <cellStyle name="Normal 5 2 3 10 2" xfId="13240" xr:uid="{AC45A093-0E30-4912-A3B5-EE0A7EFD5CC6}"/>
    <cellStyle name="Normal 5 2 3 10 3" xfId="21686" xr:uid="{3231AB5B-E3E3-4B6E-984F-016B15A52A55}"/>
    <cellStyle name="Normal 5 2 3 11" xfId="9022" xr:uid="{530AF733-5F79-472D-BDF9-553ED14C5883}"/>
    <cellStyle name="Normal 5 2 3 12" xfId="17466" xr:uid="{82D80807-62C8-4CB1-AEE7-225B1A24F58B}"/>
    <cellStyle name="Normal 5 2 3 2" xfId="425" xr:uid="{00000000-0005-0000-0000-000034180000}"/>
    <cellStyle name="Normal 5 2 3 2 10" xfId="9023" xr:uid="{DDECAA9B-E121-40B8-83A6-4914C7EEF6C3}"/>
    <cellStyle name="Normal 5 2 3 2 11" xfId="17467" xr:uid="{8DD75C87-AFED-4B6A-AFF2-DCBA45B78D31}"/>
    <cellStyle name="Normal 5 2 3 2 2" xfId="426" xr:uid="{00000000-0005-0000-0000-000035180000}"/>
    <cellStyle name="Normal 5 2 3 2 2 10" xfId="17468" xr:uid="{1A03ACC4-9458-4053-83A2-4DA2235F739C}"/>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9CAB9733-E2A3-4B60-851B-33B76B78FE35}"/>
    <cellStyle name="Normal 5 2 3 2 2 2 2 2 2 3" xfId="24247" xr:uid="{EA1EDFAC-2FA0-4492-8ADC-B77FEAE5CBDC}"/>
    <cellStyle name="Normal 5 2 3 2 2 2 2 2 3" xfId="11583" xr:uid="{916A576C-79C0-4122-AF10-545532114E2C}"/>
    <cellStyle name="Normal 5 2 3 2 2 2 2 2 4" xfId="20030" xr:uid="{95A80398-2AA9-4F95-BAF7-F5620D35FB43}"/>
    <cellStyle name="Normal 5 2 3 2 2 2 2 3" xfId="5214" xr:uid="{00000000-0005-0000-0000-00003A180000}"/>
    <cellStyle name="Normal 5 2 3 2 2 2 2 3 2" xfId="13656" xr:uid="{A3D62F1E-02EC-48F4-AB0D-6DD40BF51900}"/>
    <cellStyle name="Normal 5 2 3 2 2 2 2 3 3" xfId="22102" xr:uid="{EF035DA5-ED3D-4872-BF0F-39A87F586194}"/>
    <cellStyle name="Normal 5 2 3 2 2 2 2 4" xfId="9438" xr:uid="{51584603-6FAD-4BAD-B547-0EFC5E305625}"/>
    <cellStyle name="Normal 5 2 3 2 2 2 2 5" xfId="17883" xr:uid="{A0CA8E50-EAC6-495D-B6E7-F7B2450BFE12}"/>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D4D5D395-EC1C-4DC2-BAE8-1FF6A3EED8ED}"/>
    <cellStyle name="Normal 5 2 3 2 2 2 3 2 2 3" xfId="24660" xr:uid="{0610FCE8-E3C7-4D49-AB40-5191B7613343}"/>
    <cellStyle name="Normal 5 2 3 2 2 2 3 2 3" xfId="11996" xr:uid="{A0FB6E23-0F9A-4D71-BCD2-3AC8DB8E5575}"/>
    <cellStyle name="Normal 5 2 3 2 2 2 3 2 4" xfId="20443" xr:uid="{041EF504-03A3-4070-8131-EA025F27C9EE}"/>
    <cellStyle name="Normal 5 2 3 2 2 2 3 3" xfId="5627" xr:uid="{00000000-0005-0000-0000-00003E180000}"/>
    <cellStyle name="Normal 5 2 3 2 2 2 3 3 2" xfId="14069" xr:uid="{FC5A818B-A03E-4A1C-BB1F-5D7F1BCF05C6}"/>
    <cellStyle name="Normal 5 2 3 2 2 2 3 3 3" xfId="22515" xr:uid="{816EF76A-FF71-4D3E-9369-BEFD4DE5B46B}"/>
    <cellStyle name="Normal 5 2 3 2 2 2 3 4" xfId="9851" xr:uid="{651AA138-9AAF-48F8-A77E-92D0F6B1B409}"/>
    <cellStyle name="Normal 5 2 3 2 2 2 3 5" xfId="18296" xr:uid="{D93A1CD2-52E5-4BCA-8AB9-46CE2E299E0E}"/>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A77F7C52-92B4-4071-926B-B040EDE10537}"/>
    <cellStyle name="Normal 5 2 3 2 2 2 4 2 2 3" xfId="25073" xr:uid="{DFD35879-4CFD-48E5-AA47-467698ED248B}"/>
    <cellStyle name="Normal 5 2 3 2 2 2 4 2 3" xfId="12409" xr:uid="{CC45B840-C18D-4602-8533-FA4A74DD019B}"/>
    <cellStyle name="Normal 5 2 3 2 2 2 4 2 4" xfId="20856" xr:uid="{FE530268-1A40-48AC-8DD9-207F9861491C}"/>
    <cellStyle name="Normal 5 2 3 2 2 2 4 3" xfId="6040" xr:uid="{00000000-0005-0000-0000-000042180000}"/>
    <cellStyle name="Normal 5 2 3 2 2 2 4 3 2" xfId="14482" xr:uid="{C1EAB908-A66D-4B3D-8D37-23619A1E96BB}"/>
    <cellStyle name="Normal 5 2 3 2 2 2 4 3 3" xfId="22928" xr:uid="{83DB20CD-56C4-4740-A4B2-CE2EF168E13E}"/>
    <cellStyle name="Normal 5 2 3 2 2 2 4 4" xfId="10264" xr:uid="{6DE7693C-B7F6-43D1-8750-62F002B9A052}"/>
    <cellStyle name="Normal 5 2 3 2 2 2 4 5" xfId="18709" xr:uid="{520FBCD2-A07E-4D54-8033-12A551AC2845}"/>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1E9F2C17-3D87-4341-AF1C-93E0EB9507D4}"/>
    <cellStyle name="Normal 5 2 3 2 2 2 5 2 2 3" xfId="25486" xr:uid="{32471EA4-E829-4FDA-93EC-0AD21626F314}"/>
    <cellStyle name="Normal 5 2 3 2 2 2 5 2 3" xfId="12822" xr:uid="{BBF89610-931F-48A8-8DE0-ACE303A5B3A7}"/>
    <cellStyle name="Normal 5 2 3 2 2 2 5 2 4" xfId="21269" xr:uid="{1D1160AD-104C-4544-8253-D1685B7B2150}"/>
    <cellStyle name="Normal 5 2 3 2 2 2 5 3" xfId="6453" xr:uid="{00000000-0005-0000-0000-000046180000}"/>
    <cellStyle name="Normal 5 2 3 2 2 2 5 3 2" xfId="14895" xr:uid="{DEBDE150-E8F6-4B11-847D-9BEF4F327E0B}"/>
    <cellStyle name="Normal 5 2 3 2 2 2 5 3 3" xfId="23341" xr:uid="{407522BD-4CC4-4F94-8053-728DEB8DF794}"/>
    <cellStyle name="Normal 5 2 3 2 2 2 5 4" xfId="10677" xr:uid="{48ADEDE9-66D4-45B0-9C08-2AE096071D84}"/>
    <cellStyle name="Normal 5 2 3 2 2 2 5 5" xfId="19122" xr:uid="{2320337E-E1C5-4DC4-85A3-B91AA57BCF41}"/>
    <cellStyle name="Normal 5 2 3 2 2 2 6" xfId="2582" xr:uid="{00000000-0005-0000-0000-000047180000}"/>
    <cellStyle name="Normal 5 2 3 2 2 2 6 2" xfId="6866" xr:uid="{00000000-0005-0000-0000-000048180000}"/>
    <cellStyle name="Normal 5 2 3 2 2 2 6 2 2" xfId="15308" xr:uid="{5CBF961D-E92E-4BAD-8F29-8163726FAF66}"/>
    <cellStyle name="Normal 5 2 3 2 2 2 6 2 3" xfId="23754" xr:uid="{CE1ADC2D-64CC-460E-A7CE-3EE6DCA997A1}"/>
    <cellStyle name="Normal 5 2 3 2 2 2 6 3" xfId="11090" xr:uid="{92121758-74B1-4F99-B3E6-98C2BA0F41D1}"/>
    <cellStyle name="Normal 5 2 3 2 2 2 6 4" xfId="19535" xr:uid="{D7DED727-9654-478C-8EBE-ACDE25231E0E}"/>
    <cellStyle name="Normal 5 2 3 2 2 2 7" xfId="4801" xr:uid="{00000000-0005-0000-0000-000049180000}"/>
    <cellStyle name="Normal 5 2 3 2 2 2 7 2" xfId="13243" xr:uid="{CB2D3AC7-11EA-454C-83C7-D32B614DDB65}"/>
    <cellStyle name="Normal 5 2 3 2 2 2 7 3" xfId="21689" xr:uid="{EDF8EA68-858A-4A45-BCF7-33B229F03739}"/>
    <cellStyle name="Normal 5 2 3 2 2 2 8" xfId="9025" xr:uid="{B34BB672-EF7E-4C16-8B6F-BAD922C9C0D3}"/>
    <cellStyle name="Normal 5 2 3 2 2 2 9" xfId="17469" xr:uid="{9378B48D-D39B-4F55-9A53-C159217404A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82D52902-F555-4BDA-8E91-B7FD9E68D60D}"/>
    <cellStyle name="Normal 5 2 3 2 2 3 2 2 3" xfId="24246" xr:uid="{6304B6A0-1A25-4CE0-A0F8-9503CB9F7539}"/>
    <cellStyle name="Normal 5 2 3 2 2 3 2 3" xfId="11582" xr:uid="{D8234145-8415-48F0-B542-E1903267EFCD}"/>
    <cellStyle name="Normal 5 2 3 2 2 3 2 4" xfId="20029" xr:uid="{4C647256-0FE5-49D8-B8C7-28D9378495FD}"/>
    <cellStyle name="Normal 5 2 3 2 2 3 3" xfId="5213" xr:uid="{00000000-0005-0000-0000-00004D180000}"/>
    <cellStyle name="Normal 5 2 3 2 2 3 3 2" xfId="13655" xr:uid="{716D3B3B-797C-4E86-B9D4-90D9A25A5B1C}"/>
    <cellStyle name="Normal 5 2 3 2 2 3 3 3" xfId="22101" xr:uid="{9FA67DA4-0D8D-4D05-BED2-2F8F7A88CFE0}"/>
    <cellStyle name="Normal 5 2 3 2 2 3 4" xfId="9437" xr:uid="{DC094BC0-BEE6-443D-A5F0-F123F0508556}"/>
    <cellStyle name="Normal 5 2 3 2 2 3 5" xfId="17882" xr:uid="{212EBF3C-F338-4EA9-B7E1-532D580EAF4A}"/>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6A161563-FA3A-4923-A4E1-C1FEBFCEA94E}"/>
    <cellStyle name="Normal 5 2 3 2 2 4 2 2 3" xfId="24659" xr:uid="{23510DCB-BD29-405B-9123-54EA386FB1C9}"/>
    <cellStyle name="Normal 5 2 3 2 2 4 2 3" xfId="11995" xr:uid="{D3101209-29D4-4533-BDEF-C78B87D63280}"/>
    <cellStyle name="Normal 5 2 3 2 2 4 2 4" xfId="20442" xr:uid="{967FA9A9-9DEE-4F9B-B17B-35B8FC219624}"/>
    <cellStyle name="Normal 5 2 3 2 2 4 3" xfId="5626" xr:uid="{00000000-0005-0000-0000-000051180000}"/>
    <cellStyle name="Normal 5 2 3 2 2 4 3 2" xfId="14068" xr:uid="{2B67B96F-0C75-4DA1-8FD8-1EA2D17145A3}"/>
    <cellStyle name="Normal 5 2 3 2 2 4 3 3" xfId="22514" xr:uid="{554CB185-1E77-4823-8C8E-E5B7B7071326}"/>
    <cellStyle name="Normal 5 2 3 2 2 4 4" xfId="9850" xr:uid="{CC03E410-0FA4-4CFD-B97D-E84395E76237}"/>
    <cellStyle name="Normal 5 2 3 2 2 4 5" xfId="18295" xr:uid="{E22D59EA-0A51-426C-BA32-36E88833AD5F}"/>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A8808DD3-D19F-469B-A195-B33DC5CCA3F8}"/>
    <cellStyle name="Normal 5 2 3 2 2 5 2 2 3" xfId="25072" xr:uid="{E2DDF14D-83AF-4EC1-A7A6-F18E62635F9B}"/>
    <cellStyle name="Normal 5 2 3 2 2 5 2 3" xfId="12408" xr:uid="{49BB461E-B2E3-4ECF-A7EA-C896904EAD53}"/>
    <cellStyle name="Normal 5 2 3 2 2 5 2 4" xfId="20855" xr:uid="{D6DC416A-2553-4743-8B24-2D17A8CB6990}"/>
    <cellStyle name="Normal 5 2 3 2 2 5 3" xfId="6039" xr:uid="{00000000-0005-0000-0000-000055180000}"/>
    <cellStyle name="Normal 5 2 3 2 2 5 3 2" xfId="14481" xr:uid="{A48223D2-E697-4635-8FEC-C9212EAA6A0A}"/>
    <cellStyle name="Normal 5 2 3 2 2 5 3 3" xfId="22927" xr:uid="{F609B85B-735B-46A8-A413-FE0D4EF1D157}"/>
    <cellStyle name="Normal 5 2 3 2 2 5 4" xfId="10263" xr:uid="{376B14E5-C533-4719-8ECD-D79F40CB7A4B}"/>
    <cellStyle name="Normal 5 2 3 2 2 5 5" xfId="18708" xr:uid="{E9F36879-057F-491F-8829-417192B1DAC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2EB7E033-CAD5-471A-9C9B-C52BCE57D7BA}"/>
    <cellStyle name="Normal 5 2 3 2 2 6 2 2 3" xfId="25485" xr:uid="{1C6BCE0E-5FEB-481B-9750-538EE2888815}"/>
    <cellStyle name="Normal 5 2 3 2 2 6 2 3" xfId="12821" xr:uid="{820C7663-88FF-477E-93A1-06F473AF129D}"/>
    <cellStyle name="Normal 5 2 3 2 2 6 2 4" xfId="21268" xr:uid="{E5E3BA20-962E-48BE-AE59-9AE6AC1F7205}"/>
    <cellStyle name="Normal 5 2 3 2 2 6 3" xfId="6452" xr:uid="{00000000-0005-0000-0000-000059180000}"/>
    <cellStyle name="Normal 5 2 3 2 2 6 3 2" xfId="14894" xr:uid="{441FA372-9813-470A-8456-62C51A7EDD49}"/>
    <cellStyle name="Normal 5 2 3 2 2 6 3 3" xfId="23340" xr:uid="{02E2A64F-200B-4DBD-8968-791008428F38}"/>
    <cellStyle name="Normal 5 2 3 2 2 6 4" xfId="10676" xr:uid="{A6A46C55-DA1F-49D2-8E58-6C3BDD306B7B}"/>
    <cellStyle name="Normal 5 2 3 2 2 6 5" xfId="19121" xr:uid="{1CE26F35-E2CF-4F82-A4A5-80090316DA04}"/>
    <cellStyle name="Normal 5 2 3 2 2 7" xfId="2581" xr:uid="{00000000-0005-0000-0000-00005A180000}"/>
    <cellStyle name="Normal 5 2 3 2 2 7 2" xfId="6865" xr:uid="{00000000-0005-0000-0000-00005B180000}"/>
    <cellStyle name="Normal 5 2 3 2 2 7 2 2" xfId="15307" xr:uid="{90CF95A1-DF97-4E62-9728-4FCA7E03F2EF}"/>
    <cellStyle name="Normal 5 2 3 2 2 7 2 3" xfId="23753" xr:uid="{1B568CF5-26B0-4004-906F-F02394B40833}"/>
    <cellStyle name="Normal 5 2 3 2 2 7 3" xfId="11089" xr:uid="{37C1CE0F-06C6-441F-9647-7B18266A338B}"/>
    <cellStyle name="Normal 5 2 3 2 2 7 4" xfId="19534" xr:uid="{845FF28C-CAE7-4EB9-800A-288970807BB7}"/>
    <cellStyle name="Normal 5 2 3 2 2 8" xfId="4800" xr:uid="{00000000-0005-0000-0000-00005C180000}"/>
    <cellStyle name="Normal 5 2 3 2 2 8 2" xfId="13242" xr:uid="{D8EFE2C3-1434-4818-BDB8-0EA84E641A34}"/>
    <cellStyle name="Normal 5 2 3 2 2 8 3" xfId="21688" xr:uid="{F7FE4041-7631-4E14-9AE7-9B4BB0DF771C}"/>
    <cellStyle name="Normal 5 2 3 2 2 9" xfId="9024" xr:uid="{37F88A94-D732-49DF-A117-118858D69269}"/>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ABD75342-CF14-408E-BDD4-F0128A22E811}"/>
    <cellStyle name="Normal 5 2 3 2 3 2 2 2 3" xfId="24248" xr:uid="{63A582E1-C2C8-4D99-B1CB-2D903335AFA1}"/>
    <cellStyle name="Normal 5 2 3 2 3 2 2 3" xfId="11584" xr:uid="{DD7EFF4E-FC7C-4EB2-A61A-2CF2920DD0B2}"/>
    <cellStyle name="Normal 5 2 3 2 3 2 2 4" xfId="20031" xr:uid="{0FC13F7D-70FE-415A-863A-E5B53F77F9F1}"/>
    <cellStyle name="Normal 5 2 3 2 3 2 3" xfId="5215" xr:uid="{00000000-0005-0000-0000-000061180000}"/>
    <cellStyle name="Normal 5 2 3 2 3 2 3 2" xfId="13657" xr:uid="{5131DCE3-6804-419D-AF72-9B6A69A15665}"/>
    <cellStyle name="Normal 5 2 3 2 3 2 3 3" xfId="22103" xr:uid="{34070CC4-BE01-40B1-8844-3AF666A2D9A2}"/>
    <cellStyle name="Normal 5 2 3 2 3 2 4" xfId="9439" xr:uid="{EC38DAE1-2B32-48D9-A0D9-85977BD11731}"/>
    <cellStyle name="Normal 5 2 3 2 3 2 5" xfId="17884" xr:uid="{9650D9A8-4723-4ED0-9DA5-F19CD2ECD954}"/>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4378497C-D3C8-4427-B4E4-10417F056DBA}"/>
    <cellStyle name="Normal 5 2 3 2 3 3 2 2 3" xfId="24661" xr:uid="{A05A4DBB-1BDD-4400-83B5-440EE9651416}"/>
    <cellStyle name="Normal 5 2 3 2 3 3 2 3" xfId="11997" xr:uid="{02135702-D8E5-417B-8D27-EFFF0CDB9F76}"/>
    <cellStyle name="Normal 5 2 3 2 3 3 2 4" xfId="20444" xr:uid="{06D2CC8A-D1BB-4D7F-9185-EF116B7AB71A}"/>
    <cellStyle name="Normal 5 2 3 2 3 3 3" xfId="5628" xr:uid="{00000000-0005-0000-0000-000065180000}"/>
    <cellStyle name="Normal 5 2 3 2 3 3 3 2" xfId="14070" xr:uid="{4B12DFD6-E953-4819-9227-B4994916E9AC}"/>
    <cellStyle name="Normal 5 2 3 2 3 3 3 3" xfId="22516" xr:uid="{8E3CC0C3-99F5-43E7-97AF-9BAB9593CC35}"/>
    <cellStyle name="Normal 5 2 3 2 3 3 4" xfId="9852" xr:uid="{ECFA2D39-4EEC-46FC-89B1-5636BD7C32B5}"/>
    <cellStyle name="Normal 5 2 3 2 3 3 5" xfId="18297" xr:uid="{10996BC7-0E39-4D36-BEA1-30F4D5CDCE71}"/>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6F65E338-1F3C-4580-8EEB-B1A0BADA34BF}"/>
    <cellStyle name="Normal 5 2 3 2 3 4 2 2 3" xfId="25074" xr:uid="{26A55737-B45E-45F2-BFF7-76C2DCCCDF2A}"/>
    <cellStyle name="Normal 5 2 3 2 3 4 2 3" xfId="12410" xr:uid="{FA16AE00-4B64-423D-A83D-188AC8426F78}"/>
    <cellStyle name="Normal 5 2 3 2 3 4 2 4" xfId="20857" xr:uid="{84CFC0C1-C5C3-4732-95FF-76777AB82703}"/>
    <cellStyle name="Normal 5 2 3 2 3 4 3" xfId="6041" xr:uid="{00000000-0005-0000-0000-000069180000}"/>
    <cellStyle name="Normal 5 2 3 2 3 4 3 2" xfId="14483" xr:uid="{B7A23B6F-74C4-4A11-B8F8-C8193FB87B85}"/>
    <cellStyle name="Normal 5 2 3 2 3 4 3 3" xfId="22929" xr:uid="{5C381D30-6115-4FB1-9206-381AD6F0D12B}"/>
    <cellStyle name="Normal 5 2 3 2 3 4 4" xfId="10265" xr:uid="{737FF9BA-D1CB-4741-A3FF-BE8E58E717BA}"/>
    <cellStyle name="Normal 5 2 3 2 3 4 5" xfId="18710" xr:uid="{A3B9B3F7-03EA-4F65-9A80-00E1F69B8FA1}"/>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980F7D22-932A-4C6A-93F0-C205D567132D}"/>
    <cellStyle name="Normal 5 2 3 2 3 5 2 2 3" xfId="25487" xr:uid="{A7E82273-E79F-46D8-8860-071C3B554DFC}"/>
    <cellStyle name="Normal 5 2 3 2 3 5 2 3" xfId="12823" xr:uid="{8FE4398C-8537-4C69-AF17-E88CB5344069}"/>
    <cellStyle name="Normal 5 2 3 2 3 5 2 4" xfId="21270" xr:uid="{304059FF-B530-4CFF-918F-90311774C9DB}"/>
    <cellStyle name="Normal 5 2 3 2 3 5 3" xfId="6454" xr:uid="{00000000-0005-0000-0000-00006D180000}"/>
    <cellStyle name="Normal 5 2 3 2 3 5 3 2" xfId="14896" xr:uid="{DB11DE8B-BF05-4C10-9C97-91D30C431E18}"/>
    <cellStyle name="Normal 5 2 3 2 3 5 3 3" xfId="23342" xr:uid="{B53C11A3-60EF-471D-BC51-1019C549D22E}"/>
    <cellStyle name="Normal 5 2 3 2 3 5 4" xfId="10678" xr:uid="{225E554B-8B85-4C5F-BB08-C48FC9F7C283}"/>
    <cellStyle name="Normal 5 2 3 2 3 5 5" xfId="19123" xr:uid="{D9DF911F-C1DD-4406-9EA9-B770722067E9}"/>
    <cellStyle name="Normal 5 2 3 2 3 6" xfId="2583" xr:uid="{00000000-0005-0000-0000-00006E180000}"/>
    <cellStyle name="Normal 5 2 3 2 3 6 2" xfId="6867" xr:uid="{00000000-0005-0000-0000-00006F180000}"/>
    <cellStyle name="Normal 5 2 3 2 3 6 2 2" xfId="15309" xr:uid="{1223E64C-B6BE-4F87-A012-DD3FD68A7BDC}"/>
    <cellStyle name="Normal 5 2 3 2 3 6 2 3" xfId="23755" xr:uid="{C241554C-AFE5-467A-91DB-97D8FA8EF5E2}"/>
    <cellStyle name="Normal 5 2 3 2 3 6 3" xfId="11091" xr:uid="{69B7C949-75EB-481D-8108-44AF542BEF0A}"/>
    <cellStyle name="Normal 5 2 3 2 3 6 4" xfId="19536" xr:uid="{B4CFE49E-B089-4325-93B2-020DB79F8B4C}"/>
    <cellStyle name="Normal 5 2 3 2 3 7" xfId="4802" xr:uid="{00000000-0005-0000-0000-000070180000}"/>
    <cellStyle name="Normal 5 2 3 2 3 7 2" xfId="13244" xr:uid="{ACF1CCAA-CADF-4460-9DD3-67A8915CC50A}"/>
    <cellStyle name="Normal 5 2 3 2 3 7 3" xfId="21690" xr:uid="{C51CCD91-5281-4FAD-943D-EF42A9FD8D39}"/>
    <cellStyle name="Normal 5 2 3 2 3 8" xfId="9026" xr:uid="{0F8D4840-7488-4310-B3FA-1B37C57D3687}"/>
    <cellStyle name="Normal 5 2 3 2 3 9" xfId="17470" xr:uid="{AF9DBEC0-BE0C-46B8-8D15-BE9508AECC10}"/>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8AF1D875-FF4B-4AB1-BA62-6C7690F4AEB1}"/>
    <cellStyle name="Normal 5 2 3 2 4 2 2 3" xfId="24245" xr:uid="{F6942C62-2837-4150-9F23-E2CB223AFA5B}"/>
    <cellStyle name="Normal 5 2 3 2 4 2 3" xfId="11581" xr:uid="{4DAA800A-4862-41C2-B5FB-97F109C424DF}"/>
    <cellStyle name="Normal 5 2 3 2 4 2 4" xfId="20028" xr:uid="{5C5E1D7B-B1DE-495D-A7D5-3DEBD21ADBEF}"/>
    <cellStyle name="Normal 5 2 3 2 4 3" xfId="5212" xr:uid="{00000000-0005-0000-0000-000074180000}"/>
    <cellStyle name="Normal 5 2 3 2 4 3 2" xfId="13654" xr:uid="{AC45E98E-2C3A-4B0E-A00A-AAD440638644}"/>
    <cellStyle name="Normal 5 2 3 2 4 3 3" xfId="22100" xr:uid="{513A9382-E880-4D1A-ACDD-850C71C0A1C5}"/>
    <cellStyle name="Normal 5 2 3 2 4 4" xfId="9436" xr:uid="{157A992F-DCE5-4AE0-B58D-D085288F3752}"/>
    <cellStyle name="Normal 5 2 3 2 4 5" xfId="17881" xr:uid="{0C0DD8E5-1F23-46E5-99F8-6FC904D81122}"/>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BAF572B7-39C8-40A0-B572-644206493316}"/>
    <cellStyle name="Normal 5 2 3 2 5 2 2 3" xfId="24658" xr:uid="{3421AF2B-FFC8-4699-9205-FC18ED91CF26}"/>
    <cellStyle name="Normal 5 2 3 2 5 2 3" xfId="11994" xr:uid="{6C858A14-1F20-4E85-AD51-B135092BAAA9}"/>
    <cellStyle name="Normal 5 2 3 2 5 2 4" xfId="20441" xr:uid="{ADBA55B3-1B2C-46BC-B2BB-1B699C6727D1}"/>
    <cellStyle name="Normal 5 2 3 2 5 3" xfId="5625" xr:uid="{00000000-0005-0000-0000-000078180000}"/>
    <cellStyle name="Normal 5 2 3 2 5 3 2" xfId="14067" xr:uid="{2183EFF6-9E5C-453E-8C54-EC387E5AA910}"/>
    <cellStyle name="Normal 5 2 3 2 5 3 3" xfId="22513" xr:uid="{10E24BB4-924A-4A08-B2CB-62DAB416DA76}"/>
    <cellStyle name="Normal 5 2 3 2 5 4" xfId="9849" xr:uid="{73279320-927A-4280-BB18-A71455D08BF4}"/>
    <cellStyle name="Normal 5 2 3 2 5 5" xfId="18294" xr:uid="{EBA48FAF-07B0-44F4-B091-A096233A3553}"/>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514152AF-87D1-4C01-A682-DD70D590FE06}"/>
    <cellStyle name="Normal 5 2 3 2 6 2 2 3" xfId="25071" xr:uid="{AC1EF0E5-EAAB-48B3-B846-EF306855A2DF}"/>
    <cellStyle name="Normal 5 2 3 2 6 2 3" xfId="12407" xr:uid="{BA66C179-17CD-47EC-A237-88739AA3FD75}"/>
    <cellStyle name="Normal 5 2 3 2 6 2 4" xfId="20854" xr:uid="{6747178E-7FA1-4619-80A3-3948E5D41D52}"/>
    <cellStyle name="Normal 5 2 3 2 6 3" xfId="6038" xr:uid="{00000000-0005-0000-0000-00007C180000}"/>
    <cellStyle name="Normal 5 2 3 2 6 3 2" xfId="14480" xr:uid="{B94D828E-AFEC-4015-9275-CC58025DC2B2}"/>
    <cellStyle name="Normal 5 2 3 2 6 3 3" xfId="22926" xr:uid="{C501A9C5-0126-467B-80FC-DBC8D98FBAE3}"/>
    <cellStyle name="Normal 5 2 3 2 6 4" xfId="10262" xr:uid="{4845D4C7-DDDD-42CA-B38F-5326AA00DABD}"/>
    <cellStyle name="Normal 5 2 3 2 6 5" xfId="18707" xr:uid="{96BEB09A-86EB-47DD-8D70-318DE3977EBC}"/>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19642AD3-07DA-4CAE-A775-7CE61D50C7D2}"/>
    <cellStyle name="Normal 5 2 3 2 7 2 2 3" xfId="25484" xr:uid="{83074824-4CD9-4C6D-955E-CAE79543DE8B}"/>
    <cellStyle name="Normal 5 2 3 2 7 2 3" xfId="12820" xr:uid="{F0D9205A-3556-47F1-9DC5-46F6543CD387}"/>
    <cellStyle name="Normal 5 2 3 2 7 2 4" xfId="21267" xr:uid="{298713D9-0510-4AA8-8D2E-EAE65FFB5164}"/>
    <cellStyle name="Normal 5 2 3 2 7 3" xfId="6451" xr:uid="{00000000-0005-0000-0000-000080180000}"/>
    <cellStyle name="Normal 5 2 3 2 7 3 2" xfId="14893" xr:uid="{2BBE8829-3491-4D69-B180-16A748B99AE1}"/>
    <cellStyle name="Normal 5 2 3 2 7 3 3" xfId="23339" xr:uid="{06FEF5E7-9875-4E16-B195-963A3C40004D}"/>
    <cellStyle name="Normal 5 2 3 2 7 4" xfId="10675" xr:uid="{28EC6C32-C53B-4303-A2B9-82D22BDE2DBB}"/>
    <cellStyle name="Normal 5 2 3 2 7 5" xfId="19120" xr:uid="{1EF6F9C0-5DC4-460D-990B-5F2B10C7520E}"/>
    <cellStyle name="Normal 5 2 3 2 8" xfId="2580" xr:uid="{00000000-0005-0000-0000-000081180000}"/>
    <cellStyle name="Normal 5 2 3 2 8 2" xfId="6864" xr:uid="{00000000-0005-0000-0000-000082180000}"/>
    <cellStyle name="Normal 5 2 3 2 8 2 2" xfId="15306" xr:uid="{91838055-1577-4504-93AE-E680920FD5E9}"/>
    <cellStyle name="Normal 5 2 3 2 8 2 3" xfId="23752" xr:uid="{28581E19-09AA-413D-ACCC-3A5465612F44}"/>
    <cellStyle name="Normal 5 2 3 2 8 3" xfId="11088" xr:uid="{EACDB4D6-C2E1-4A15-926B-58BDC4052A32}"/>
    <cellStyle name="Normal 5 2 3 2 8 4" xfId="19533" xr:uid="{EC78180B-F614-4C40-A080-CC289383D2D3}"/>
    <cellStyle name="Normal 5 2 3 2 9" xfId="4799" xr:uid="{00000000-0005-0000-0000-000083180000}"/>
    <cellStyle name="Normal 5 2 3 2 9 2" xfId="13241" xr:uid="{7BA9AE26-A90B-472F-9C32-1644435FDB8F}"/>
    <cellStyle name="Normal 5 2 3 2 9 3" xfId="21687" xr:uid="{6CB73922-FD78-4F66-A2AC-6095ED690BCB}"/>
    <cellStyle name="Normal 5 2 3 3" xfId="429" xr:uid="{00000000-0005-0000-0000-000084180000}"/>
    <cellStyle name="Normal 5 2 3 3 10" xfId="17471" xr:uid="{12A0F1D7-9F6B-4B01-900D-6A80ACC8A364}"/>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A2D5DE3F-B91E-47D8-9963-FD3B8A0B4F86}"/>
    <cellStyle name="Normal 5 2 3 3 2 2 2 2 3" xfId="24250" xr:uid="{937DAC96-3F5F-452E-A3C2-4809C0D51994}"/>
    <cellStyle name="Normal 5 2 3 3 2 2 2 3" xfId="11586" xr:uid="{32A659A5-E219-4EB2-BA72-60C0E7879E09}"/>
    <cellStyle name="Normal 5 2 3 3 2 2 2 4" xfId="20033" xr:uid="{79C624CA-D9C9-45B6-A14A-4DD9BB23714D}"/>
    <cellStyle name="Normal 5 2 3 3 2 2 3" xfId="5217" xr:uid="{00000000-0005-0000-0000-000089180000}"/>
    <cellStyle name="Normal 5 2 3 3 2 2 3 2" xfId="13659" xr:uid="{36913F25-00C1-44EC-8B26-2D1727F606CC}"/>
    <cellStyle name="Normal 5 2 3 3 2 2 3 3" xfId="22105" xr:uid="{5C8D9A42-6D4C-4C57-9F93-66DD61FC7BF3}"/>
    <cellStyle name="Normal 5 2 3 3 2 2 4" xfId="9441" xr:uid="{CE5EF97A-B310-4156-9916-32DE08F309CA}"/>
    <cellStyle name="Normal 5 2 3 3 2 2 5" xfId="17886" xr:uid="{09B4C852-889D-48EF-8345-E7D68DE110B6}"/>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8E5F8D7D-8339-4C60-AEDE-BF7171C1DDA5}"/>
    <cellStyle name="Normal 5 2 3 3 2 3 2 2 3" xfId="24663" xr:uid="{D2D7031C-820B-4BA5-8499-E05A47BC5607}"/>
    <cellStyle name="Normal 5 2 3 3 2 3 2 3" xfId="11999" xr:uid="{472CCF0F-AF69-46B8-9AA6-627BC263AF38}"/>
    <cellStyle name="Normal 5 2 3 3 2 3 2 4" xfId="20446" xr:uid="{1A0A6985-AF20-41E9-9728-BF1216D6F8CA}"/>
    <cellStyle name="Normal 5 2 3 3 2 3 3" xfId="5630" xr:uid="{00000000-0005-0000-0000-00008D180000}"/>
    <cellStyle name="Normal 5 2 3 3 2 3 3 2" xfId="14072" xr:uid="{119BC10C-A481-462C-8571-3429AD674FA9}"/>
    <cellStyle name="Normal 5 2 3 3 2 3 3 3" xfId="22518" xr:uid="{B7ABA897-7B9F-4557-9113-5EC6038C61CC}"/>
    <cellStyle name="Normal 5 2 3 3 2 3 4" xfId="9854" xr:uid="{0900A089-B133-4184-9C2D-9B3637C01834}"/>
    <cellStyle name="Normal 5 2 3 3 2 3 5" xfId="18299" xr:uid="{F274ABD6-28C5-469C-9AF3-4351A142CB3E}"/>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DF5D1B16-3B76-499D-B3B0-15E24418F719}"/>
    <cellStyle name="Normal 5 2 3 3 2 4 2 2 3" xfId="25076" xr:uid="{090844F8-811B-4FE1-B0FE-9148B55CB84A}"/>
    <cellStyle name="Normal 5 2 3 3 2 4 2 3" xfId="12412" xr:uid="{15D741BF-73A4-41AB-AABA-73D4CCB5EC2F}"/>
    <cellStyle name="Normal 5 2 3 3 2 4 2 4" xfId="20859" xr:uid="{E0823194-5840-4D54-B5E0-BCDF293DC935}"/>
    <cellStyle name="Normal 5 2 3 3 2 4 3" xfId="6043" xr:uid="{00000000-0005-0000-0000-000091180000}"/>
    <cellStyle name="Normal 5 2 3 3 2 4 3 2" xfId="14485" xr:uid="{7E93489B-9D75-4938-9F98-812233B746B3}"/>
    <cellStyle name="Normal 5 2 3 3 2 4 3 3" xfId="22931" xr:uid="{1F3DAC67-B821-4972-986A-28DD12D280A8}"/>
    <cellStyle name="Normal 5 2 3 3 2 4 4" xfId="10267" xr:uid="{76F6D773-1E35-4D44-831E-28E78D3409F3}"/>
    <cellStyle name="Normal 5 2 3 3 2 4 5" xfId="18712" xr:uid="{7D2EB9CE-05BB-4625-AEB5-2EEBC1FE62C4}"/>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EAFAF9C7-ABE2-4877-9C3F-EE1B8F535A22}"/>
    <cellStyle name="Normal 5 2 3 3 2 5 2 2 3" xfId="25489" xr:uid="{BD0A2867-382A-4B29-8546-13563F2A8431}"/>
    <cellStyle name="Normal 5 2 3 3 2 5 2 3" xfId="12825" xr:uid="{88716C7F-3FBB-48C7-B877-BC4F8D37EFC4}"/>
    <cellStyle name="Normal 5 2 3 3 2 5 2 4" xfId="21272" xr:uid="{DEFE9722-1544-466B-85D0-781E83C5696C}"/>
    <cellStyle name="Normal 5 2 3 3 2 5 3" xfId="6456" xr:uid="{00000000-0005-0000-0000-000095180000}"/>
    <cellStyle name="Normal 5 2 3 3 2 5 3 2" xfId="14898" xr:uid="{7B54FFCD-6867-4828-B464-2F266D8AD5FB}"/>
    <cellStyle name="Normal 5 2 3 3 2 5 3 3" xfId="23344" xr:uid="{B399CB24-45F1-4E90-B8D9-B087BFB72EC3}"/>
    <cellStyle name="Normal 5 2 3 3 2 5 4" xfId="10680" xr:uid="{73AAF896-D874-4010-9843-378824F937B4}"/>
    <cellStyle name="Normal 5 2 3 3 2 5 5" xfId="19125" xr:uid="{D3C35CB3-3B84-413D-B10F-5A6D5625E4B2}"/>
    <cellStyle name="Normal 5 2 3 3 2 6" xfId="2585" xr:uid="{00000000-0005-0000-0000-000096180000}"/>
    <cellStyle name="Normal 5 2 3 3 2 6 2" xfId="6869" xr:uid="{00000000-0005-0000-0000-000097180000}"/>
    <cellStyle name="Normal 5 2 3 3 2 6 2 2" xfId="15311" xr:uid="{C190DBC9-CF49-4B53-9D7C-63902016853A}"/>
    <cellStyle name="Normal 5 2 3 3 2 6 2 3" xfId="23757" xr:uid="{DF1EA9C4-3B55-4950-A87A-1421DD2F86A4}"/>
    <cellStyle name="Normal 5 2 3 3 2 6 3" xfId="11093" xr:uid="{3F341126-2CF0-4F29-AB68-E7CD82173EEE}"/>
    <cellStyle name="Normal 5 2 3 3 2 6 4" xfId="19538" xr:uid="{7CEAE080-D665-45FF-B3A9-4DC5F10A91FF}"/>
    <cellStyle name="Normal 5 2 3 3 2 7" xfId="4804" xr:uid="{00000000-0005-0000-0000-000098180000}"/>
    <cellStyle name="Normal 5 2 3 3 2 7 2" xfId="13246" xr:uid="{76508DAE-7A83-4EA0-947D-4F6A2620E603}"/>
    <cellStyle name="Normal 5 2 3 3 2 7 3" xfId="21692" xr:uid="{7ABCCF54-312A-4CF5-99F1-B3A704822F48}"/>
    <cellStyle name="Normal 5 2 3 3 2 8" xfId="9028" xr:uid="{EB32A2D0-0A23-41B9-8CE1-281E7C43017A}"/>
    <cellStyle name="Normal 5 2 3 3 2 9" xfId="17472" xr:uid="{73FBCFBF-7644-4149-9732-99C829AF66F6}"/>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4D074892-267A-4209-B1FB-FE5B270D5365}"/>
    <cellStyle name="Normal 5 2 3 3 3 2 2 3" xfId="24249" xr:uid="{851E9944-6B14-42F7-9E0D-15C38D906538}"/>
    <cellStyle name="Normal 5 2 3 3 3 2 3" xfId="11585" xr:uid="{7CD38674-3C29-4923-9697-12DAAEFF789C}"/>
    <cellStyle name="Normal 5 2 3 3 3 2 4" xfId="20032" xr:uid="{53523B9C-223D-4465-A812-B9508A8C6492}"/>
    <cellStyle name="Normal 5 2 3 3 3 3" xfId="5216" xr:uid="{00000000-0005-0000-0000-00009C180000}"/>
    <cellStyle name="Normal 5 2 3 3 3 3 2" xfId="13658" xr:uid="{DDD0F348-0062-4405-BE8D-8AC63380D2B7}"/>
    <cellStyle name="Normal 5 2 3 3 3 3 3" xfId="22104" xr:uid="{A2E47809-D981-40F3-B0DE-EF875A9722B4}"/>
    <cellStyle name="Normal 5 2 3 3 3 4" xfId="9440" xr:uid="{BB36EC2A-BBBA-465F-BA83-B3D15B0A6EA9}"/>
    <cellStyle name="Normal 5 2 3 3 3 5" xfId="17885" xr:uid="{1BCE7FB6-6ED0-4679-9D38-AED3FD8BF222}"/>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33AAC57F-4B9F-4248-B0C3-A26BBFECFF48}"/>
    <cellStyle name="Normal 5 2 3 3 4 2 2 3" xfId="24662" xr:uid="{83F4352D-64C3-4877-B2EE-6971315A7AA2}"/>
    <cellStyle name="Normal 5 2 3 3 4 2 3" xfId="11998" xr:uid="{E6860B47-7841-451C-A4D2-559F29ACCC53}"/>
    <cellStyle name="Normal 5 2 3 3 4 2 4" xfId="20445" xr:uid="{33FB0C8C-4E11-4F1F-BA0C-369E33219447}"/>
    <cellStyle name="Normal 5 2 3 3 4 3" xfId="5629" xr:uid="{00000000-0005-0000-0000-0000A0180000}"/>
    <cellStyle name="Normal 5 2 3 3 4 3 2" xfId="14071" xr:uid="{EA5A819E-E6E4-49F2-81C0-1A208B202E3F}"/>
    <cellStyle name="Normal 5 2 3 3 4 3 3" xfId="22517" xr:uid="{981F9EA2-6798-4408-83D6-F9B220CD4962}"/>
    <cellStyle name="Normal 5 2 3 3 4 4" xfId="9853" xr:uid="{5AA38608-6B86-4573-B548-875F513A95D3}"/>
    <cellStyle name="Normal 5 2 3 3 4 5" xfId="18298" xr:uid="{91F9C524-0E0B-4607-9CBB-5E37596B512B}"/>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674963B5-22C9-435C-8756-51306EEA37F4}"/>
    <cellStyle name="Normal 5 2 3 3 5 2 2 3" xfId="25075" xr:uid="{2825E700-A3E4-4C13-BA73-3C516B8883B4}"/>
    <cellStyle name="Normal 5 2 3 3 5 2 3" xfId="12411" xr:uid="{F6A5023A-BBD8-4247-AB5F-025F89B53080}"/>
    <cellStyle name="Normal 5 2 3 3 5 2 4" xfId="20858" xr:uid="{519F3CC0-6B0F-4CC6-BA03-BAFDDEC220BA}"/>
    <cellStyle name="Normal 5 2 3 3 5 3" xfId="6042" xr:uid="{00000000-0005-0000-0000-0000A4180000}"/>
    <cellStyle name="Normal 5 2 3 3 5 3 2" xfId="14484" xr:uid="{584CE071-6309-4EDE-9571-3C83DA6918CB}"/>
    <cellStyle name="Normal 5 2 3 3 5 3 3" xfId="22930" xr:uid="{1ADF6276-C08C-4573-B4E8-D757EF836502}"/>
    <cellStyle name="Normal 5 2 3 3 5 4" xfId="10266" xr:uid="{E1F75257-6B73-4FA9-8B30-5CDA110810E6}"/>
    <cellStyle name="Normal 5 2 3 3 5 5" xfId="18711" xr:uid="{71061897-2FE2-43E1-9B21-F93BABD095BE}"/>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71FF398E-ABB0-431F-B783-A0CC2A3A88B7}"/>
    <cellStyle name="Normal 5 2 3 3 6 2 2 3" xfId="25488" xr:uid="{6CB9FA11-21F8-4E44-94AB-1D13051BBD16}"/>
    <cellStyle name="Normal 5 2 3 3 6 2 3" xfId="12824" xr:uid="{29F16724-BC56-41F7-82B4-384820D533D0}"/>
    <cellStyle name="Normal 5 2 3 3 6 2 4" xfId="21271" xr:uid="{30E9E633-0067-454A-82CA-F789138785F1}"/>
    <cellStyle name="Normal 5 2 3 3 6 3" xfId="6455" xr:uid="{00000000-0005-0000-0000-0000A8180000}"/>
    <cellStyle name="Normal 5 2 3 3 6 3 2" xfId="14897" xr:uid="{01227667-144C-489E-9D57-BC7E50BB9BCA}"/>
    <cellStyle name="Normal 5 2 3 3 6 3 3" xfId="23343" xr:uid="{F37A7B8E-0A59-47CD-AC34-20EA62102620}"/>
    <cellStyle name="Normal 5 2 3 3 6 4" xfId="10679" xr:uid="{9704A414-4467-4820-B378-55B2BA6D3DE2}"/>
    <cellStyle name="Normal 5 2 3 3 6 5" xfId="19124" xr:uid="{714BB6B3-6A45-42AF-B2DC-245094885E11}"/>
    <cellStyle name="Normal 5 2 3 3 7" xfId="2584" xr:uid="{00000000-0005-0000-0000-0000A9180000}"/>
    <cellStyle name="Normal 5 2 3 3 7 2" xfId="6868" xr:uid="{00000000-0005-0000-0000-0000AA180000}"/>
    <cellStyle name="Normal 5 2 3 3 7 2 2" xfId="15310" xr:uid="{2CC6CA87-6931-45F8-8293-362F6623D520}"/>
    <cellStyle name="Normal 5 2 3 3 7 2 3" xfId="23756" xr:uid="{EB2F637B-F278-497B-BE34-1A2334F3BA31}"/>
    <cellStyle name="Normal 5 2 3 3 7 3" xfId="11092" xr:uid="{501FA752-70CC-4978-824D-353E733171ED}"/>
    <cellStyle name="Normal 5 2 3 3 7 4" xfId="19537" xr:uid="{79D48A21-7758-4F1D-B9BE-839E9FD0566A}"/>
    <cellStyle name="Normal 5 2 3 3 8" xfId="4803" xr:uid="{00000000-0005-0000-0000-0000AB180000}"/>
    <cellStyle name="Normal 5 2 3 3 8 2" xfId="13245" xr:uid="{86E021DF-310C-4E22-AEA6-F31155BE58E9}"/>
    <cellStyle name="Normal 5 2 3 3 8 3" xfId="21691" xr:uid="{FFABFFE5-B0BF-4E85-942A-90AAE7CDC566}"/>
    <cellStyle name="Normal 5 2 3 3 9" xfId="9027" xr:uid="{59ADC48C-C3D2-486F-A950-7B780161E609}"/>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FE5EDD2E-232B-4BB3-967A-B53720AD613A}"/>
    <cellStyle name="Normal 5 2 3 4 2 2 2 3" xfId="24251" xr:uid="{BEC1B346-CCA2-49C3-9290-38EEEADB56E0}"/>
    <cellStyle name="Normal 5 2 3 4 2 2 3" xfId="11587" xr:uid="{66B505C8-266E-4208-BA28-25C402BA7366}"/>
    <cellStyle name="Normal 5 2 3 4 2 2 4" xfId="20034" xr:uid="{67B01624-EFC1-4400-A2E7-B95B2A338B6C}"/>
    <cellStyle name="Normal 5 2 3 4 2 3" xfId="5218" xr:uid="{00000000-0005-0000-0000-0000B0180000}"/>
    <cellStyle name="Normal 5 2 3 4 2 3 2" xfId="13660" xr:uid="{F430109B-1B3B-489B-BE1C-8E3861393A0D}"/>
    <cellStyle name="Normal 5 2 3 4 2 3 3" xfId="22106" xr:uid="{BE4F609B-BCCF-4B4A-9A51-0928252E046D}"/>
    <cellStyle name="Normal 5 2 3 4 2 4" xfId="9442" xr:uid="{267CC46E-7AC7-4BF8-A96E-DC2AC85B67C1}"/>
    <cellStyle name="Normal 5 2 3 4 2 5" xfId="17887" xr:uid="{DF5DB12A-E194-4886-9C71-E1FD8FD4FE4C}"/>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7596B632-790A-45D6-A8A2-A42FCEE8BE9B}"/>
    <cellStyle name="Normal 5 2 3 4 3 2 2 3" xfId="24664" xr:uid="{C160125E-9A36-442D-8639-C3FC6602024E}"/>
    <cellStyle name="Normal 5 2 3 4 3 2 3" xfId="12000" xr:uid="{29A99443-F069-44BA-A2A6-7EBC19CDECFB}"/>
    <cellStyle name="Normal 5 2 3 4 3 2 4" xfId="20447" xr:uid="{402E1F65-B7E6-4E4E-AA77-495A3A855852}"/>
    <cellStyle name="Normal 5 2 3 4 3 3" xfId="5631" xr:uid="{00000000-0005-0000-0000-0000B4180000}"/>
    <cellStyle name="Normal 5 2 3 4 3 3 2" xfId="14073" xr:uid="{099A5670-A744-4863-83C7-8449751808B3}"/>
    <cellStyle name="Normal 5 2 3 4 3 3 3" xfId="22519" xr:uid="{1F0713C7-7762-4BB2-86BC-4DD00091F109}"/>
    <cellStyle name="Normal 5 2 3 4 3 4" xfId="9855" xr:uid="{41637879-5D3D-4017-9DF2-4D83A48CE1F7}"/>
    <cellStyle name="Normal 5 2 3 4 3 5" xfId="18300" xr:uid="{F2447BBE-61CC-4095-B2CA-72D1BF1898C6}"/>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BB7487B5-6FA0-42EA-BAB9-599AF81A67F5}"/>
    <cellStyle name="Normal 5 2 3 4 4 2 2 3" xfId="25077" xr:uid="{1E3C51D5-B268-4107-B717-72985A4D65FA}"/>
    <cellStyle name="Normal 5 2 3 4 4 2 3" xfId="12413" xr:uid="{B884CD1A-03C7-401E-903C-83457A7A5590}"/>
    <cellStyle name="Normal 5 2 3 4 4 2 4" xfId="20860" xr:uid="{0EE236D0-3C0B-4CF6-B674-AB93B169D007}"/>
    <cellStyle name="Normal 5 2 3 4 4 3" xfId="6044" xr:uid="{00000000-0005-0000-0000-0000B8180000}"/>
    <cellStyle name="Normal 5 2 3 4 4 3 2" xfId="14486" xr:uid="{85263E66-79B5-4974-BF3F-B090E8D3FF8C}"/>
    <cellStyle name="Normal 5 2 3 4 4 3 3" xfId="22932" xr:uid="{A66927E5-2224-4289-A97B-1CF5994F841A}"/>
    <cellStyle name="Normal 5 2 3 4 4 4" xfId="10268" xr:uid="{D2FC1C23-C00F-4E72-B9A8-E37D68959696}"/>
    <cellStyle name="Normal 5 2 3 4 4 5" xfId="18713" xr:uid="{8ED578BA-FEA8-42F1-8570-DDD8DFF93A9A}"/>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D737794A-70B3-4480-9D47-517EA4E74B8C}"/>
    <cellStyle name="Normal 5 2 3 4 5 2 2 3" xfId="25490" xr:uid="{A26A3382-E2DF-4957-8914-34AA3FA91E17}"/>
    <cellStyle name="Normal 5 2 3 4 5 2 3" xfId="12826" xr:uid="{898F12F6-CA30-42A7-AB4D-793FCD634334}"/>
    <cellStyle name="Normal 5 2 3 4 5 2 4" xfId="21273" xr:uid="{5E63C6A9-1AF7-4D12-9341-0101377B78A0}"/>
    <cellStyle name="Normal 5 2 3 4 5 3" xfId="6457" xr:uid="{00000000-0005-0000-0000-0000BC180000}"/>
    <cellStyle name="Normal 5 2 3 4 5 3 2" xfId="14899" xr:uid="{805AA39D-AC81-44CC-AF4F-5E268D14E05C}"/>
    <cellStyle name="Normal 5 2 3 4 5 3 3" xfId="23345" xr:uid="{8C79299C-1F3A-4D2E-8261-AC3593ED548E}"/>
    <cellStyle name="Normal 5 2 3 4 5 4" xfId="10681" xr:uid="{325D7648-0A83-4366-ADF6-4211BE73F523}"/>
    <cellStyle name="Normal 5 2 3 4 5 5" xfId="19126" xr:uid="{99DA4184-0FEA-4B3B-83AB-16CB5FCA82F5}"/>
    <cellStyle name="Normal 5 2 3 4 6" xfId="2586" xr:uid="{00000000-0005-0000-0000-0000BD180000}"/>
    <cellStyle name="Normal 5 2 3 4 6 2" xfId="6870" xr:uid="{00000000-0005-0000-0000-0000BE180000}"/>
    <cellStyle name="Normal 5 2 3 4 6 2 2" xfId="15312" xr:uid="{89BEDB6F-AA0C-43E7-B964-6B7D2F332027}"/>
    <cellStyle name="Normal 5 2 3 4 6 2 3" xfId="23758" xr:uid="{611F456D-2CD4-47FB-84F6-F4DF8876CB50}"/>
    <cellStyle name="Normal 5 2 3 4 6 3" xfId="11094" xr:uid="{923E3D71-C9D8-4AB9-8BC4-E2BE68F3DD79}"/>
    <cellStyle name="Normal 5 2 3 4 6 4" xfId="19539" xr:uid="{7A3DE475-8BE7-4227-A5C4-A2169AFDD49A}"/>
    <cellStyle name="Normal 5 2 3 4 7" xfId="4805" xr:uid="{00000000-0005-0000-0000-0000BF180000}"/>
    <cellStyle name="Normal 5 2 3 4 7 2" xfId="13247" xr:uid="{96DD242B-C14F-4F6C-821D-04D17D19BFC3}"/>
    <cellStyle name="Normal 5 2 3 4 7 3" xfId="21693" xr:uid="{2A3D10A7-6FD6-4F79-A6BF-CEF7BC6CBBB3}"/>
    <cellStyle name="Normal 5 2 3 4 8" xfId="9029" xr:uid="{2FEE37C6-419D-4A67-ABC6-6DE3F4EBDCDC}"/>
    <cellStyle name="Normal 5 2 3 4 9" xfId="17473" xr:uid="{81137D4A-85BB-4478-882C-34CB40B7646F}"/>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36D9A9DA-4764-44E0-A713-B2673A03E2EE}"/>
    <cellStyle name="Normal 5 2 3 5 2 2 3" xfId="24244" xr:uid="{CE50C54B-7F82-475A-9CE7-123549E1E1C7}"/>
    <cellStyle name="Normal 5 2 3 5 2 3" xfId="11580" xr:uid="{A2498B40-7A86-433D-9526-11A4E2EE124C}"/>
    <cellStyle name="Normal 5 2 3 5 2 4" xfId="20027" xr:uid="{2031F6F5-CE42-44CC-A774-6A5FD8E1C42B}"/>
    <cellStyle name="Normal 5 2 3 5 3" xfId="5211" xr:uid="{00000000-0005-0000-0000-0000C3180000}"/>
    <cellStyle name="Normal 5 2 3 5 3 2" xfId="13653" xr:uid="{BAC4F337-D96E-4D7E-839E-05C6F08FF764}"/>
    <cellStyle name="Normal 5 2 3 5 3 3" xfId="22099" xr:uid="{3CE48ECD-14B9-4A88-9912-34CD17C77EF0}"/>
    <cellStyle name="Normal 5 2 3 5 4" xfId="9435" xr:uid="{A2905868-E081-4137-BD9B-3C3371D81B9E}"/>
    <cellStyle name="Normal 5 2 3 5 5" xfId="17880" xr:uid="{DBEE210A-4A6D-43A7-A91B-2299A69DF080}"/>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26FCF74F-4647-4341-B948-0CA2007B30B9}"/>
    <cellStyle name="Normal 5 2 3 6 2 2 3" xfId="24657" xr:uid="{ECF7E85F-165A-442C-96E1-04A169198752}"/>
    <cellStyle name="Normal 5 2 3 6 2 3" xfId="11993" xr:uid="{8338D648-1EF9-4D6F-9175-60F442A5F441}"/>
    <cellStyle name="Normal 5 2 3 6 2 4" xfId="20440" xr:uid="{7CF25911-7C08-4D0F-BFAB-EAC61040BB91}"/>
    <cellStyle name="Normal 5 2 3 6 3" xfId="5624" xr:uid="{00000000-0005-0000-0000-0000C7180000}"/>
    <cellStyle name="Normal 5 2 3 6 3 2" xfId="14066" xr:uid="{694EAF8F-948C-46A6-B584-DBBD7383FCD2}"/>
    <cellStyle name="Normal 5 2 3 6 3 3" xfId="22512" xr:uid="{A997114D-A3FF-40FF-B2B9-7B5083B316C9}"/>
    <cellStyle name="Normal 5 2 3 6 4" xfId="9848" xr:uid="{AF62B5F2-CD4F-483B-9997-9F24E3F3D485}"/>
    <cellStyle name="Normal 5 2 3 6 5" xfId="18293" xr:uid="{6E218572-870F-48DB-8AC0-82CC4B58464D}"/>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523784BE-2EB8-4C43-825F-60F66F0B5464}"/>
    <cellStyle name="Normal 5 2 3 7 2 2 3" xfId="25070" xr:uid="{1C92993A-8907-4D74-A0E1-40C193CB4355}"/>
    <cellStyle name="Normal 5 2 3 7 2 3" xfId="12406" xr:uid="{A2B546D5-924C-476F-96E8-EFE20B2D8FF9}"/>
    <cellStyle name="Normal 5 2 3 7 2 4" xfId="20853" xr:uid="{582C5BB6-4352-45FC-95FC-247C0319EF66}"/>
    <cellStyle name="Normal 5 2 3 7 3" xfId="6037" xr:uid="{00000000-0005-0000-0000-0000CB180000}"/>
    <cellStyle name="Normal 5 2 3 7 3 2" xfId="14479" xr:uid="{261A4444-93CD-41D0-92F4-DE36718B5912}"/>
    <cellStyle name="Normal 5 2 3 7 3 3" xfId="22925" xr:uid="{B04BF7FB-76FC-4A5E-97D6-0FAD83B799A9}"/>
    <cellStyle name="Normal 5 2 3 7 4" xfId="10261" xr:uid="{CD2D949B-5A96-498B-BC38-9A8D601A0456}"/>
    <cellStyle name="Normal 5 2 3 7 5" xfId="18706" xr:uid="{4B9D493E-4E37-43B2-BA98-AB817F0A1F4A}"/>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A8205DDB-F83E-4C11-97B3-E1B47F41F66D}"/>
    <cellStyle name="Normal 5 2 3 8 2 2 3" xfId="25483" xr:uid="{1DE75AEC-6810-4FDC-9C2E-BD64CAAF8658}"/>
    <cellStyle name="Normal 5 2 3 8 2 3" xfId="12819" xr:uid="{1575F5A7-7469-43E4-8363-CAB96E5A8A48}"/>
    <cellStyle name="Normal 5 2 3 8 2 4" xfId="21266" xr:uid="{A91F2653-26D6-447D-B133-DD003E2D202F}"/>
    <cellStyle name="Normal 5 2 3 8 3" xfId="6450" xr:uid="{00000000-0005-0000-0000-0000CF180000}"/>
    <cellStyle name="Normal 5 2 3 8 3 2" xfId="14892" xr:uid="{8271AA91-55E4-4AE1-B772-035031F6C93A}"/>
    <cellStyle name="Normal 5 2 3 8 3 3" xfId="23338" xr:uid="{42970B45-C0D8-4AA7-B6BF-390705CB3E49}"/>
    <cellStyle name="Normal 5 2 3 8 4" xfId="10674" xr:uid="{77E4DA64-57A7-4835-A467-4938886DE0D0}"/>
    <cellStyle name="Normal 5 2 3 8 5" xfId="19119" xr:uid="{85438A41-325F-414C-AE20-5506E97F98F7}"/>
    <cellStyle name="Normal 5 2 3 9" xfId="2579" xr:uid="{00000000-0005-0000-0000-0000D0180000}"/>
    <cellStyle name="Normal 5 2 3 9 2" xfId="6863" xr:uid="{00000000-0005-0000-0000-0000D1180000}"/>
    <cellStyle name="Normal 5 2 3 9 2 2" xfId="15305" xr:uid="{EB360E9A-B01B-486C-A78D-1F8C80955355}"/>
    <cellStyle name="Normal 5 2 3 9 2 3" xfId="23751" xr:uid="{A9B46BF5-2D4A-4882-B9D9-77D3B41163F8}"/>
    <cellStyle name="Normal 5 2 3 9 3" xfId="11087" xr:uid="{C7FEFF38-45E7-488A-B15F-654D962CF0AF}"/>
    <cellStyle name="Normal 5 2 3 9 4" xfId="19532" xr:uid="{F8DD74AE-104F-40A8-B70A-8333C7FA73B0}"/>
    <cellStyle name="Normal 5 2 4" xfId="432" xr:uid="{00000000-0005-0000-0000-0000D2180000}"/>
    <cellStyle name="Normal 5 2 4 10" xfId="9030" xr:uid="{7011CA89-9521-4777-920F-E7F6C3C0CAF3}"/>
    <cellStyle name="Normal 5 2 4 11" xfId="17474" xr:uid="{C32DD3E7-48C5-4FF2-A2E7-D497DA19F5F6}"/>
    <cellStyle name="Normal 5 2 4 2" xfId="433" xr:uid="{00000000-0005-0000-0000-0000D3180000}"/>
    <cellStyle name="Normal 5 2 4 2 10" xfId="17475" xr:uid="{CCB2471F-7A82-4980-8692-E26DA1F3FC2F}"/>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77F9F90C-FD7F-4551-A9F7-D15B2CB6C203}"/>
    <cellStyle name="Normal 5 2 4 2 2 2 2 2 3" xfId="24254" xr:uid="{B43E0E19-A50C-4F0B-BB88-488A4B7C8CD6}"/>
    <cellStyle name="Normal 5 2 4 2 2 2 2 3" xfId="11590" xr:uid="{A9D40C78-BA53-456B-A299-92536E6562CC}"/>
    <cellStyle name="Normal 5 2 4 2 2 2 2 4" xfId="20037" xr:uid="{A303BE4F-80BF-4ACA-BCE0-6BDDAFEB1085}"/>
    <cellStyle name="Normal 5 2 4 2 2 2 3" xfId="5221" xr:uid="{00000000-0005-0000-0000-0000D8180000}"/>
    <cellStyle name="Normal 5 2 4 2 2 2 3 2" xfId="13663" xr:uid="{CFB603CB-4924-4C72-9F0B-A0DF5841B8F8}"/>
    <cellStyle name="Normal 5 2 4 2 2 2 3 3" xfId="22109" xr:uid="{1E21BB16-3B7B-4058-90CA-CAF14929E9D9}"/>
    <cellStyle name="Normal 5 2 4 2 2 2 4" xfId="9445" xr:uid="{CFED3A21-8FC9-4E4A-985E-48753DDD9970}"/>
    <cellStyle name="Normal 5 2 4 2 2 2 5" xfId="17890" xr:uid="{2762BB2B-139C-42E0-9965-C9D8DB0DFBCB}"/>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DDBA26D6-7CB0-4E99-B135-05840BE775E3}"/>
    <cellStyle name="Normal 5 2 4 2 2 3 2 2 3" xfId="24667" xr:uid="{EC1C6A20-350B-41D0-A696-A0BDAEE03FD3}"/>
    <cellStyle name="Normal 5 2 4 2 2 3 2 3" xfId="12003" xr:uid="{4FEBE099-B4AB-4DB0-B108-10CF7F4B5E5E}"/>
    <cellStyle name="Normal 5 2 4 2 2 3 2 4" xfId="20450" xr:uid="{79F5CBD4-97B7-434D-837B-2418BAA3D1D7}"/>
    <cellStyle name="Normal 5 2 4 2 2 3 3" xfId="5634" xr:uid="{00000000-0005-0000-0000-0000DC180000}"/>
    <cellStyle name="Normal 5 2 4 2 2 3 3 2" xfId="14076" xr:uid="{35D99886-EFC7-47DF-9CD9-E7AA2D2A6861}"/>
    <cellStyle name="Normal 5 2 4 2 2 3 3 3" xfId="22522" xr:uid="{CDC98FF1-F627-4C85-9FBD-01C11DC7F311}"/>
    <cellStyle name="Normal 5 2 4 2 2 3 4" xfId="9858" xr:uid="{F47AA57F-3CC8-4061-AE77-B0E954FBD744}"/>
    <cellStyle name="Normal 5 2 4 2 2 3 5" xfId="18303" xr:uid="{46F9FE90-8106-4A6B-ABCE-EF3BBDC55C1B}"/>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DB2C57D2-5E27-4CE4-A0B9-734F10277FA1}"/>
    <cellStyle name="Normal 5 2 4 2 2 4 2 2 3" xfId="25080" xr:uid="{A9D9C43E-3CFC-4816-AE85-CD3C251C2D6B}"/>
    <cellStyle name="Normal 5 2 4 2 2 4 2 3" xfId="12416" xr:uid="{EF074CB1-F81C-40AE-A018-0EA657C8835B}"/>
    <cellStyle name="Normal 5 2 4 2 2 4 2 4" xfId="20863" xr:uid="{5B60C2EB-E5D5-4800-BDAE-98ED37144100}"/>
    <cellStyle name="Normal 5 2 4 2 2 4 3" xfId="6047" xr:uid="{00000000-0005-0000-0000-0000E0180000}"/>
    <cellStyle name="Normal 5 2 4 2 2 4 3 2" xfId="14489" xr:uid="{9053B068-087E-47AA-9A05-C2A4971E2DC7}"/>
    <cellStyle name="Normal 5 2 4 2 2 4 3 3" xfId="22935" xr:uid="{7D522F92-9964-4212-BDC7-837972B94632}"/>
    <cellStyle name="Normal 5 2 4 2 2 4 4" xfId="10271" xr:uid="{53C0D477-9199-4CA0-A824-4AA3D0953EF7}"/>
    <cellStyle name="Normal 5 2 4 2 2 4 5" xfId="18716" xr:uid="{6DFF00CC-6122-4AAC-A02D-9C4F14618D16}"/>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78EFD979-41DF-490F-AEA8-2AA7E78D3B74}"/>
    <cellStyle name="Normal 5 2 4 2 2 5 2 2 3" xfId="25493" xr:uid="{4282900A-E60D-4774-AD19-1069DAC90C4D}"/>
    <cellStyle name="Normal 5 2 4 2 2 5 2 3" xfId="12829" xr:uid="{CA295C65-0A5C-43FD-9DFC-4ABC39DF8107}"/>
    <cellStyle name="Normal 5 2 4 2 2 5 2 4" xfId="21276" xr:uid="{B52BFAC2-42DD-414E-8408-FF52D288F270}"/>
    <cellStyle name="Normal 5 2 4 2 2 5 3" xfId="6460" xr:uid="{00000000-0005-0000-0000-0000E4180000}"/>
    <cellStyle name="Normal 5 2 4 2 2 5 3 2" xfId="14902" xr:uid="{73A5107A-2A1D-414D-B7AE-B49360FD132F}"/>
    <cellStyle name="Normal 5 2 4 2 2 5 3 3" xfId="23348" xr:uid="{509378D3-6684-4FEA-BA7B-F5503B86E4CA}"/>
    <cellStyle name="Normal 5 2 4 2 2 5 4" xfId="10684" xr:uid="{037B5212-A82D-4A42-B3FC-56B02F7C8559}"/>
    <cellStyle name="Normal 5 2 4 2 2 5 5" xfId="19129" xr:uid="{090E3329-9D68-43E7-97EF-7122EE937B28}"/>
    <cellStyle name="Normal 5 2 4 2 2 6" xfId="2589" xr:uid="{00000000-0005-0000-0000-0000E5180000}"/>
    <cellStyle name="Normal 5 2 4 2 2 6 2" xfId="6873" xr:uid="{00000000-0005-0000-0000-0000E6180000}"/>
    <cellStyle name="Normal 5 2 4 2 2 6 2 2" xfId="15315" xr:uid="{BCE8EDF6-5214-4885-B46D-1060455C0D0A}"/>
    <cellStyle name="Normal 5 2 4 2 2 6 2 3" xfId="23761" xr:uid="{4B5022B5-B63E-4967-B2F3-958FD18C1BB7}"/>
    <cellStyle name="Normal 5 2 4 2 2 6 3" xfId="11097" xr:uid="{F6CA9EEE-F7BB-4408-B8C3-5EAD9F6A25C1}"/>
    <cellStyle name="Normal 5 2 4 2 2 6 4" xfId="19542" xr:uid="{968D83FC-D08C-4F4B-B0DE-4ADE8D5E5A23}"/>
    <cellStyle name="Normal 5 2 4 2 2 7" xfId="4808" xr:uid="{00000000-0005-0000-0000-0000E7180000}"/>
    <cellStyle name="Normal 5 2 4 2 2 7 2" xfId="13250" xr:uid="{9B9FDBE5-B3D8-43A8-B3DA-89643FCD94B3}"/>
    <cellStyle name="Normal 5 2 4 2 2 7 3" xfId="21696" xr:uid="{46702041-9454-4A85-9206-14C745BB0A0F}"/>
    <cellStyle name="Normal 5 2 4 2 2 8" xfId="9032" xr:uid="{5B2893E0-CEA5-4C0F-8F17-6EC85ECD2840}"/>
    <cellStyle name="Normal 5 2 4 2 2 9" xfId="17476" xr:uid="{0C286007-53D4-4B01-96E9-5F8C3C2FD513}"/>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46B77C5E-B0F6-4FA9-B924-D0CA29B3781B}"/>
    <cellStyle name="Normal 5 2 4 2 3 2 2 3" xfId="24253" xr:uid="{0110ACD3-B063-47DA-9756-B1E2DA7EC4EA}"/>
    <cellStyle name="Normal 5 2 4 2 3 2 3" xfId="11589" xr:uid="{956B0119-EF08-4A17-99D5-D230984A6E23}"/>
    <cellStyle name="Normal 5 2 4 2 3 2 4" xfId="20036" xr:uid="{9D317C20-1E41-4B3B-8D05-7B4AC7E375EA}"/>
    <cellStyle name="Normal 5 2 4 2 3 3" xfId="5220" xr:uid="{00000000-0005-0000-0000-0000EB180000}"/>
    <cellStyle name="Normal 5 2 4 2 3 3 2" xfId="13662" xr:uid="{D4C08FA2-79F8-4E36-BC07-F2030879F50C}"/>
    <cellStyle name="Normal 5 2 4 2 3 3 3" xfId="22108" xr:uid="{C688074B-F697-464B-B21A-D22DCF6CBCA6}"/>
    <cellStyle name="Normal 5 2 4 2 3 4" xfId="9444" xr:uid="{154C16DB-F6C2-483F-B7D4-A53C2F39CC01}"/>
    <cellStyle name="Normal 5 2 4 2 3 5" xfId="17889" xr:uid="{473E0D49-4B3A-4BFE-93D5-7F37BCE4D942}"/>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CA0309EA-E1B5-449B-A5E6-B409FF2A06D4}"/>
    <cellStyle name="Normal 5 2 4 2 4 2 2 3" xfId="24666" xr:uid="{B69D3D9F-F000-4A8C-859A-077AE5B53CE3}"/>
    <cellStyle name="Normal 5 2 4 2 4 2 3" xfId="12002" xr:uid="{8B658E40-2A50-48BB-B020-2A131E006A3D}"/>
    <cellStyle name="Normal 5 2 4 2 4 2 4" xfId="20449" xr:uid="{8C3A09B9-98D8-4034-B49C-ADAC28A71C48}"/>
    <cellStyle name="Normal 5 2 4 2 4 3" xfId="5633" xr:uid="{00000000-0005-0000-0000-0000EF180000}"/>
    <cellStyle name="Normal 5 2 4 2 4 3 2" xfId="14075" xr:uid="{B900320E-8793-4834-9C12-745E8C178ABF}"/>
    <cellStyle name="Normal 5 2 4 2 4 3 3" xfId="22521" xr:uid="{DBE03A7E-E391-4BB5-BEAD-3FC7812B3590}"/>
    <cellStyle name="Normal 5 2 4 2 4 4" xfId="9857" xr:uid="{24851A02-8DE2-453D-9E61-451552339C1F}"/>
    <cellStyle name="Normal 5 2 4 2 4 5" xfId="18302" xr:uid="{E632F1C3-1546-4E74-9359-B9B272E83E76}"/>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8A4E7FF0-29F0-432A-8EA3-7FF91D5B0C6D}"/>
    <cellStyle name="Normal 5 2 4 2 5 2 2 3" xfId="25079" xr:uid="{262A76AC-DCAC-46F4-8F6B-3BD75371CEAB}"/>
    <cellStyle name="Normal 5 2 4 2 5 2 3" xfId="12415" xr:uid="{22B3ECED-F41C-4441-AEF5-B0C6EE7A064A}"/>
    <cellStyle name="Normal 5 2 4 2 5 2 4" xfId="20862" xr:uid="{721E9DD5-1BA4-4D3F-8540-474208684E65}"/>
    <cellStyle name="Normal 5 2 4 2 5 3" xfId="6046" xr:uid="{00000000-0005-0000-0000-0000F3180000}"/>
    <cellStyle name="Normal 5 2 4 2 5 3 2" xfId="14488" xr:uid="{EB9FEB80-60F6-4DE3-85B2-F8402200229B}"/>
    <cellStyle name="Normal 5 2 4 2 5 3 3" xfId="22934" xr:uid="{EEC6BDD9-923B-43BD-A0BC-A9651BF4703A}"/>
    <cellStyle name="Normal 5 2 4 2 5 4" xfId="10270" xr:uid="{C9E60C0C-4343-4252-B94C-BC2E367CAEB4}"/>
    <cellStyle name="Normal 5 2 4 2 5 5" xfId="18715" xr:uid="{DF625F28-7552-44F3-A6E7-A3008A345402}"/>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43C20DF1-DD37-4394-B2A0-53CEB45D2F36}"/>
    <cellStyle name="Normal 5 2 4 2 6 2 2 3" xfId="25492" xr:uid="{E4F5CE52-716D-46BC-81E2-3D217FD12ECA}"/>
    <cellStyle name="Normal 5 2 4 2 6 2 3" xfId="12828" xr:uid="{BAC36DBD-37D2-4D4D-82AF-EE1E43717CE5}"/>
    <cellStyle name="Normal 5 2 4 2 6 2 4" xfId="21275" xr:uid="{87015AD8-FBAF-409A-B2C8-54D0501EC1A9}"/>
    <cellStyle name="Normal 5 2 4 2 6 3" xfId="6459" xr:uid="{00000000-0005-0000-0000-0000F7180000}"/>
    <cellStyle name="Normal 5 2 4 2 6 3 2" xfId="14901" xr:uid="{99B62F10-607C-4D92-A994-9DE70FD410ED}"/>
    <cellStyle name="Normal 5 2 4 2 6 3 3" xfId="23347" xr:uid="{8B5B9AC8-0876-4FA7-82F7-6F7E6446DC96}"/>
    <cellStyle name="Normal 5 2 4 2 6 4" xfId="10683" xr:uid="{F390C37B-470F-41D3-8B17-A2F59F05CE07}"/>
    <cellStyle name="Normal 5 2 4 2 6 5" xfId="19128" xr:uid="{C42AF121-122D-4535-9F31-4531A0F9435E}"/>
    <cellStyle name="Normal 5 2 4 2 7" xfId="2588" xr:uid="{00000000-0005-0000-0000-0000F8180000}"/>
    <cellStyle name="Normal 5 2 4 2 7 2" xfId="6872" xr:uid="{00000000-0005-0000-0000-0000F9180000}"/>
    <cellStyle name="Normal 5 2 4 2 7 2 2" xfId="15314" xr:uid="{2BE5BF64-9984-4815-84D4-90605918945C}"/>
    <cellStyle name="Normal 5 2 4 2 7 2 3" xfId="23760" xr:uid="{5224552B-C2C5-427C-BBD1-53A122A576A3}"/>
    <cellStyle name="Normal 5 2 4 2 7 3" xfId="11096" xr:uid="{E65DFD88-B9BC-4B47-9821-250FB6BEF52B}"/>
    <cellStyle name="Normal 5 2 4 2 7 4" xfId="19541" xr:uid="{DD1C7055-CCA0-4C0C-B2FC-538882EBBC30}"/>
    <cellStyle name="Normal 5 2 4 2 8" xfId="4807" xr:uid="{00000000-0005-0000-0000-0000FA180000}"/>
    <cellStyle name="Normal 5 2 4 2 8 2" xfId="13249" xr:uid="{343BE58A-3C9A-4A47-80EB-59CA471DCD39}"/>
    <cellStyle name="Normal 5 2 4 2 8 3" xfId="21695" xr:uid="{8BA7200D-68F2-40C5-AAC2-A3E4501DC744}"/>
    <cellStyle name="Normal 5 2 4 2 9" xfId="9031" xr:uid="{2159E046-14AB-4BFB-B323-668449C8DAF4}"/>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7973A723-3C6C-40AF-8B9F-00337F044732}"/>
    <cellStyle name="Normal 5 2 4 3 2 2 2 3" xfId="24255" xr:uid="{12CB086E-5072-4ED9-A368-1B2BE7D0A968}"/>
    <cellStyle name="Normal 5 2 4 3 2 2 3" xfId="11591" xr:uid="{94F80D0E-6FAB-45D4-AED2-FE329857428C}"/>
    <cellStyle name="Normal 5 2 4 3 2 2 4" xfId="20038" xr:uid="{D5F85B8D-14D3-4C99-834F-237BA9B9A5B0}"/>
    <cellStyle name="Normal 5 2 4 3 2 3" xfId="5222" xr:uid="{00000000-0005-0000-0000-0000FF180000}"/>
    <cellStyle name="Normal 5 2 4 3 2 3 2" xfId="13664" xr:uid="{BBA83DF8-2F51-4B39-8A7E-4D50432C9A81}"/>
    <cellStyle name="Normal 5 2 4 3 2 3 3" xfId="22110" xr:uid="{8D06C5CE-1863-466B-B5F0-A6F7898A5FE5}"/>
    <cellStyle name="Normal 5 2 4 3 2 4" xfId="9446" xr:uid="{00603657-2373-458E-9523-21544CD1028E}"/>
    <cellStyle name="Normal 5 2 4 3 2 5" xfId="17891" xr:uid="{3CA10189-4E8D-4B0B-A6AA-5AC06CE1EB55}"/>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B348220C-2775-419A-BEA3-584FA143B8B5}"/>
    <cellStyle name="Normal 5 2 4 3 3 2 2 3" xfId="24668" xr:uid="{D308774F-822B-491B-B393-50378EC14768}"/>
    <cellStyle name="Normal 5 2 4 3 3 2 3" xfId="12004" xr:uid="{DE4DE308-1ECE-4C25-AE11-765DE9B0CF60}"/>
    <cellStyle name="Normal 5 2 4 3 3 2 4" xfId="20451" xr:uid="{CDA83E53-BAE2-4BB9-BF88-0978848E39CD}"/>
    <cellStyle name="Normal 5 2 4 3 3 3" xfId="5635" xr:uid="{00000000-0005-0000-0000-000003190000}"/>
    <cellStyle name="Normal 5 2 4 3 3 3 2" xfId="14077" xr:uid="{1E30A484-19E2-4440-B2B2-97BC354E7405}"/>
    <cellStyle name="Normal 5 2 4 3 3 3 3" xfId="22523" xr:uid="{A3995172-524D-424A-8A8F-FE7EE4D8B948}"/>
    <cellStyle name="Normal 5 2 4 3 3 4" xfId="9859" xr:uid="{5DF63A8D-302B-49ED-8CD5-6A79A6306692}"/>
    <cellStyle name="Normal 5 2 4 3 3 5" xfId="18304" xr:uid="{8183E37E-B0E6-4BE9-AA15-F7582B306CE7}"/>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F14C844B-134D-4962-9FC1-268F00899E00}"/>
    <cellStyle name="Normal 5 2 4 3 4 2 2 3" xfId="25081" xr:uid="{B6D30842-1FA8-49F4-B4F5-A115AF4EB7D9}"/>
    <cellStyle name="Normal 5 2 4 3 4 2 3" xfId="12417" xr:uid="{C56E26C7-2DEA-4224-B5EE-314C8A239984}"/>
    <cellStyle name="Normal 5 2 4 3 4 2 4" xfId="20864" xr:uid="{13E21170-5B0B-4A92-939D-C170643E9C91}"/>
    <cellStyle name="Normal 5 2 4 3 4 3" xfId="6048" xr:uid="{00000000-0005-0000-0000-000007190000}"/>
    <cellStyle name="Normal 5 2 4 3 4 3 2" xfId="14490" xr:uid="{7FB79035-62AB-4974-8006-09815C4156A6}"/>
    <cellStyle name="Normal 5 2 4 3 4 3 3" xfId="22936" xr:uid="{34EA23C9-1549-4A3B-BF7D-9BA327ADAA2C}"/>
    <cellStyle name="Normal 5 2 4 3 4 4" xfId="10272" xr:uid="{091D28EA-ACDB-4F71-BD61-E144BAFDDE37}"/>
    <cellStyle name="Normal 5 2 4 3 4 5" xfId="18717" xr:uid="{BF5721A6-3E34-47D1-BC58-2F3AAFDC45D1}"/>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8A98EA19-D27A-40DA-8D94-DBF7FFFF47DA}"/>
    <cellStyle name="Normal 5 2 4 3 5 2 2 3" xfId="25494" xr:uid="{BF171AA8-4F29-4D5A-95F2-80295BE5381C}"/>
    <cellStyle name="Normal 5 2 4 3 5 2 3" xfId="12830" xr:uid="{9B71C180-57E1-4692-B081-371181A5AC77}"/>
    <cellStyle name="Normal 5 2 4 3 5 2 4" xfId="21277" xr:uid="{47EA39EA-94A8-44D7-BB80-4F3C5D191F30}"/>
    <cellStyle name="Normal 5 2 4 3 5 3" xfId="6461" xr:uid="{00000000-0005-0000-0000-00000B190000}"/>
    <cellStyle name="Normal 5 2 4 3 5 3 2" xfId="14903" xr:uid="{C34C7ADE-3D8D-44FF-9765-23C8762B5B14}"/>
    <cellStyle name="Normal 5 2 4 3 5 3 3" xfId="23349" xr:uid="{3D5785DF-DCAD-4443-B09C-E41FE0B1FB19}"/>
    <cellStyle name="Normal 5 2 4 3 5 4" xfId="10685" xr:uid="{90899AA0-5678-4B3C-95A7-63D705EA9668}"/>
    <cellStyle name="Normal 5 2 4 3 5 5" xfId="19130" xr:uid="{3E1B0AFF-248D-40A9-B116-4A4179B93D30}"/>
    <cellStyle name="Normal 5 2 4 3 6" xfId="2590" xr:uid="{00000000-0005-0000-0000-00000C190000}"/>
    <cellStyle name="Normal 5 2 4 3 6 2" xfId="6874" xr:uid="{00000000-0005-0000-0000-00000D190000}"/>
    <cellStyle name="Normal 5 2 4 3 6 2 2" xfId="15316" xr:uid="{1B982090-245B-4962-80FB-C5850A3E4B5B}"/>
    <cellStyle name="Normal 5 2 4 3 6 2 3" xfId="23762" xr:uid="{183FC8B9-6D4E-4D11-A33A-5349F3966CA2}"/>
    <cellStyle name="Normal 5 2 4 3 6 3" xfId="11098" xr:uid="{EB4CF8EA-819B-4DC2-9D27-16D4AC18A576}"/>
    <cellStyle name="Normal 5 2 4 3 6 4" xfId="19543" xr:uid="{6D3699E0-807E-40D4-BE22-01C8778D32FB}"/>
    <cellStyle name="Normal 5 2 4 3 7" xfId="4809" xr:uid="{00000000-0005-0000-0000-00000E190000}"/>
    <cellStyle name="Normal 5 2 4 3 7 2" xfId="13251" xr:uid="{D111A75B-7BFE-4474-BAA7-A37C62F2E17B}"/>
    <cellStyle name="Normal 5 2 4 3 7 3" xfId="21697" xr:uid="{23D9BEB5-5493-4F98-96CC-CAFD4D64E2AF}"/>
    <cellStyle name="Normal 5 2 4 3 8" xfId="9033" xr:uid="{0235D215-223D-4B33-ABBC-CD8A710C91F5}"/>
    <cellStyle name="Normal 5 2 4 3 9" xfId="17477" xr:uid="{8F8270AF-6823-4563-AF6B-5BE9BB118488}"/>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89E4B64B-9C50-46FE-8419-1C03B8AD5221}"/>
    <cellStyle name="Normal 5 2 4 4 2 2 3" xfId="24252" xr:uid="{3084B540-CFBF-4729-9CF9-A478687F77D6}"/>
    <cellStyle name="Normal 5 2 4 4 2 3" xfId="11588" xr:uid="{2F42C720-DBED-4AF0-BE93-363661987D16}"/>
    <cellStyle name="Normal 5 2 4 4 2 4" xfId="20035" xr:uid="{DA5F0BC5-78B6-4637-B82C-0054D5DE599A}"/>
    <cellStyle name="Normal 5 2 4 4 3" xfId="5219" xr:uid="{00000000-0005-0000-0000-000012190000}"/>
    <cellStyle name="Normal 5 2 4 4 3 2" xfId="13661" xr:uid="{8634432F-811C-4A27-98CE-8EBC0251D435}"/>
    <cellStyle name="Normal 5 2 4 4 3 3" xfId="22107" xr:uid="{A1C59E20-B471-464E-9341-9D85FCCBE3BA}"/>
    <cellStyle name="Normal 5 2 4 4 4" xfId="9443" xr:uid="{97EF2B34-9654-41C1-BA0D-13867EC11D6A}"/>
    <cellStyle name="Normal 5 2 4 4 5" xfId="17888" xr:uid="{45AFD300-E7B4-454F-8743-B76A49F9169A}"/>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AE83B2A9-858D-42A8-A74C-4123A3194C26}"/>
    <cellStyle name="Normal 5 2 4 5 2 2 3" xfId="24665" xr:uid="{BC53EE86-EFFD-402C-A2B1-2D9CAD43A147}"/>
    <cellStyle name="Normal 5 2 4 5 2 3" xfId="12001" xr:uid="{C9D6F105-57F0-4222-B180-0E485857D30D}"/>
    <cellStyle name="Normal 5 2 4 5 2 4" xfId="20448" xr:uid="{F1E35966-479E-4D21-ACA9-399E515C399E}"/>
    <cellStyle name="Normal 5 2 4 5 3" xfId="5632" xr:uid="{00000000-0005-0000-0000-000016190000}"/>
    <cellStyle name="Normal 5 2 4 5 3 2" xfId="14074" xr:uid="{C18CDD1C-49A4-484A-9710-472688629804}"/>
    <cellStyle name="Normal 5 2 4 5 3 3" xfId="22520" xr:uid="{57CF5C34-27A0-44BE-AFB4-5F2416E20B65}"/>
    <cellStyle name="Normal 5 2 4 5 4" xfId="9856" xr:uid="{1BB517A1-DB8E-490E-BDBE-16A65D1FA2D0}"/>
    <cellStyle name="Normal 5 2 4 5 5" xfId="18301" xr:uid="{2A309479-B60F-4B02-A82B-70703B3D5FA4}"/>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F1397775-9C3F-4835-A509-2D012AECF051}"/>
    <cellStyle name="Normal 5 2 4 6 2 2 3" xfId="25078" xr:uid="{A3651767-0DDB-4CA2-8947-83FB03E6346E}"/>
    <cellStyle name="Normal 5 2 4 6 2 3" xfId="12414" xr:uid="{B5C79C46-AD61-4531-98C6-1E6EF5968BF2}"/>
    <cellStyle name="Normal 5 2 4 6 2 4" xfId="20861" xr:uid="{9E10682E-6C3D-40BA-977F-0F1D82947A1B}"/>
    <cellStyle name="Normal 5 2 4 6 3" xfId="6045" xr:uid="{00000000-0005-0000-0000-00001A190000}"/>
    <cellStyle name="Normal 5 2 4 6 3 2" xfId="14487" xr:uid="{17B6EE22-E445-485F-AADC-F9EC51D0A21C}"/>
    <cellStyle name="Normal 5 2 4 6 3 3" xfId="22933" xr:uid="{A35F1A1D-4AB5-49AE-A0B3-515CB7BC3128}"/>
    <cellStyle name="Normal 5 2 4 6 4" xfId="10269" xr:uid="{14486648-9ACC-4F01-82F4-02DAA5A32656}"/>
    <cellStyle name="Normal 5 2 4 6 5" xfId="18714" xr:uid="{0146FB25-099B-415A-8222-EC8B010489E5}"/>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784B80C8-DC2F-4386-BBB9-43095DB7BDBD}"/>
    <cellStyle name="Normal 5 2 4 7 2 2 3" xfId="25491" xr:uid="{1F4BB2A8-CF6B-4800-A48E-52BD753F752F}"/>
    <cellStyle name="Normal 5 2 4 7 2 3" xfId="12827" xr:uid="{FF93472E-E919-40EF-B27E-ACF49FFC8B3C}"/>
    <cellStyle name="Normal 5 2 4 7 2 4" xfId="21274" xr:uid="{5DFC2BE6-5E20-4C8E-B228-C85503565B2D}"/>
    <cellStyle name="Normal 5 2 4 7 3" xfId="6458" xr:uid="{00000000-0005-0000-0000-00001E190000}"/>
    <cellStyle name="Normal 5 2 4 7 3 2" xfId="14900" xr:uid="{0E3FB303-3DDF-4814-9429-D1ACFFF7A810}"/>
    <cellStyle name="Normal 5 2 4 7 3 3" xfId="23346" xr:uid="{4EDDDF98-EF90-45EC-98ED-3BC433BDD278}"/>
    <cellStyle name="Normal 5 2 4 7 4" xfId="10682" xr:uid="{0DE9C658-67CB-4C1D-A45C-8BB764D20730}"/>
    <cellStyle name="Normal 5 2 4 7 5" xfId="19127" xr:uid="{29579481-0294-40F9-97CA-42D49BC4EE87}"/>
    <cellStyle name="Normal 5 2 4 8" xfId="2587" xr:uid="{00000000-0005-0000-0000-00001F190000}"/>
    <cellStyle name="Normal 5 2 4 8 2" xfId="6871" xr:uid="{00000000-0005-0000-0000-000020190000}"/>
    <cellStyle name="Normal 5 2 4 8 2 2" xfId="15313" xr:uid="{7AB3DD45-A74A-4B59-A977-0C19A60ED597}"/>
    <cellStyle name="Normal 5 2 4 8 2 3" xfId="23759" xr:uid="{23D62E10-256E-414E-991E-BA5363DACA3C}"/>
    <cellStyle name="Normal 5 2 4 8 3" xfId="11095" xr:uid="{F1E5202B-B70F-4A6B-AAB5-AEC1592DBB64}"/>
    <cellStyle name="Normal 5 2 4 8 4" xfId="19540" xr:uid="{C766CACC-09B5-49F8-9566-6D562099AC50}"/>
    <cellStyle name="Normal 5 2 4 9" xfId="4806" xr:uid="{00000000-0005-0000-0000-000021190000}"/>
    <cellStyle name="Normal 5 2 4 9 2" xfId="13248" xr:uid="{7E3C4FB0-1363-4C62-B01C-CAC2FB16D7DC}"/>
    <cellStyle name="Normal 5 2 4 9 3" xfId="21694" xr:uid="{5E654E15-17B8-43F3-B8B5-F7065445F977}"/>
    <cellStyle name="Normal 5 2 5" xfId="436" xr:uid="{00000000-0005-0000-0000-000022190000}"/>
    <cellStyle name="Normal 5 2 5 10" xfId="17478" xr:uid="{EC6B441C-3758-4F2B-955A-75404947F8E8}"/>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6927E50D-A7D8-4C6F-BBEF-33C61E94B0FF}"/>
    <cellStyle name="Normal 5 2 5 2 2 2 2 3" xfId="24257" xr:uid="{9F8509C9-89C5-4429-84C0-AB81E52A0904}"/>
    <cellStyle name="Normal 5 2 5 2 2 2 3" xfId="11593" xr:uid="{1E4515B7-4743-4A7B-8DEE-844DD22DFE4D}"/>
    <cellStyle name="Normal 5 2 5 2 2 2 4" xfId="20040" xr:uid="{2120927C-870C-4888-8DB3-6D17FDD71F1B}"/>
    <cellStyle name="Normal 5 2 5 2 2 3" xfId="5224" xr:uid="{00000000-0005-0000-0000-000027190000}"/>
    <cellStyle name="Normal 5 2 5 2 2 3 2" xfId="13666" xr:uid="{676CA997-75A7-4C30-A9C5-6BB589C41E43}"/>
    <cellStyle name="Normal 5 2 5 2 2 3 3" xfId="22112" xr:uid="{43EA4ECA-B15C-47AE-BE38-5BEED9560CC3}"/>
    <cellStyle name="Normal 5 2 5 2 2 4" xfId="9448" xr:uid="{DA4A9ECA-2D3B-4155-92A8-E7868D741050}"/>
    <cellStyle name="Normal 5 2 5 2 2 5" xfId="17893" xr:uid="{F6F09DD8-F517-4173-92CF-ED942E986A39}"/>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8C120B11-E408-438B-BF40-7C52223C4C19}"/>
    <cellStyle name="Normal 5 2 5 2 3 2 2 3" xfId="24670" xr:uid="{0FD992CF-8D24-49A9-9E0E-524AF859E017}"/>
    <cellStyle name="Normal 5 2 5 2 3 2 3" xfId="12006" xr:uid="{92260DED-6039-44C0-A7FF-919328311FBD}"/>
    <cellStyle name="Normal 5 2 5 2 3 2 4" xfId="20453" xr:uid="{7AC557FD-02FF-44C0-AD15-77286EDBE406}"/>
    <cellStyle name="Normal 5 2 5 2 3 3" xfId="5637" xr:uid="{00000000-0005-0000-0000-00002B190000}"/>
    <cellStyle name="Normal 5 2 5 2 3 3 2" xfId="14079" xr:uid="{3A3AF5C7-9FD6-44BF-A5F0-0CA394F62226}"/>
    <cellStyle name="Normal 5 2 5 2 3 3 3" xfId="22525" xr:uid="{868E49EB-0BD5-45B6-944A-9F9D036DB820}"/>
    <cellStyle name="Normal 5 2 5 2 3 4" xfId="9861" xr:uid="{5F94CFB6-9C32-41E3-937C-36FEA53F8E58}"/>
    <cellStyle name="Normal 5 2 5 2 3 5" xfId="18306" xr:uid="{BCBD5F44-6ABB-4F1C-8C84-8D1CA45E808D}"/>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0ADB4A63-9E22-47D2-AE34-CCD449E93514}"/>
    <cellStyle name="Normal 5 2 5 2 4 2 2 3" xfId="25083" xr:uid="{4094BE55-CB31-4708-B021-36AAD11AF90F}"/>
    <cellStyle name="Normal 5 2 5 2 4 2 3" xfId="12419" xr:uid="{E1B15723-416B-4488-8A21-A657FD8D08F6}"/>
    <cellStyle name="Normal 5 2 5 2 4 2 4" xfId="20866" xr:uid="{C21B9F44-7F9A-4FA3-BFC6-01D0E92E9AEF}"/>
    <cellStyle name="Normal 5 2 5 2 4 3" xfId="6050" xr:uid="{00000000-0005-0000-0000-00002F190000}"/>
    <cellStyle name="Normal 5 2 5 2 4 3 2" xfId="14492" xr:uid="{E15F5828-6464-46C3-9902-4AE7609D3AA6}"/>
    <cellStyle name="Normal 5 2 5 2 4 3 3" xfId="22938" xr:uid="{6DF3F8B5-F493-4D60-9585-7136834AFD01}"/>
    <cellStyle name="Normal 5 2 5 2 4 4" xfId="10274" xr:uid="{DA8E17CA-CA24-45B2-BFD5-60A4201C7583}"/>
    <cellStyle name="Normal 5 2 5 2 4 5" xfId="18719" xr:uid="{03C73B77-61A5-4F9F-834D-828916963BB3}"/>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610D9D84-36A8-49F3-B1BE-6B75006235F2}"/>
    <cellStyle name="Normal 5 2 5 2 5 2 2 3" xfId="25496" xr:uid="{45D7BA8D-C9AE-4030-B442-47E5C682E5BB}"/>
    <cellStyle name="Normal 5 2 5 2 5 2 3" xfId="12832" xr:uid="{C4BBC95B-CEE7-4C82-8DCB-9B9D5BC982D2}"/>
    <cellStyle name="Normal 5 2 5 2 5 2 4" xfId="21279" xr:uid="{0634CCFA-382D-4AC3-A2FF-F14363143143}"/>
    <cellStyle name="Normal 5 2 5 2 5 3" xfId="6463" xr:uid="{00000000-0005-0000-0000-000033190000}"/>
    <cellStyle name="Normal 5 2 5 2 5 3 2" xfId="14905" xr:uid="{18CD4B95-0276-43CF-BB91-6C0E15BA32F1}"/>
    <cellStyle name="Normal 5 2 5 2 5 3 3" xfId="23351" xr:uid="{9819EE9B-1E11-419B-9207-ECE54DB65110}"/>
    <cellStyle name="Normal 5 2 5 2 5 4" xfId="10687" xr:uid="{6B541A79-A706-4CFA-8FF8-55434865C3BF}"/>
    <cellStyle name="Normal 5 2 5 2 5 5" xfId="19132" xr:uid="{B8A091B6-BFCF-4CBE-AABD-548FAD2BD527}"/>
    <cellStyle name="Normal 5 2 5 2 6" xfId="2592" xr:uid="{00000000-0005-0000-0000-000034190000}"/>
    <cellStyle name="Normal 5 2 5 2 6 2" xfId="6876" xr:uid="{00000000-0005-0000-0000-000035190000}"/>
    <cellStyle name="Normal 5 2 5 2 6 2 2" xfId="15318" xr:uid="{ED335AF6-B69F-4692-84BA-798907039508}"/>
    <cellStyle name="Normal 5 2 5 2 6 2 3" xfId="23764" xr:uid="{9BBB589B-A9ED-4A9F-B714-D7A716D2AA0A}"/>
    <cellStyle name="Normal 5 2 5 2 6 3" xfId="11100" xr:uid="{8041F88C-EA17-4AC7-9DB2-78D2454E4698}"/>
    <cellStyle name="Normal 5 2 5 2 6 4" xfId="19545" xr:uid="{C1603120-315E-41A2-8BB6-880DBB623BE7}"/>
    <cellStyle name="Normal 5 2 5 2 7" xfId="4811" xr:uid="{00000000-0005-0000-0000-000036190000}"/>
    <cellStyle name="Normal 5 2 5 2 7 2" xfId="13253" xr:uid="{5B213F2E-D78A-4261-AE4C-67CF4DCFC3E1}"/>
    <cellStyle name="Normal 5 2 5 2 7 3" xfId="21699" xr:uid="{8BF20AE5-650C-4138-B214-3BBA811E10A4}"/>
    <cellStyle name="Normal 5 2 5 2 8" xfId="9035" xr:uid="{3347D1D9-AC50-4119-AA19-7903AD577E94}"/>
    <cellStyle name="Normal 5 2 5 2 9" xfId="17479" xr:uid="{8F84B52E-9303-412E-9B61-AA2A9B07FA46}"/>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DE438739-CA4F-4C32-9EE4-474E45539201}"/>
    <cellStyle name="Normal 5 2 5 3 2 2 3" xfId="24256" xr:uid="{F1E3E436-3214-4F59-BFBC-889CF91FE7EE}"/>
    <cellStyle name="Normal 5 2 5 3 2 3" xfId="11592" xr:uid="{2B176771-ADA7-4454-908A-E14EDAFED035}"/>
    <cellStyle name="Normal 5 2 5 3 2 4" xfId="20039" xr:uid="{C01F4C01-1F8C-4152-BC7A-F6461FD3D3AD}"/>
    <cellStyle name="Normal 5 2 5 3 3" xfId="5223" xr:uid="{00000000-0005-0000-0000-00003A190000}"/>
    <cellStyle name="Normal 5 2 5 3 3 2" xfId="13665" xr:uid="{21159F36-5152-49B6-AF51-55EEA7443A04}"/>
    <cellStyle name="Normal 5 2 5 3 3 3" xfId="22111" xr:uid="{66A030CC-6857-483D-BE66-0724ACFB21FB}"/>
    <cellStyle name="Normal 5 2 5 3 4" xfId="9447" xr:uid="{02ED156C-B779-46C7-866F-6B89929436FD}"/>
    <cellStyle name="Normal 5 2 5 3 5" xfId="17892" xr:uid="{2E9EC9AF-CF18-4A85-870A-EA52EB54E8FF}"/>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6CEA9A01-AD51-47FD-9191-14957357DBA4}"/>
    <cellStyle name="Normal 5 2 5 4 2 2 3" xfId="24669" xr:uid="{7AD39060-82E9-4072-8C29-580B604184C2}"/>
    <cellStyle name="Normal 5 2 5 4 2 3" xfId="12005" xr:uid="{C9589A8D-FED0-46B1-9C14-29DB6F705650}"/>
    <cellStyle name="Normal 5 2 5 4 2 4" xfId="20452" xr:uid="{F9660F4F-C54A-41F8-A507-E2B6ADBCAFA9}"/>
    <cellStyle name="Normal 5 2 5 4 3" xfId="5636" xr:uid="{00000000-0005-0000-0000-00003E190000}"/>
    <cellStyle name="Normal 5 2 5 4 3 2" xfId="14078" xr:uid="{5113FE54-B443-4A47-98BE-FED17BAD660F}"/>
    <cellStyle name="Normal 5 2 5 4 3 3" xfId="22524" xr:uid="{F4749935-7B05-4DE6-96C7-3C3749AE66B2}"/>
    <cellStyle name="Normal 5 2 5 4 4" xfId="9860" xr:uid="{849BBC7E-2570-41E6-8950-974B2F33FB9D}"/>
    <cellStyle name="Normal 5 2 5 4 5" xfId="18305" xr:uid="{ED6C9641-4FFC-4001-93AA-990144839C94}"/>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79BBED9D-D206-4815-8373-CEA2B249D400}"/>
    <cellStyle name="Normal 5 2 5 5 2 2 3" xfId="25082" xr:uid="{FABC3D82-FE8C-41A7-B761-9117F0085C77}"/>
    <cellStyle name="Normal 5 2 5 5 2 3" xfId="12418" xr:uid="{64B78CA3-2205-4BB9-AE1E-A71F7AB97123}"/>
    <cellStyle name="Normal 5 2 5 5 2 4" xfId="20865" xr:uid="{29B582C7-F56B-4F4D-8C65-554DE6DF3B11}"/>
    <cellStyle name="Normal 5 2 5 5 3" xfId="6049" xr:uid="{00000000-0005-0000-0000-000042190000}"/>
    <cellStyle name="Normal 5 2 5 5 3 2" xfId="14491" xr:uid="{71247167-62C7-48D5-A993-B31268729499}"/>
    <cellStyle name="Normal 5 2 5 5 3 3" xfId="22937" xr:uid="{B2BE7DB4-0988-4207-BC11-79DFE7D3A105}"/>
    <cellStyle name="Normal 5 2 5 5 4" xfId="10273" xr:uid="{E79690CD-5FDE-4D97-BAE9-DDFB0F6FFF7A}"/>
    <cellStyle name="Normal 5 2 5 5 5" xfId="18718" xr:uid="{C812E872-1FBF-431E-91DE-6428633A83C9}"/>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153B802B-1C6B-4716-96BE-6655BB9E809B}"/>
    <cellStyle name="Normal 5 2 5 6 2 2 3" xfId="25495" xr:uid="{79F74303-DD04-4691-9BB2-494A53C1E365}"/>
    <cellStyle name="Normal 5 2 5 6 2 3" xfId="12831" xr:uid="{79656CF7-CCBD-4680-9F48-88304ECC0C81}"/>
    <cellStyle name="Normal 5 2 5 6 2 4" xfId="21278" xr:uid="{B40DB42E-36EC-41ED-82B2-3C52A24D9BE3}"/>
    <cellStyle name="Normal 5 2 5 6 3" xfId="6462" xr:uid="{00000000-0005-0000-0000-000046190000}"/>
    <cellStyle name="Normal 5 2 5 6 3 2" xfId="14904" xr:uid="{A5851342-3FD8-4E83-B422-E7375A49E617}"/>
    <cellStyle name="Normal 5 2 5 6 3 3" xfId="23350" xr:uid="{AF5F00C4-4DE8-4F29-BB88-CCC2B4318463}"/>
    <cellStyle name="Normal 5 2 5 6 4" xfId="10686" xr:uid="{638907AC-5E29-4DCF-A4A5-A30C94BA9E39}"/>
    <cellStyle name="Normal 5 2 5 6 5" xfId="19131" xr:uid="{4E7A1359-1B2E-4273-9D56-A66F2BE6BB4C}"/>
    <cellStyle name="Normal 5 2 5 7" xfId="2591" xr:uid="{00000000-0005-0000-0000-000047190000}"/>
    <cellStyle name="Normal 5 2 5 7 2" xfId="6875" xr:uid="{00000000-0005-0000-0000-000048190000}"/>
    <cellStyle name="Normal 5 2 5 7 2 2" xfId="15317" xr:uid="{442B45BE-26A8-49C9-AAC4-35E31577F7A0}"/>
    <cellStyle name="Normal 5 2 5 7 2 3" xfId="23763" xr:uid="{7F82AB56-26FA-460E-B961-4407016B7643}"/>
    <cellStyle name="Normal 5 2 5 7 3" xfId="11099" xr:uid="{9AAF561C-08E4-4F2E-B7A4-1C29E265B6B0}"/>
    <cellStyle name="Normal 5 2 5 7 4" xfId="19544" xr:uid="{AEB7D46C-E5AD-433C-A8C6-69CB5C90B064}"/>
    <cellStyle name="Normal 5 2 5 8" xfId="4810" xr:uid="{00000000-0005-0000-0000-000049190000}"/>
    <cellStyle name="Normal 5 2 5 8 2" xfId="13252" xr:uid="{9AC47F08-317E-4990-A803-830655A98D1F}"/>
    <cellStyle name="Normal 5 2 5 8 3" xfId="21698" xr:uid="{526C0FE8-710B-4434-8E5D-F476267F75B1}"/>
    <cellStyle name="Normal 5 2 5 9" xfId="9034" xr:uid="{F6C4F2CF-6737-4F78-B4F1-73852BCE3604}"/>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8E47ECB4-201B-4560-BD97-F04EACF2A4F9}"/>
    <cellStyle name="Normal 5 2 6 2 2 2 3" xfId="24258" xr:uid="{1804197D-163F-44C1-B42B-7AC4AAE100F5}"/>
    <cellStyle name="Normal 5 2 6 2 2 3" xfId="11594" xr:uid="{1BABAA10-2A7F-4D7D-A51D-DC5D84578E47}"/>
    <cellStyle name="Normal 5 2 6 2 2 4" xfId="20041" xr:uid="{4F460CEC-0552-4B5A-AAE3-D5E62CFA6A35}"/>
    <cellStyle name="Normal 5 2 6 2 3" xfId="5225" xr:uid="{00000000-0005-0000-0000-00004E190000}"/>
    <cellStyle name="Normal 5 2 6 2 3 2" xfId="13667" xr:uid="{D4F53BA8-0BF5-43F2-BDFC-276164117728}"/>
    <cellStyle name="Normal 5 2 6 2 3 3" xfId="22113" xr:uid="{554CE3BE-E72D-4658-B5FE-7A2FEC8655C0}"/>
    <cellStyle name="Normal 5 2 6 2 4" xfId="9449" xr:uid="{FC118256-4285-4087-B9E3-E068DF4997DD}"/>
    <cellStyle name="Normal 5 2 6 2 5" xfId="17894" xr:uid="{5D00DC46-A6CB-403F-9D75-6439A3FB5F7E}"/>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C2514374-F473-452D-B275-A6755F0B8C8D}"/>
    <cellStyle name="Normal 5 2 6 3 2 2 3" xfId="24671" xr:uid="{9654DA04-9A66-4773-8581-175FE4606769}"/>
    <cellStyle name="Normal 5 2 6 3 2 3" xfId="12007" xr:uid="{B4EA4CA8-6577-449A-8C6D-6A89EBCE56FD}"/>
    <cellStyle name="Normal 5 2 6 3 2 4" xfId="20454" xr:uid="{053164B9-259E-4B8D-A942-5DFA5E6BD00C}"/>
    <cellStyle name="Normal 5 2 6 3 3" xfId="5638" xr:uid="{00000000-0005-0000-0000-000052190000}"/>
    <cellStyle name="Normal 5 2 6 3 3 2" xfId="14080" xr:uid="{F036035F-5F7A-4AF8-9C81-1D8DF6A2323C}"/>
    <cellStyle name="Normal 5 2 6 3 3 3" xfId="22526" xr:uid="{174B75DF-41C2-49DC-B34D-3506D6BA802B}"/>
    <cellStyle name="Normal 5 2 6 3 4" xfId="9862" xr:uid="{AD619FE0-8CBD-4975-9669-DFB88A62C43F}"/>
    <cellStyle name="Normal 5 2 6 3 5" xfId="18307" xr:uid="{C9EBBD3B-DFF5-44B6-9A07-056098FF7248}"/>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81710B97-B8FE-46D0-80D9-21C54FC8212C}"/>
    <cellStyle name="Normal 5 2 6 4 2 2 3" xfId="25084" xr:uid="{731A79BA-139E-47B1-8183-23C7FC61EDB9}"/>
    <cellStyle name="Normal 5 2 6 4 2 3" xfId="12420" xr:uid="{097F207D-4D1A-4378-BAD6-73D456D0EBEB}"/>
    <cellStyle name="Normal 5 2 6 4 2 4" xfId="20867" xr:uid="{558861E7-0080-4D09-9B28-FE91393F85E0}"/>
    <cellStyle name="Normal 5 2 6 4 3" xfId="6051" xr:uid="{00000000-0005-0000-0000-000056190000}"/>
    <cellStyle name="Normal 5 2 6 4 3 2" xfId="14493" xr:uid="{87532DD4-A164-42CD-A9A8-EA86074E2ADC}"/>
    <cellStyle name="Normal 5 2 6 4 3 3" xfId="22939" xr:uid="{8974BDDC-F223-4A83-844C-C0799F7C50B1}"/>
    <cellStyle name="Normal 5 2 6 4 4" xfId="10275" xr:uid="{618327EB-5B28-4BB1-A262-D00F32F5BE63}"/>
    <cellStyle name="Normal 5 2 6 4 5" xfId="18720" xr:uid="{CF087A5A-D6F3-46FB-AEC4-B5EA7FD4B7DA}"/>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B9485495-CC93-44FA-8891-A418129300A9}"/>
    <cellStyle name="Normal 5 2 6 5 2 2 3" xfId="25497" xr:uid="{5B70ECE9-0965-4E24-AF0A-6B9298795772}"/>
    <cellStyle name="Normal 5 2 6 5 2 3" xfId="12833" xr:uid="{679AAA83-B380-4A2C-8966-500619DB0A8D}"/>
    <cellStyle name="Normal 5 2 6 5 2 4" xfId="21280" xr:uid="{EB0B68AD-1896-4AE0-B740-37188C7124AF}"/>
    <cellStyle name="Normal 5 2 6 5 3" xfId="6464" xr:uid="{00000000-0005-0000-0000-00005A190000}"/>
    <cellStyle name="Normal 5 2 6 5 3 2" xfId="14906" xr:uid="{C3AED0F4-E1C7-4BA1-945D-8A38255779EE}"/>
    <cellStyle name="Normal 5 2 6 5 3 3" xfId="23352" xr:uid="{EDE5D3D4-B96D-4D74-BF3E-A4A5F20776AB}"/>
    <cellStyle name="Normal 5 2 6 5 4" xfId="10688" xr:uid="{54A5A1BA-7B73-4C1B-98A1-3881BB7EA9C9}"/>
    <cellStyle name="Normal 5 2 6 5 5" xfId="19133" xr:uid="{2956EA6A-F383-4133-AC4B-EB77D928C1E4}"/>
    <cellStyle name="Normal 5 2 6 6" xfId="2593" xr:uid="{00000000-0005-0000-0000-00005B190000}"/>
    <cellStyle name="Normal 5 2 6 6 2" xfId="6877" xr:uid="{00000000-0005-0000-0000-00005C190000}"/>
    <cellStyle name="Normal 5 2 6 6 2 2" xfId="15319" xr:uid="{804CDA3F-A551-40CA-ACC9-653BA7C9ABAC}"/>
    <cellStyle name="Normal 5 2 6 6 2 3" xfId="23765" xr:uid="{4E3A2CEB-14AD-49DF-AED6-B65EE2DE471F}"/>
    <cellStyle name="Normal 5 2 6 6 3" xfId="11101" xr:uid="{027A0E07-CB21-404E-A4DD-D810B084407A}"/>
    <cellStyle name="Normal 5 2 6 6 4" xfId="19546" xr:uid="{E23D205B-DE5B-4CAF-A8D4-E24AB569310A}"/>
    <cellStyle name="Normal 5 2 6 7" xfId="4812" xr:uid="{00000000-0005-0000-0000-00005D190000}"/>
    <cellStyle name="Normal 5 2 6 7 2" xfId="13254" xr:uid="{7810BFC3-3348-4064-9623-2742CC9A4864}"/>
    <cellStyle name="Normal 5 2 6 7 3" xfId="21700" xr:uid="{DF53953D-7AB1-491C-8D1B-BB665CFAD186}"/>
    <cellStyle name="Normal 5 2 6 8" xfId="9036" xr:uid="{1F90A3F0-5C38-433C-9AFF-D15DDFD4553C}"/>
    <cellStyle name="Normal 5 2 6 9" xfId="17480" xr:uid="{0DF3B03C-08A4-47B6-BC81-A84EBC91AEB1}"/>
    <cellStyle name="Normal 5 2 7" xfId="881" xr:uid="{00000000-0005-0000-0000-00005E190000}"/>
    <cellStyle name="Normal 5 2 7 2" xfId="3116" xr:uid="{00000000-0005-0000-0000-00005F190000}"/>
    <cellStyle name="Normal 5 2 7 2 2" xfId="7339" xr:uid="{00000000-0005-0000-0000-000060190000}"/>
    <cellStyle name="Normal 5 2 7 2 2 2" xfId="15781" xr:uid="{7EC0CD3D-B159-48EA-B93A-924118CE18EB}"/>
    <cellStyle name="Normal 5 2 7 2 2 3" xfId="24227" xr:uid="{752CA4B7-5386-4938-BA04-FA7AB2862961}"/>
    <cellStyle name="Normal 5 2 7 2 3" xfId="11563" xr:uid="{1AC0AC0A-7C71-48D2-B09C-01AC56E6C71C}"/>
    <cellStyle name="Normal 5 2 7 2 4" xfId="20010" xr:uid="{2BA00058-D7FD-4E57-B4B0-AFD3833C8430}"/>
    <cellStyle name="Normal 5 2 7 3" xfId="5194" xr:uid="{00000000-0005-0000-0000-000061190000}"/>
    <cellStyle name="Normal 5 2 7 3 2" xfId="13636" xr:uid="{FEBE0EF7-0876-4875-AC15-943C56D36D1D}"/>
    <cellStyle name="Normal 5 2 7 3 3" xfId="22082" xr:uid="{C783B2A2-D849-4040-8A71-82285150D1E0}"/>
    <cellStyle name="Normal 5 2 7 4" xfId="9418" xr:uid="{96CF7EC6-BE5C-4470-A004-57F057E27864}"/>
    <cellStyle name="Normal 5 2 7 5" xfId="17863" xr:uid="{CCAEB540-CFD5-4084-99E8-34EAD72C68A5}"/>
    <cellStyle name="Normal 5 2 8" xfId="1299" xr:uid="{00000000-0005-0000-0000-000062190000}"/>
    <cellStyle name="Normal 5 2 8 2" xfId="3529" xr:uid="{00000000-0005-0000-0000-000063190000}"/>
    <cellStyle name="Normal 5 2 8 2 2" xfId="7752" xr:uid="{00000000-0005-0000-0000-000064190000}"/>
    <cellStyle name="Normal 5 2 8 2 2 2" xfId="16194" xr:uid="{AAFF9A7D-007C-4AEF-8707-534665C76A60}"/>
    <cellStyle name="Normal 5 2 8 2 2 3" xfId="24640" xr:uid="{EAF3E071-2531-4F17-A21F-1E3C42C4B037}"/>
    <cellStyle name="Normal 5 2 8 2 3" xfId="11976" xr:uid="{27D61999-B0EB-495F-9AC7-19DCECD1F921}"/>
    <cellStyle name="Normal 5 2 8 2 4" xfId="20423" xr:uid="{DA779487-606C-4FB9-AB59-262407AA17E4}"/>
    <cellStyle name="Normal 5 2 8 3" xfId="5607" xr:uid="{00000000-0005-0000-0000-000065190000}"/>
    <cellStyle name="Normal 5 2 8 3 2" xfId="14049" xr:uid="{A23130E6-FBD7-49E4-9914-496BD4FC799A}"/>
    <cellStyle name="Normal 5 2 8 3 3" xfId="22495" xr:uid="{696E1918-E0B2-4A75-8A80-20CAB7F57C0B}"/>
    <cellStyle name="Normal 5 2 8 4" xfId="9831" xr:uid="{FD5A82A1-9198-4F76-98C2-819EA2E6E9A2}"/>
    <cellStyle name="Normal 5 2 8 5" xfId="18276" xr:uid="{2B14BD8E-DC5C-4060-87D8-A8F6AAC87831}"/>
    <cellStyle name="Normal 5 2 9" xfId="1712" xr:uid="{00000000-0005-0000-0000-000066190000}"/>
    <cellStyle name="Normal 5 2 9 2" xfId="3942" xr:uid="{00000000-0005-0000-0000-000067190000}"/>
    <cellStyle name="Normal 5 2 9 2 2" xfId="8165" xr:uid="{00000000-0005-0000-0000-000068190000}"/>
    <cellStyle name="Normal 5 2 9 2 2 2" xfId="16607" xr:uid="{11B2C97B-256E-4B11-9E67-2310C76B4AED}"/>
    <cellStyle name="Normal 5 2 9 2 2 3" xfId="25053" xr:uid="{6BFF7F85-B0DE-4322-9C43-C61A357A7FAF}"/>
    <cellStyle name="Normal 5 2 9 2 3" xfId="12389" xr:uid="{B7F22D82-0B5B-4DD7-AA58-84F28E7E87C2}"/>
    <cellStyle name="Normal 5 2 9 2 4" xfId="20836" xr:uid="{A6860B19-5796-49B3-BFE5-4D43BCCD11D3}"/>
    <cellStyle name="Normal 5 2 9 3" xfId="6020" xr:uid="{00000000-0005-0000-0000-000069190000}"/>
    <cellStyle name="Normal 5 2 9 3 2" xfId="14462" xr:uid="{DD5198C4-F339-4790-9F53-09815B244F6F}"/>
    <cellStyle name="Normal 5 2 9 3 3" xfId="22908" xr:uid="{EAFA1800-01EF-4240-BC22-17AD9D1968B5}"/>
    <cellStyle name="Normal 5 2 9 4" xfId="10244" xr:uid="{9B5037AE-5A7A-4571-A04E-3D5A3CDB1F43}"/>
    <cellStyle name="Normal 5 2 9 5" xfId="18689" xr:uid="{0BD919A2-6B4E-4D5E-A048-7D7D295B6560}"/>
    <cellStyle name="Normal 5 2_Item C7" xfId="25681" xr:uid="{A89554E4-173A-4C68-B746-C5BC3FE9E524}"/>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ABE24218-D8F5-46CC-974F-7B5920F23A3C}"/>
    <cellStyle name="Normal 5 3 10 2 2 3" xfId="25498" xr:uid="{8C3BCB3B-1BBD-45D7-BFED-12547C65068F}"/>
    <cellStyle name="Normal 5 3 10 2 3" xfId="12834" xr:uid="{519E543B-0FE0-42B4-9539-516869A7116A}"/>
    <cellStyle name="Normal 5 3 10 2 4" xfId="21281" xr:uid="{41C13ED6-293E-477A-B4A9-D47545A8FE5B}"/>
    <cellStyle name="Normal 5 3 10 3" xfId="6465" xr:uid="{00000000-0005-0000-0000-00006E190000}"/>
    <cellStyle name="Normal 5 3 10 3 2" xfId="14907" xr:uid="{B133576B-2CC0-481A-A83B-29518C75B8F7}"/>
    <cellStyle name="Normal 5 3 10 3 3" xfId="23353" xr:uid="{1E8FA199-CDAB-416C-AFAC-DFA8DB0B5EC8}"/>
    <cellStyle name="Normal 5 3 10 4" xfId="10689" xr:uid="{2C7AE829-D6CF-4956-9D12-643C3842A6B0}"/>
    <cellStyle name="Normal 5 3 10 5" xfId="19134" xr:uid="{9B1F2273-B880-4294-9027-17C1E145BA17}"/>
    <cellStyle name="Normal 5 3 11" xfId="2594" xr:uid="{00000000-0005-0000-0000-00006F190000}"/>
    <cellStyle name="Normal 5 3 11 2" xfId="6878" xr:uid="{00000000-0005-0000-0000-000070190000}"/>
    <cellStyle name="Normal 5 3 11 2 2" xfId="15320" xr:uid="{F4470CC2-0C8E-4059-BAA9-5C82DB668547}"/>
    <cellStyle name="Normal 5 3 11 2 3" xfId="23766" xr:uid="{98E9E298-D3A7-41FA-A0A5-06D5AB78FD95}"/>
    <cellStyle name="Normal 5 3 11 3" xfId="11102" xr:uid="{30E6E122-3D6C-4980-9FAD-7EF78D8574D2}"/>
    <cellStyle name="Normal 5 3 11 4" xfId="19547" xr:uid="{24891952-FE0E-457C-81AD-69E9028E480E}"/>
    <cellStyle name="Normal 5 3 12" xfId="4813" xr:uid="{00000000-0005-0000-0000-000071190000}"/>
    <cellStyle name="Normal 5 3 12 2" xfId="13255" xr:uid="{F8F20421-E729-49A2-A140-98DEAE59A9F5}"/>
    <cellStyle name="Normal 5 3 12 3" xfId="21701" xr:uid="{342C6BB1-F517-4CAC-A4BC-B1C3DF574B63}"/>
    <cellStyle name="Normal 5 3 13" xfId="9037" xr:uid="{3D3BCF80-C8D1-499A-8891-EC70BB7E17E2}"/>
    <cellStyle name="Normal 5 3 14" xfId="17481" xr:uid="{9A906615-9818-42AE-8DAC-AFBECB3B9902}"/>
    <cellStyle name="Normal 5 3 15" xfId="19654" xr:uid="{FF3A0BCF-9EA7-4218-9BFA-FF51C91E2A39}"/>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847D3B83-ED27-4DA0-9F66-6523F5AC728E}"/>
    <cellStyle name="Normal 5 3 3 10 3" xfId="21702" xr:uid="{A8B22FA5-3B7E-4685-9CC8-AE7A67B6C215}"/>
    <cellStyle name="Normal 5 3 3 11" xfId="9038" xr:uid="{57A2DEF0-E7CC-4766-BE2A-E28DAA4E5E27}"/>
    <cellStyle name="Normal 5 3 3 12" xfId="17482" xr:uid="{EA787909-BEAE-451A-9674-DC00E6F04EED}"/>
    <cellStyle name="Normal 5 3 3 2" xfId="442" xr:uid="{00000000-0005-0000-0000-000076190000}"/>
    <cellStyle name="Normal 5 3 3 2 10" xfId="9039" xr:uid="{3F420EDB-05F4-4E0D-9DD2-3DE8DC29BA2F}"/>
    <cellStyle name="Normal 5 3 3 2 11" xfId="17483" xr:uid="{D1AB49A2-9316-444A-929A-B70932E06740}"/>
    <cellStyle name="Normal 5 3 3 2 2" xfId="443" xr:uid="{00000000-0005-0000-0000-000077190000}"/>
    <cellStyle name="Normal 5 3 3 2 2 10" xfId="17484" xr:uid="{00146F06-4A4A-48B2-9347-1AAB3057ED52}"/>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58BF68A1-4503-4091-9318-D5365E2B6F5F}"/>
    <cellStyle name="Normal 5 3 3 2 2 2 2 2 2 3" xfId="24263" xr:uid="{E53DE5FB-6825-4800-A1AE-FBEC40A02B23}"/>
    <cellStyle name="Normal 5 3 3 2 2 2 2 2 3" xfId="11599" xr:uid="{2865ECDC-7B24-4ABA-B199-843752898285}"/>
    <cellStyle name="Normal 5 3 3 2 2 2 2 2 4" xfId="20046" xr:uid="{E250C96F-5493-4F45-9027-1F70E5FA1C42}"/>
    <cellStyle name="Normal 5 3 3 2 2 2 2 3" xfId="5230" xr:uid="{00000000-0005-0000-0000-00007C190000}"/>
    <cellStyle name="Normal 5 3 3 2 2 2 2 3 2" xfId="13672" xr:uid="{2F8E0BAB-8DBD-4AAE-9CD1-9A5525917C2B}"/>
    <cellStyle name="Normal 5 3 3 2 2 2 2 3 3" xfId="22118" xr:uid="{C9B225F0-93AE-4571-995B-9BFF143AC6F2}"/>
    <cellStyle name="Normal 5 3 3 2 2 2 2 4" xfId="9454" xr:uid="{3EEC977A-B74E-4205-B96E-F866969794AB}"/>
    <cellStyle name="Normal 5 3 3 2 2 2 2 5" xfId="17899" xr:uid="{16ACE86C-CE02-4EDA-AF51-ABE3A0284863}"/>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AAF2643C-9F1F-42AF-A854-903DA8D66010}"/>
    <cellStyle name="Normal 5 3 3 2 2 2 3 2 2 3" xfId="24676" xr:uid="{5E6FE6FA-8BF2-480E-B3A3-6A03DF176FA4}"/>
    <cellStyle name="Normal 5 3 3 2 2 2 3 2 3" xfId="12012" xr:uid="{FCE5176A-315F-48BC-8FFC-1E253B07D933}"/>
    <cellStyle name="Normal 5 3 3 2 2 2 3 2 4" xfId="20459" xr:uid="{7B3C3F08-68E6-4006-A3D3-5027493FF524}"/>
    <cellStyle name="Normal 5 3 3 2 2 2 3 3" xfId="5643" xr:uid="{00000000-0005-0000-0000-000080190000}"/>
    <cellStyle name="Normal 5 3 3 2 2 2 3 3 2" xfId="14085" xr:uid="{BE5883BA-CD5A-49B6-8441-8A841C842515}"/>
    <cellStyle name="Normal 5 3 3 2 2 2 3 3 3" xfId="22531" xr:uid="{A6EE8CE4-70C1-4ED1-9D55-0299114CF82E}"/>
    <cellStyle name="Normal 5 3 3 2 2 2 3 4" xfId="9867" xr:uid="{2CD5A77B-AFD3-4D70-A7BF-C8470450BB26}"/>
    <cellStyle name="Normal 5 3 3 2 2 2 3 5" xfId="18312" xr:uid="{116F373E-CD79-41DC-BB6F-5602E6AE208A}"/>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2B3BC9DC-2D3A-42FE-93FE-27B79607654C}"/>
    <cellStyle name="Normal 5 3 3 2 2 2 4 2 2 3" xfId="25089" xr:uid="{87755396-6277-4200-B756-C2EE4B21F893}"/>
    <cellStyle name="Normal 5 3 3 2 2 2 4 2 3" xfId="12425" xr:uid="{B6D68415-C16D-432A-9538-BED30CB18DF5}"/>
    <cellStyle name="Normal 5 3 3 2 2 2 4 2 4" xfId="20872" xr:uid="{AAA0D999-1E28-4A90-9339-539924AB2A1F}"/>
    <cellStyle name="Normal 5 3 3 2 2 2 4 3" xfId="6056" xr:uid="{00000000-0005-0000-0000-000084190000}"/>
    <cellStyle name="Normal 5 3 3 2 2 2 4 3 2" xfId="14498" xr:uid="{9A646354-E2CB-487E-A102-3CDFC0A1E4FE}"/>
    <cellStyle name="Normal 5 3 3 2 2 2 4 3 3" xfId="22944" xr:uid="{8F59FBCE-E5CC-4B82-9C94-1805A856CEDF}"/>
    <cellStyle name="Normal 5 3 3 2 2 2 4 4" xfId="10280" xr:uid="{FA5FC978-7426-40C7-BEE2-0CCFA68DE81F}"/>
    <cellStyle name="Normal 5 3 3 2 2 2 4 5" xfId="18725" xr:uid="{73CDDD66-D7F1-4821-AF4E-5815536A4497}"/>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FF175D49-58EF-4DB6-B052-27ECD2AE9773}"/>
    <cellStyle name="Normal 5 3 3 2 2 2 5 2 2 3" xfId="25502" xr:uid="{6852DF39-51EC-4353-8AA3-444F75AB7BB9}"/>
    <cellStyle name="Normal 5 3 3 2 2 2 5 2 3" xfId="12838" xr:uid="{2E220F25-1E93-4893-821D-257A72CAFC9F}"/>
    <cellStyle name="Normal 5 3 3 2 2 2 5 2 4" xfId="21285" xr:uid="{5A2E3B1F-9CFB-409A-8689-AD4DFBAFB7FD}"/>
    <cellStyle name="Normal 5 3 3 2 2 2 5 3" xfId="6469" xr:uid="{00000000-0005-0000-0000-000088190000}"/>
    <cellStyle name="Normal 5 3 3 2 2 2 5 3 2" xfId="14911" xr:uid="{67339E48-7DF0-4301-A7D2-3D329372FE32}"/>
    <cellStyle name="Normal 5 3 3 2 2 2 5 3 3" xfId="23357" xr:uid="{DD72FA93-1E30-4C99-917D-5AFDCCA84273}"/>
    <cellStyle name="Normal 5 3 3 2 2 2 5 4" xfId="10693" xr:uid="{1C986A4E-2CED-4913-9CAA-1E46F81A3FA7}"/>
    <cellStyle name="Normal 5 3 3 2 2 2 5 5" xfId="19138" xr:uid="{07066BFC-803A-4DB2-841D-210252A0BA2F}"/>
    <cellStyle name="Normal 5 3 3 2 2 2 6" xfId="2598" xr:uid="{00000000-0005-0000-0000-000089190000}"/>
    <cellStyle name="Normal 5 3 3 2 2 2 6 2" xfId="6882" xr:uid="{00000000-0005-0000-0000-00008A190000}"/>
    <cellStyle name="Normal 5 3 3 2 2 2 6 2 2" xfId="15324" xr:uid="{99C6184F-C104-41A9-8BF6-6DCB9BD445A0}"/>
    <cellStyle name="Normal 5 3 3 2 2 2 6 2 3" xfId="23770" xr:uid="{669E9B67-1C89-4CAB-B7A4-89F7CC336808}"/>
    <cellStyle name="Normal 5 3 3 2 2 2 6 3" xfId="11106" xr:uid="{1A561846-05EB-4032-94F0-B21A151FAF86}"/>
    <cellStyle name="Normal 5 3 3 2 2 2 6 4" xfId="19551" xr:uid="{91C594C2-F2EE-4FB9-8EFA-C052FFBBFCCB}"/>
    <cellStyle name="Normal 5 3 3 2 2 2 7" xfId="4817" xr:uid="{00000000-0005-0000-0000-00008B190000}"/>
    <cellStyle name="Normal 5 3 3 2 2 2 7 2" xfId="13259" xr:uid="{9B5BCA5C-94E1-409D-A116-E7144933B231}"/>
    <cellStyle name="Normal 5 3 3 2 2 2 7 3" xfId="21705" xr:uid="{3194FC96-A2FF-428C-B7E8-3C4108174D2D}"/>
    <cellStyle name="Normal 5 3 3 2 2 2 8" xfId="9041" xr:uid="{8A8F3F16-D6E0-4946-87CE-343F47BD3C09}"/>
    <cellStyle name="Normal 5 3 3 2 2 2 9" xfId="17485" xr:uid="{8EA1A008-FB9C-488E-B13C-69245220EF73}"/>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6865EC5C-CB41-48BB-B26B-CF94D3172F74}"/>
    <cellStyle name="Normal 5 3 3 2 2 3 2 2 3" xfId="24262" xr:uid="{7A91BB7D-6570-4D51-806C-40E4FFDDCC84}"/>
    <cellStyle name="Normal 5 3 3 2 2 3 2 3" xfId="11598" xr:uid="{52BCC049-19A4-4B16-BF89-BC5B2F13B7BE}"/>
    <cellStyle name="Normal 5 3 3 2 2 3 2 4" xfId="20045" xr:uid="{43135158-6640-47EB-9406-BE937B98B518}"/>
    <cellStyle name="Normal 5 3 3 2 2 3 3" xfId="5229" xr:uid="{00000000-0005-0000-0000-00008F190000}"/>
    <cellStyle name="Normal 5 3 3 2 2 3 3 2" xfId="13671" xr:uid="{E7B0506E-D458-4EC7-9836-A8C03D4DA2BD}"/>
    <cellStyle name="Normal 5 3 3 2 2 3 3 3" xfId="22117" xr:uid="{B28E48BF-F2F4-43BE-B593-E48A7F1C9AC5}"/>
    <cellStyle name="Normal 5 3 3 2 2 3 4" xfId="9453" xr:uid="{F7FD8208-CD74-42AD-A975-A0CC29EB6276}"/>
    <cellStyle name="Normal 5 3 3 2 2 3 5" xfId="17898" xr:uid="{DD6D392A-2BFA-4F1A-8A1F-EF3236D0BAD6}"/>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CCFC1764-0FCA-4216-AEF9-7888BF5D4013}"/>
    <cellStyle name="Normal 5 3 3 2 2 4 2 2 3" xfId="24675" xr:uid="{FDF897FC-07C6-4356-8CBC-3496EA372AF7}"/>
    <cellStyle name="Normal 5 3 3 2 2 4 2 3" xfId="12011" xr:uid="{38129982-9BE5-4C7B-87D3-B3E462CCFB17}"/>
    <cellStyle name="Normal 5 3 3 2 2 4 2 4" xfId="20458" xr:uid="{21C28356-82CF-4CFC-B039-F04064C19BF2}"/>
    <cellStyle name="Normal 5 3 3 2 2 4 3" xfId="5642" xr:uid="{00000000-0005-0000-0000-000093190000}"/>
    <cellStyle name="Normal 5 3 3 2 2 4 3 2" xfId="14084" xr:uid="{1D8D3478-C751-4C9C-AF94-42D9AD03D5EE}"/>
    <cellStyle name="Normal 5 3 3 2 2 4 3 3" xfId="22530" xr:uid="{4C73CA15-EE7E-4554-B5E0-9C0A7A538D83}"/>
    <cellStyle name="Normal 5 3 3 2 2 4 4" xfId="9866" xr:uid="{01A18B12-83DC-420E-BFF9-E337E68A9FE2}"/>
    <cellStyle name="Normal 5 3 3 2 2 4 5" xfId="18311" xr:uid="{63CB0868-A4B6-4016-A566-41F915F1A62E}"/>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88C36E4D-7996-401F-AC39-AF4B0FC5E356}"/>
    <cellStyle name="Normal 5 3 3 2 2 5 2 2 3" xfId="25088" xr:uid="{A9D6FF4C-FA72-41B3-AB7A-B276FF308E05}"/>
    <cellStyle name="Normal 5 3 3 2 2 5 2 3" xfId="12424" xr:uid="{DACB467B-A02C-433D-B3E7-938F52129EEE}"/>
    <cellStyle name="Normal 5 3 3 2 2 5 2 4" xfId="20871" xr:uid="{F1CE274B-D16C-46DE-B251-A54A767788F6}"/>
    <cellStyle name="Normal 5 3 3 2 2 5 3" xfId="6055" xr:uid="{00000000-0005-0000-0000-000097190000}"/>
    <cellStyle name="Normal 5 3 3 2 2 5 3 2" xfId="14497" xr:uid="{C060C228-B367-4D48-84DB-EC021BD86D61}"/>
    <cellStyle name="Normal 5 3 3 2 2 5 3 3" xfId="22943" xr:uid="{7D425F37-76B7-45F3-9E1B-59E936A24624}"/>
    <cellStyle name="Normal 5 3 3 2 2 5 4" xfId="10279" xr:uid="{59C1FB36-C8BF-4F84-92B7-14772FD13CDE}"/>
    <cellStyle name="Normal 5 3 3 2 2 5 5" xfId="18724" xr:uid="{6D642E71-38C0-4AEB-AA1D-FFFA1CE538AC}"/>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2F1DDC38-9BD6-4671-939C-CF5E395359B1}"/>
    <cellStyle name="Normal 5 3 3 2 2 6 2 2 3" xfId="25501" xr:uid="{9F193F2F-079C-4DDC-BF2A-3939CE344BBB}"/>
    <cellStyle name="Normal 5 3 3 2 2 6 2 3" xfId="12837" xr:uid="{849F5017-459A-4D89-8370-E3B82E7C2B0B}"/>
    <cellStyle name="Normal 5 3 3 2 2 6 2 4" xfId="21284" xr:uid="{919444D5-D930-412B-BA3D-341F52F85C0B}"/>
    <cellStyle name="Normal 5 3 3 2 2 6 3" xfId="6468" xr:uid="{00000000-0005-0000-0000-00009B190000}"/>
    <cellStyle name="Normal 5 3 3 2 2 6 3 2" xfId="14910" xr:uid="{F24A3D03-AECB-4A37-9CB3-0E4B0F29FC90}"/>
    <cellStyle name="Normal 5 3 3 2 2 6 3 3" xfId="23356" xr:uid="{9A9D05F6-41BE-46DB-8C54-EB3C68566879}"/>
    <cellStyle name="Normal 5 3 3 2 2 6 4" xfId="10692" xr:uid="{73F91044-1CA7-4EC9-BDD6-3D06428DB50E}"/>
    <cellStyle name="Normal 5 3 3 2 2 6 5" xfId="19137" xr:uid="{85368BBB-A69C-47C8-9893-74BBCF771E40}"/>
    <cellStyle name="Normal 5 3 3 2 2 7" xfId="2597" xr:uid="{00000000-0005-0000-0000-00009C190000}"/>
    <cellStyle name="Normal 5 3 3 2 2 7 2" xfId="6881" xr:uid="{00000000-0005-0000-0000-00009D190000}"/>
    <cellStyle name="Normal 5 3 3 2 2 7 2 2" xfId="15323" xr:uid="{F3508751-E57E-4C5D-BBA7-10657BEB6B6C}"/>
    <cellStyle name="Normal 5 3 3 2 2 7 2 3" xfId="23769" xr:uid="{1D1F1F96-A42E-4722-BBE0-5347C5B379F8}"/>
    <cellStyle name="Normal 5 3 3 2 2 7 3" xfId="11105" xr:uid="{603A53C4-B8B7-4360-9851-FDFFC8661CE5}"/>
    <cellStyle name="Normal 5 3 3 2 2 7 4" xfId="19550" xr:uid="{2E4003DF-027A-4609-9117-B2BF0D3A6DC4}"/>
    <cellStyle name="Normal 5 3 3 2 2 8" xfId="4816" xr:uid="{00000000-0005-0000-0000-00009E190000}"/>
    <cellStyle name="Normal 5 3 3 2 2 8 2" xfId="13258" xr:uid="{D327386B-FDD3-4152-85E4-03DB35FE93CB}"/>
    <cellStyle name="Normal 5 3 3 2 2 8 3" xfId="21704" xr:uid="{513D9F04-3185-4FA3-BEFC-C58159F0918F}"/>
    <cellStyle name="Normal 5 3 3 2 2 9" xfId="9040" xr:uid="{90C76B2A-0D1B-4944-A767-13B892625D55}"/>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6D530439-AE37-4B4B-8544-F6E7C68A7E41}"/>
    <cellStyle name="Normal 5 3 3 2 3 2 2 2 3" xfId="24264" xr:uid="{1A50A30C-1D00-46BD-8E57-534D1DB175E4}"/>
    <cellStyle name="Normal 5 3 3 2 3 2 2 3" xfId="11600" xr:uid="{76AFDBF7-08EC-4174-AAAE-96FDF0387526}"/>
    <cellStyle name="Normal 5 3 3 2 3 2 2 4" xfId="20047" xr:uid="{5DEC1A37-AB88-4562-90D3-51C6ADD415B3}"/>
    <cellStyle name="Normal 5 3 3 2 3 2 3" xfId="5231" xr:uid="{00000000-0005-0000-0000-0000A3190000}"/>
    <cellStyle name="Normal 5 3 3 2 3 2 3 2" xfId="13673" xr:uid="{73E81455-DBF2-434E-9F1B-578779B63471}"/>
    <cellStyle name="Normal 5 3 3 2 3 2 3 3" xfId="22119" xr:uid="{22B4D504-A712-4502-B8AC-8DBFFE6F7FAF}"/>
    <cellStyle name="Normal 5 3 3 2 3 2 4" xfId="9455" xr:uid="{F8DF78C7-1012-4499-8C74-824F8B9C9680}"/>
    <cellStyle name="Normal 5 3 3 2 3 2 5" xfId="17900" xr:uid="{B373F734-A600-45D2-8BE6-DC4E92F8C331}"/>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5D559952-ED65-474E-9AD0-1985C069CF28}"/>
    <cellStyle name="Normal 5 3 3 2 3 3 2 2 3" xfId="24677" xr:uid="{61D7F904-DA97-4D00-8C6F-51E370F264F5}"/>
    <cellStyle name="Normal 5 3 3 2 3 3 2 3" xfId="12013" xr:uid="{46C164C9-0BD8-4459-8886-83E736FA29C4}"/>
    <cellStyle name="Normal 5 3 3 2 3 3 2 4" xfId="20460" xr:uid="{08A02095-5EEA-4C06-BCDA-18DDE9F3D027}"/>
    <cellStyle name="Normal 5 3 3 2 3 3 3" xfId="5644" xr:uid="{00000000-0005-0000-0000-0000A7190000}"/>
    <cellStyle name="Normal 5 3 3 2 3 3 3 2" xfId="14086" xr:uid="{8B0CF972-C836-4B8F-B238-C373A66102D2}"/>
    <cellStyle name="Normal 5 3 3 2 3 3 3 3" xfId="22532" xr:uid="{C8984681-5FA1-42B0-8380-F25540D74182}"/>
    <cellStyle name="Normal 5 3 3 2 3 3 4" xfId="9868" xr:uid="{B8BFF521-4693-4AD5-8A0C-941D8F8EFDD5}"/>
    <cellStyle name="Normal 5 3 3 2 3 3 5" xfId="18313" xr:uid="{7407F72C-38CC-4C77-8910-E4093413531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C665D41F-707C-4D0C-9297-B14DB6CBC888}"/>
    <cellStyle name="Normal 5 3 3 2 3 4 2 2 3" xfId="25090" xr:uid="{D69AB496-C370-4FA0-AEC3-41028D61A28B}"/>
    <cellStyle name="Normal 5 3 3 2 3 4 2 3" xfId="12426" xr:uid="{499760AB-33C6-46D9-AF4E-F9B4DD692395}"/>
    <cellStyle name="Normal 5 3 3 2 3 4 2 4" xfId="20873" xr:uid="{9F59E5F0-75BE-4094-B8F3-D1F9C1EF8A0A}"/>
    <cellStyle name="Normal 5 3 3 2 3 4 3" xfId="6057" xr:uid="{00000000-0005-0000-0000-0000AB190000}"/>
    <cellStyle name="Normal 5 3 3 2 3 4 3 2" xfId="14499" xr:uid="{8C12B407-1A5F-44C1-93B0-30B203A10ECE}"/>
    <cellStyle name="Normal 5 3 3 2 3 4 3 3" xfId="22945" xr:uid="{0E14464E-E9A1-4C76-9AF7-169DAFA21E0E}"/>
    <cellStyle name="Normal 5 3 3 2 3 4 4" xfId="10281" xr:uid="{68D99D9A-8E69-436F-9ABA-15FB8506C865}"/>
    <cellStyle name="Normal 5 3 3 2 3 4 5" xfId="18726" xr:uid="{6AE8EBEF-81CD-488E-96C3-5FD790E837E1}"/>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620CF680-5757-4FDA-8CC2-5C4B99381940}"/>
    <cellStyle name="Normal 5 3 3 2 3 5 2 2 3" xfId="25503" xr:uid="{04B0373A-4B00-4293-A429-8718DDDE5363}"/>
    <cellStyle name="Normal 5 3 3 2 3 5 2 3" xfId="12839" xr:uid="{616DC763-63C1-4481-9F10-1856FA122A00}"/>
    <cellStyle name="Normal 5 3 3 2 3 5 2 4" xfId="21286" xr:uid="{F39300F7-2993-4D27-B121-3627AE096955}"/>
    <cellStyle name="Normal 5 3 3 2 3 5 3" xfId="6470" xr:uid="{00000000-0005-0000-0000-0000AF190000}"/>
    <cellStyle name="Normal 5 3 3 2 3 5 3 2" xfId="14912" xr:uid="{4F0ECB71-A4D7-4D34-9938-A20FDDEA60B3}"/>
    <cellStyle name="Normal 5 3 3 2 3 5 3 3" xfId="23358" xr:uid="{EF0AD6C2-25F6-4F96-9F9D-B0337946C336}"/>
    <cellStyle name="Normal 5 3 3 2 3 5 4" xfId="10694" xr:uid="{83D8BECA-D85D-470A-AFE7-1172B868CF48}"/>
    <cellStyle name="Normal 5 3 3 2 3 5 5" xfId="19139" xr:uid="{02941F92-D7B5-42CE-BBD9-8315E8F0680E}"/>
    <cellStyle name="Normal 5 3 3 2 3 6" xfId="2599" xr:uid="{00000000-0005-0000-0000-0000B0190000}"/>
    <cellStyle name="Normal 5 3 3 2 3 6 2" xfId="6883" xr:uid="{00000000-0005-0000-0000-0000B1190000}"/>
    <cellStyle name="Normal 5 3 3 2 3 6 2 2" xfId="15325" xr:uid="{DC07566D-416F-47C6-B3B7-6F26DDF75961}"/>
    <cellStyle name="Normal 5 3 3 2 3 6 2 3" xfId="23771" xr:uid="{A433BBBB-0283-40C1-A6A9-75ADFA7F2C3D}"/>
    <cellStyle name="Normal 5 3 3 2 3 6 3" xfId="11107" xr:uid="{17405F7B-697C-4ADF-90D9-551D2DEA3B32}"/>
    <cellStyle name="Normal 5 3 3 2 3 6 4" xfId="19552" xr:uid="{AA1C0EFE-5EF1-4F36-B527-14B21FF861E0}"/>
    <cellStyle name="Normal 5 3 3 2 3 7" xfId="4818" xr:uid="{00000000-0005-0000-0000-0000B2190000}"/>
    <cellStyle name="Normal 5 3 3 2 3 7 2" xfId="13260" xr:uid="{A5F6D8A8-49DE-4C19-A3E6-EB9635A181E8}"/>
    <cellStyle name="Normal 5 3 3 2 3 7 3" xfId="21706" xr:uid="{6A83AEFB-0FC5-4AB0-B5DD-B91438C7840C}"/>
    <cellStyle name="Normal 5 3 3 2 3 8" xfId="9042" xr:uid="{07714D5B-BECB-483F-875A-9A12D9CC7492}"/>
    <cellStyle name="Normal 5 3 3 2 3 9" xfId="17486" xr:uid="{C2F2374D-E39D-408B-ADA3-5676628B23F2}"/>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7CD37ACB-348A-4D21-ACD4-CFE595867364}"/>
    <cellStyle name="Normal 5 3 3 2 4 2 2 3" xfId="24261" xr:uid="{85C1EB98-4B90-4CE6-9AE3-1963F569FF54}"/>
    <cellStyle name="Normal 5 3 3 2 4 2 3" xfId="11597" xr:uid="{A5618A36-632B-47CB-A1B4-3FFCC73F4EE7}"/>
    <cellStyle name="Normal 5 3 3 2 4 2 4" xfId="20044" xr:uid="{0CE7B7E5-2E06-4FE6-B340-288BCD64CF2E}"/>
    <cellStyle name="Normal 5 3 3 2 4 3" xfId="5228" xr:uid="{00000000-0005-0000-0000-0000B6190000}"/>
    <cellStyle name="Normal 5 3 3 2 4 3 2" xfId="13670" xr:uid="{AB0658A8-A0FE-4309-958E-14B6FC2CA36D}"/>
    <cellStyle name="Normal 5 3 3 2 4 3 3" xfId="22116" xr:uid="{63BD5474-557E-4068-8B67-F48F46BF6A8F}"/>
    <cellStyle name="Normal 5 3 3 2 4 4" xfId="9452" xr:uid="{5C776E6E-2188-480D-8411-8B19D40F4BAD}"/>
    <cellStyle name="Normal 5 3 3 2 4 5" xfId="17897" xr:uid="{C0FDF175-1BDD-4EC9-B6D1-A254F6B81C99}"/>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210EC7E8-1F30-4A03-B0FC-C5DF1EBA83D1}"/>
    <cellStyle name="Normal 5 3 3 2 5 2 2 3" xfId="24674" xr:uid="{9D802FE9-A570-461C-8B1C-A7BE8FD02675}"/>
    <cellStyle name="Normal 5 3 3 2 5 2 3" xfId="12010" xr:uid="{FC9B6EFC-BEB1-4AE1-8398-A466D1569BE7}"/>
    <cellStyle name="Normal 5 3 3 2 5 2 4" xfId="20457" xr:uid="{E0C4F0B7-ABEA-4327-B2A4-BE54BCDFC9C4}"/>
    <cellStyle name="Normal 5 3 3 2 5 3" xfId="5641" xr:uid="{00000000-0005-0000-0000-0000BA190000}"/>
    <cellStyle name="Normal 5 3 3 2 5 3 2" xfId="14083" xr:uid="{4A19D1F8-A8D2-4767-85A0-8C2BDE4E97F9}"/>
    <cellStyle name="Normal 5 3 3 2 5 3 3" xfId="22529" xr:uid="{86DBA21E-2460-4272-A40A-AAC5B92E750B}"/>
    <cellStyle name="Normal 5 3 3 2 5 4" xfId="9865" xr:uid="{273F1058-8530-48BD-9EB9-41917D6001EA}"/>
    <cellStyle name="Normal 5 3 3 2 5 5" xfId="18310" xr:uid="{0D4C5080-511C-470F-92B6-DE7ADDD0B25F}"/>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A56E9B0C-D89A-465A-8120-7817ED3DCE93}"/>
    <cellStyle name="Normal 5 3 3 2 6 2 2 3" xfId="25087" xr:uid="{DC7668A7-B683-40BB-B98C-EA04FDCD4834}"/>
    <cellStyle name="Normal 5 3 3 2 6 2 3" xfId="12423" xr:uid="{9E27E089-47A2-4CF0-97D9-5AAA442E0148}"/>
    <cellStyle name="Normal 5 3 3 2 6 2 4" xfId="20870" xr:uid="{2F0A0AFB-E429-4C77-93C9-4FFF114BEDB6}"/>
    <cellStyle name="Normal 5 3 3 2 6 3" xfId="6054" xr:uid="{00000000-0005-0000-0000-0000BE190000}"/>
    <cellStyle name="Normal 5 3 3 2 6 3 2" xfId="14496" xr:uid="{67F03AEC-45EB-4F1F-8966-B71F88F2900E}"/>
    <cellStyle name="Normal 5 3 3 2 6 3 3" xfId="22942" xr:uid="{2FEE7B9A-29D6-4980-A9B7-BF49E5DDB5BB}"/>
    <cellStyle name="Normal 5 3 3 2 6 4" xfId="10278" xr:uid="{07CC60E7-88D2-4E59-857D-42331F58C1B2}"/>
    <cellStyle name="Normal 5 3 3 2 6 5" xfId="18723" xr:uid="{9EFFB2EC-49FF-4900-8DC1-4DA9628372E5}"/>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39BB734D-557F-4B82-AD95-90FC585DEB64}"/>
    <cellStyle name="Normal 5 3 3 2 7 2 2 3" xfId="25500" xr:uid="{09889DE2-6C0C-4244-82E3-5D2791D4CE63}"/>
    <cellStyle name="Normal 5 3 3 2 7 2 3" xfId="12836" xr:uid="{FE91208A-7137-4EE5-BE4A-661557BBDE6D}"/>
    <cellStyle name="Normal 5 3 3 2 7 2 4" xfId="21283" xr:uid="{DA95978F-3F0F-4F67-A4A4-914054189283}"/>
    <cellStyle name="Normal 5 3 3 2 7 3" xfId="6467" xr:uid="{00000000-0005-0000-0000-0000C2190000}"/>
    <cellStyle name="Normal 5 3 3 2 7 3 2" xfId="14909" xr:uid="{C5058E18-8FC1-48C9-90E2-20C52C57B79B}"/>
    <cellStyle name="Normal 5 3 3 2 7 3 3" xfId="23355" xr:uid="{48BE14E2-FA6A-48F4-A8F0-40ED1E618EE1}"/>
    <cellStyle name="Normal 5 3 3 2 7 4" xfId="10691" xr:uid="{0BAE67D7-1117-4C02-855B-8FA0CFC2D9E8}"/>
    <cellStyle name="Normal 5 3 3 2 7 5" xfId="19136" xr:uid="{89686D2D-0C24-49E9-8FA4-220BDA7D772E}"/>
    <cellStyle name="Normal 5 3 3 2 8" xfId="2596" xr:uid="{00000000-0005-0000-0000-0000C3190000}"/>
    <cellStyle name="Normal 5 3 3 2 8 2" xfId="6880" xr:uid="{00000000-0005-0000-0000-0000C4190000}"/>
    <cellStyle name="Normal 5 3 3 2 8 2 2" xfId="15322" xr:uid="{D22EECF1-8C25-4948-A05B-5C7347DF57A8}"/>
    <cellStyle name="Normal 5 3 3 2 8 2 3" xfId="23768" xr:uid="{75071A9F-E9CC-44F6-9868-CE1C62EADF2F}"/>
    <cellStyle name="Normal 5 3 3 2 8 3" xfId="11104" xr:uid="{E75AA438-E024-4E98-A2FD-409F7755749A}"/>
    <cellStyle name="Normal 5 3 3 2 8 4" xfId="19549" xr:uid="{F40B609F-D728-4FEC-BDAF-0816393EC659}"/>
    <cellStyle name="Normal 5 3 3 2 9" xfId="4815" xr:uid="{00000000-0005-0000-0000-0000C5190000}"/>
    <cellStyle name="Normal 5 3 3 2 9 2" xfId="13257" xr:uid="{94902DF4-274F-4639-82E7-682F5C2B37BA}"/>
    <cellStyle name="Normal 5 3 3 2 9 3" xfId="21703" xr:uid="{A3D0825C-7640-4A00-A717-6C91921A8E5F}"/>
    <cellStyle name="Normal 5 3 3 3" xfId="446" xr:uid="{00000000-0005-0000-0000-0000C6190000}"/>
    <cellStyle name="Normal 5 3 3 3 10" xfId="17487" xr:uid="{D130DB0B-794E-4AEE-A1FB-8DC4832E55B7}"/>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FF8AB950-C977-45BC-8D5B-1E02D8CEEB54}"/>
    <cellStyle name="Normal 5 3 3 3 2 2 2 2 3" xfId="24266" xr:uid="{75A53691-E0C0-47B1-8063-828158649C72}"/>
    <cellStyle name="Normal 5 3 3 3 2 2 2 3" xfId="11602" xr:uid="{A93C272F-750E-4EA5-BAB4-27598BE0C494}"/>
    <cellStyle name="Normal 5 3 3 3 2 2 2 4" xfId="20049" xr:uid="{724600D4-17EF-436F-B569-932719A5477A}"/>
    <cellStyle name="Normal 5 3 3 3 2 2 3" xfId="5233" xr:uid="{00000000-0005-0000-0000-0000CB190000}"/>
    <cellStyle name="Normal 5 3 3 3 2 2 3 2" xfId="13675" xr:uid="{10F529EB-D46F-4ADB-9011-9A50060EAB2A}"/>
    <cellStyle name="Normal 5 3 3 3 2 2 3 3" xfId="22121" xr:uid="{399C19B9-E72C-49BD-9375-D70FEC4403F1}"/>
    <cellStyle name="Normal 5 3 3 3 2 2 4" xfId="9457" xr:uid="{9CF29E39-BD78-44C9-8BFD-3A57919A895A}"/>
    <cellStyle name="Normal 5 3 3 3 2 2 5" xfId="17902" xr:uid="{4748B509-C03A-4DB0-A051-6DBCDC8119C7}"/>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EEA2962D-7667-4D8C-A27A-FAC786103688}"/>
    <cellStyle name="Normal 5 3 3 3 2 3 2 2 3" xfId="24679" xr:uid="{40D1EF3F-34AE-44F5-9F95-666E2E6D214F}"/>
    <cellStyle name="Normal 5 3 3 3 2 3 2 3" xfId="12015" xr:uid="{724BB6AA-2811-4F4C-8C9D-9CFD4266E28E}"/>
    <cellStyle name="Normal 5 3 3 3 2 3 2 4" xfId="20462" xr:uid="{64AEE939-AA63-4191-A5BF-13B18EFBFAB8}"/>
    <cellStyle name="Normal 5 3 3 3 2 3 3" xfId="5646" xr:uid="{00000000-0005-0000-0000-0000CF190000}"/>
    <cellStyle name="Normal 5 3 3 3 2 3 3 2" xfId="14088" xr:uid="{A7A5F80E-701A-4D60-90B5-31DF26A4CA89}"/>
    <cellStyle name="Normal 5 3 3 3 2 3 3 3" xfId="22534" xr:uid="{1E4DB1EE-1D8E-484F-80C0-2294DB1882F2}"/>
    <cellStyle name="Normal 5 3 3 3 2 3 4" xfId="9870" xr:uid="{B83B36BF-0E20-4B89-9BB6-C2ED831C53A2}"/>
    <cellStyle name="Normal 5 3 3 3 2 3 5" xfId="18315" xr:uid="{D284A0C8-EA31-4A42-A119-A7A0F2C026B8}"/>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B3C79A58-47DE-4D16-B13D-5256C44BF0A1}"/>
    <cellStyle name="Normal 5 3 3 3 2 4 2 2 3" xfId="25092" xr:uid="{A9716859-A636-483D-AA7C-86B9A8CFAAAF}"/>
    <cellStyle name="Normal 5 3 3 3 2 4 2 3" xfId="12428" xr:uid="{6ABA592B-216D-4EF9-B5A1-FC9116721C13}"/>
    <cellStyle name="Normal 5 3 3 3 2 4 2 4" xfId="20875" xr:uid="{A7DBF994-1C4F-4EA3-9F80-9F59CE8E648A}"/>
    <cellStyle name="Normal 5 3 3 3 2 4 3" xfId="6059" xr:uid="{00000000-0005-0000-0000-0000D3190000}"/>
    <cellStyle name="Normal 5 3 3 3 2 4 3 2" xfId="14501" xr:uid="{7C78D980-8A10-402A-B76C-7EF9DDFD1C85}"/>
    <cellStyle name="Normal 5 3 3 3 2 4 3 3" xfId="22947" xr:uid="{403C4FDD-D39D-4FE0-9100-7CB85022157C}"/>
    <cellStyle name="Normal 5 3 3 3 2 4 4" xfId="10283" xr:uid="{581220F7-98BF-4D66-8F5C-D458DABED465}"/>
    <cellStyle name="Normal 5 3 3 3 2 4 5" xfId="18728" xr:uid="{9BCF8DA7-F845-484D-A60A-BBAAA2EA4225}"/>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21A2005F-4148-4924-8C97-0B4847162A35}"/>
    <cellStyle name="Normal 5 3 3 3 2 5 2 2 3" xfId="25505" xr:uid="{90138E8F-11F2-4B6D-A065-36D9497C3F16}"/>
    <cellStyle name="Normal 5 3 3 3 2 5 2 3" xfId="12841" xr:uid="{400E2236-CA76-429F-80AA-E05731FE08A2}"/>
    <cellStyle name="Normal 5 3 3 3 2 5 2 4" xfId="21288" xr:uid="{D07258AF-3BC5-43CA-BAA4-1AC4E075F0B8}"/>
    <cellStyle name="Normal 5 3 3 3 2 5 3" xfId="6472" xr:uid="{00000000-0005-0000-0000-0000D7190000}"/>
    <cellStyle name="Normal 5 3 3 3 2 5 3 2" xfId="14914" xr:uid="{A834DF6A-977C-477F-B94C-599C2F8F7EC7}"/>
    <cellStyle name="Normal 5 3 3 3 2 5 3 3" xfId="23360" xr:uid="{53839C1D-03FA-4F34-8E97-33D85FB9C2AA}"/>
    <cellStyle name="Normal 5 3 3 3 2 5 4" xfId="10696" xr:uid="{4B6D563D-6BF6-4546-B241-8F9643B18C38}"/>
    <cellStyle name="Normal 5 3 3 3 2 5 5" xfId="19141" xr:uid="{3C975B89-CA81-4829-934A-89D4293FBE2A}"/>
    <cellStyle name="Normal 5 3 3 3 2 6" xfId="2601" xr:uid="{00000000-0005-0000-0000-0000D8190000}"/>
    <cellStyle name="Normal 5 3 3 3 2 6 2" xfId="6885" xr:uid="{00000000-0005-0000-0000-0000D9190000}"/>
    <cellStyle name="Normal 5 3 3 3 2 6 2 2" xfId="15327" xr:uid="{82E56E9F-4242-41EF-A738-B9118AA4415B}"/>
    <cellStyle name="Normal 5 3 3 3 2 6 2 3" xfId="23773" xr:uid="{C6337485-6705-4E13-AC5A-E94B1044CEE6}"/>
    <cellStyle name="Normal 5 3 3 3 2 6 3" xfId="11109" xr:uid="{44691727-C09D-4047-8C26-17FC618A8396}"/>
    <cellStyle name="Normal 5 3 3 3 2 6 4" xfId="19554" xr:uid="{A89C41E9-7D37-4CB5-91AE-6D63D3E22225}"/>
    <cellStyle name="Normal 5 3 3 3 2 7" xfId="4820" xr:uid="{00000000-0005-0000-0000-0000DA190000}"/>
    <cellStyle name="Normal 5 3 3 3 2 7 2" xfId="13262" xr:uid="{60CE0583-0F72-4592-A814-47D8830524D6}"/>
    <cellStyle name="Normal 5 3 3 3 2 7 3" xfId="21708" xr:uid="{309BB4FF-AC61-4B57-915C-144F4521C7B7}"/>
    <cellStyle name="Normal 5 3 3 3 2 8" xfId="9044" xr:uid="{5B711AA3-B65E-4538-A6C7-47DF09EDD66D}"/>
    <cellStyle name="Normal 5 3 3 3 2 9" xfId="17488" xr:uid="{3E122DD8-0EF2-42CC-A88C-D68FBB3243FB}"/>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A3E0DDAD-2371-4B97-805E-B45F5274FB74}"/>
    <cellStyle name="Normal 5 3 3 3 3 2 2 3" xfId="24265" xr:uid="{23233A11-8F8F-467F-BA66-4DB233A038EF}"/>
    <cellStyle name="Normal 5 3 3 3 3 2 3" xfId="11601" xr:uid="{2F6DE624-1160-4AFB-8FE7-57EF60D5E9EF}"/>
    <cellStyle name="Normal 5 3 3 3 3 2 4" xfId="20048" xr:uid="{ED2D233D-5602-4D47-81E0-99ACDEA711F5}"/>
    <cellStyle name="Normal 5 3 3 3 3 3" xfId="5232" xr:uid="{00000000-0005-0000-0000-0000DE190000}"/>
    <cellStyle name="Normal 5 3 3 3 3 3 2" xfId="13674" xr:uid="{95AE1B62-0499-48AC-802A-FE74378FCFC0}"/>
    <cellStyle name="Normal 5 3 3 3 3 3 3" xfId="22120" xr:uid="{8F39AD5E-3D4F-4703-999E-22BF930910C7}"/>
    <cellStyle name="Normal 5 3 3 3 3 4" xfId="9456" xr:uid="{507BBCD9-5EA7-4E60-B3E7-E2EAA4055CF8}"/>
    <cellStyle name="Normal 5 3 3 3 3 5" xfId="17901" xr:uid="{424FDD16-7B99-4860-8044-2D3063CCFACA}"/>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98221218-70E3-4B9A-AD0C-0B1CFB80AA16}"/>
    <cellStyle name="Normal 5 3 3 3 4 2 2 3" xfId="24678" xr:uid="{A8CB3A2E-0414-4A03-BA98-E4CA4279614E}"/>
    <cellStyle name="Normal 5 3 3 3 4 2 3" xfId="12014" xr:uid="{81D0C948-3CA4-4F0A-8993-20E9B314CC60}"/>
    <cellStyle name="Normal 5 3 3 3 4 2 4" xfId="20461" xr:uid="{5983B5A2-189F-44D3-AA85-4E367740AD08}"/>
    <cellStyle name="Normal 5 3 3 3 4 3" xfId="5645" xr:uid="{00000000-0005-0000-0000-0000E2190000}"/>
    <cellStyle name="Normal 5 3 3 3 4 3 2" xfId="14087" xr:uid="{B942F1D2-E5B0-44D9-A6B4-096B52044A42}"/>
    <cellStyle name="Normal 5 3 3 3 4 3 3" xfId="22533" xr:uid="{7577B6C3-75D5-490C-9184-B87BA598595D}"/>
    <cellStyle name="Normal 5 3 3 3 4 4" xfId="9869" xr:uid="{EF8C1608-321E-4A76-BFBE-4BF4C6062538}"/>
    <cellStyle name="Normal 5 3 3 3 4 5" xfId="18314" xr:uid="{756426F3-EA47-4544-A22C-61F3A25D93A1}"/>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4A105391-5E12-4DBC-86EB-572A009668F1}"/>
    <cellStyle name="Normal 5 3 3 3 5 2 2 3" xfId="25091" xr:uid="{0BCDCCE0-F01C-4A0F-8DAB-251A79C16DE7}"/>
    <cellStyle name="Normal 5 3 3 3 5 2 3" xfId="12427" xr:uid="{61D6C397-5535-48F0-B20A-CE5581E68B22}"/>
    <cellStyle name="Normal 5 3 3 3 5 2 4" xfId="20874" xr:uid="{3440FC7F-AEDC-432F-AC21-A9BECE293802}"/>
    <cellStyle name="Normal 5 3 3 3 5 3" xfId="6058" xr:uid="{00000000-0005-0000-0000-0000E6190000}"/>
    <cellStyle name="Normal 5 3 3 3 5 3 2" xfId="14500" xr:uid="{1BA3F240-553C-45E8-89B3-D7BF59B1CA0C}"/>
    <cellStyle name="Normal 5 3 3 3 5 3 3" xfId="22946" xr:uid="{43EA8C18-8A1F-4022-9790-3FD7106E7375}"/>
    <cellStyle name="Normal 5 3 3 3 5 4" xfId="10282" xr:uid="{858D10A1-DB18-4290-9CC1-326A099A3085}"/>
    <cellStyle name="Normal 5 3 3 3 5 5" xfId="18727" xr:uid="{9C715F0E-5D01-4DB0-AA6C-6B443C7C908C}"/>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745E952D-7944-4BB9-B26F-B5512017E71B}"/>
    <cellStyle name="Normal 5 3 3 3 6 2 2 3" xfId="25504" xr:uid="{62FF5AAD-EA85-4DE1-81B5-A7EF155AA595}"/>
    <cellStyle name="Normal 5 3 3 3 6 2 3" xfId="12840" xr:uid="{59F92B4D-ABA2-4834-9A4C-9C1B78B3E27E}"/>
    <cellStyle name="Normal 5 3 3 3 6 2 4" xfId="21287" xr:uid="{B401C289-CD4E-4623-9980-6427709CB1FF}"/>
    <cellStyle name="Normal 5 3 3 3 6 3" xfId="6471" xr:uid="{00000000-0005-0000-0000-0000EA190000}"/>
    <cellStyle name="Normal 5 3 3 3 6 3 2" xfId="14913" xr:uid="{B48EE156-D1A5-44A6-9A34-0A840A22ED69}"/>
    <cellStyle name="Normal 5 3 3 3 6 3 3" xfId="23359" xr:uid="{603305C0-45A9-496C-A6DC-145616AA7EFD}"/>
    <cellStyle name="Normal 5 3 3 3 6 4" xfId="10695" xr:uid="{46703553-C3EE-46A3-A829-BE4911CD40EA}"/>
    <cellStyle name="Normal 5 3 3 3 6 5" xfId="19140" xr:uid="{DEA2B2ED-6EE9-4EED-B449-14C9ADC8B116}"/>
    <cellStyle name="Normal 5 3 3 3 7" xfId="2600" xr:uid="{00000000-0005-0000-0000-0000EB190000}"/>
    <cellStyle name="Normal 5 3 3 3 7 2" xfId="6884" xr:uid="{00000000-0005-0000-0000-0000EC190000}"/>
    <cellStyle name="Normal 5 3 3 3 7 2 2" xfId="15326" xr:uid="{7663A6C5-652D-41FC-A7D8-BD7F4F78F91F}"/>
    <cellStyle name="Normal 5 3 3 3 7 2 3" xfId="23772" xr:uid="{DD62F5F4-6C8E-45C8-88FE-AB79D4E14E19}"/>
    <cellStyle name="Normal 5 3 3 3 7 3" xfId="11108" xr:uid="{42B48849-4A33-4133-AEE2-8CB1B489895D}"/>
    <cellStyle name="Normal 5 3 3 3 7 4" xfId="19553" xr:uid="{7A31AB9E-4141-4A61-813F-EEABC046C970}"/>
    <cellStyle name="Normal 5 3 3 3 8" xfId="4819" xr:uid="{00000000-0005-0000-0000-0000ED190000}"/>
    <cellStyle name="Normal 5 3 3 3 8 2" xfId="13261" xr:uid="{8CB9F983-D106-454D-BF62-299E6984818A}"/>
    <cellStyle name="Normal 5 3 3 3 8 3" xfId="21707" xr:uid="{EA71B514-1158-471D-B373-EF1C20C96FB6}"/>
    <cellStyle name="Normal 5 3 3 3 9" xfId="9043" xr:uid="{6A5EF9E1-FCC5-4D78-AAB7-5833EA62EA74}"/>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6D588C8A-2D95-4AA7-9476-293A52AF7A6F}"/>
    <cellStyle name="Normal 5 3 3 4 2 2 2 3" xfId="24267" xr:uid="{89A8DF61-AB50-4E1D-8CA4-C0A41B38F509}"/>
    <cellStyle name="Normal 5 3 3 4 2 2 3" xfId="11603" xr:uid="{647EEFD8-93C9-4321-B170-556225F2EF4F}"/>
    <cellStyle name="Normal 5 3 3 4 2 2 4" xfId="20050" xr:uid="{2AFDE394-C2E2-415D-896E-17A6662AC4BC}"/>
    <cellStyle name="Normal 5 3 3 4 2 3" xfId="5234" xr:uid="{00000000-0005-0000-0000-0000F2190000}"/>
    <cellStyle name="Normal 5 3 3 4 2 3 2" xfId="13676" xr:uid="{9597B154-5A16-45E7-B102-BBC475FFF0B2}"/>
    <cellStyle name="Normal 5 3 3 4 2 3 3" xfId="22122" xr:uid="{906F9EA8-34E4-46C8-B46D-BF33286F6659}"/>
    <cellStyle name="Normal 5 3 3 4 2 4" xfId="9458" xr:uid="{044C43FC-79E9-4B1A-B2CC-A3486161C357}"/>
    <cellStyle name="Normal 5 3 3 4 2 5" xfId="17903" xr:uid="{0D7C465D-BF5F-4C45-9206-CFAE8FFBC118}"/>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8E351E3D-4351-45E8-9C81-8CB9D3AB6C0A}"/>
    <cellStyle name="Normal 5 3 3 4 3 2 2 3" xfId="24680" xr:uid="{D1D44CAE-6882-4826-9B6D-55BCCF4CFFD3}"/>
    <cellStyle name="Normal 5 3 3 4 3 2 3" xfId="12016" xr:uid="{5E90247E-1C93-42B4-B8E3-7A1DFE7C123A}"/>
    <cellStyle name="Normal 5 3 3 4 3 2 4" xfId="20463" xr:uid="{FAA72B77-CE32-488D-976B-98DBAA6A38DD}"/>
    <cellStyle name="Normal 5 3 3 4 3 3" xfId="5647" xr:uid="{00000000-0005-0000-0000-0000F6190000}"/>
    <cellStyle name="Normal 5 3 3 4 3 3 2" xfId="14089" xr:uid="{118FBDCB-AD6B-43A3-B0B8-813A20D420C4}"/>
    <cellStyle name="Normal 5 3 3 4 3 3 3" xfId="22535" xr:uid="{ADC4C6B0-77BF-489C-95A7-FE72B797C7AA}"/>
    <cellStyle name="Normal 5 3 3 4 3 4" xfId="9871" xr:uid="{4DA6578F-3001-4F9E-8D3C-7D013DDCA5A9}"/>
    <cellStyle name="Normal 5 3 3 4 3 5" xfId="18316" xr:uid="{55E11E83-F050-4FB7-A51B-7167B47286E0}"/>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ED2278E9-C2DC-4048-96D4-66615849C384}"/>
    <cellStyle name="Normal 5 3 3 4 4 2 2 3" xfId="25093" xr:uid="{9725AEE1-4D21-4A34-8154-94FC0B4033C7}"/>
    <cellStyle name="Normal 5 3 3 4 4 2 3" xfId="12429" xr:uid="{D73B7F02-5E2A-4C23-84C2-99CCF8313FF3}"/>
    <cellStyle name="Normal 5 3 3 4 4 2 4" xfId="20876" xr:uid="{068562F6-536A-4087-9E6F-BC7A4C783850}"/>
    <cellStyle name="Normal 5 3 3 4 4 3" xfId="6060" xr:uid="{00000000-0005-0000-0000-0000FA190000}"/>
    <cellStyle name="Normal 5 3 3 4 4 3 2" xfId="14502" xr:uid="{B4DDB0F3-435F-4182-80DA-DE94B4A0AD61}"/>
    <cellStyle name="Normal 5 3 3 4 4 3 3" xfId="22948" xr:uid="{7AFA4AB0-8F61-4190-929B-AF2D537FFED3}"/>
    <cellStyle name="Normal 5 3 3 4 4 4" xfId="10284" xr:uid="{9D5CEABE-76BF-4B80-B027-83A987D750B2}"/>
    <cellStyle name="Normal 5 3 3 4 4 5" xfId="18729" xr:uid="{B513A0D7-7790-4CC9-A836-4014627FF109}"/>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3AA35592-F2EC-45DD-8B06-80CF38DEBA0D}"/>
    <cellStyle name="Normal 5 3 3 4 5 2 2 3" xfId="25506" xr:uid="{721E44DF-8FBA-49BD-A173-A5D222DA8EC5}"/>
    <cellStyle name="Normal 5 3 3 4 5 2 3" xfId="12842" xr:uid="{DE1BA61C-69E0-41C8-8F44-C88AE630A75A}"/>
    <cellStyle name="Normal 5 3 3 4 5 2 4" xfId="21289" xr:uid="{AE0FD399-E498-4B29-B91E-49DB2820A2FF}"/>
    <cellStyle name="Normal 5 3 3 4 5 3" xfId="6473" xr:uid="{00000000-0005-0000-0000-0000FE190000}"/>
    <cellStyle name="Normal 5 3 3 4 5 3 2" xfId="14915" xr:uid="{F342069D-A6D5-440F-BA6C-14B1A5A37C40}"/>
    <cellStyle name="Normal 5 3 3 4 5 3 3" xfId="23361" xr:uid="{89E6A6F3-149B-4721-AD7D-26604D58CBB4}"/>
    <cellStyle name="Normal 5 3 3 4 5 4" xfId="10697" xr:uid="{3D7E3B0D-F6D7-4808-AA1B-9535AE5FA0D1}"/>
    <cellStyle name="Normal 5 3 3 4 5 5" xfId="19142" xr:uid="{ACC85CD9-DF0C-4965-AD44-1131438807CF}"/>
    <cellStyle name="Normal 5 3 3 4 6" xfId="2602" xr:uid="{00000000-0005-0000-0000-0000FF190000}"/>
    <cellStyle name="Normal 5 3 3 4 6 2" xfId="6886" xr:uid="{00000000-0005-0000-0000-0000001A0000}"/>
    <cellStyle name="Normal 5 3 3 4 6 2 2" xfId="15328" xr:uid="{7CF3280C-16AE-4D78-8889-CD57BF75F8F9}"/>
    <cellStyle name="Normal 5 3 3 4 6 2 3" xfId="23774" xr:uid="{24C4A86C-C954-40DC-9C23-0A8BD095918C}"/>
    <cellStyle name="Normal 5 3 3 4 6 3" xfId="11110" xr:uid="{42BAFB2F-FB68-4AEE-9103-D92BE2457313}"/>
    <cellStyle name="Normal 5 3 3 4 6 4" xfId="19555" xr:uid="{9A8BC5BB-6457-482E-BE51-28F3DB4C6E32}"/>
    <cellStyle name="Normal 5 3 3 4 7" xfId="4821" xr:uid="{00000000-0005-0000-0000-0000011A0000}"/>
    <cellStyle name="Normal 5 3 3 4 7 2" xfId="13263" xr:uid="{4897C70A-C2F6-4671-BB8D-94FA95880135}"/>
    <cellStyle name="Normal 5 3 3 4 7 3" xfId="21709" xr:uid="{DD581B26-AFF0-488E-9DAF-95955E62464B}"/>
    <cellStyle name="Normal 5 3 3 4 8" xfId="9045" xr:uid="{C8B81FA6-5F29-44EC-B59B-81EE4ED13912}"/>
    <cellStyle name="Normal 5 3 3 4 9" xfId="17489" xr:uid="{A4A0FF02-A4C6-404D-B499-54001D1D62BE}"/>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301377EC-5E87-4A73-8E8D-8CD45F56ED82}"/>
    <cellStyle name="Normal 5 3 3 5 2 2 3" xfId="24260" xr:uid="{69149047-3C77-4379-B297-9925DCAB82A1}"/>
    <cellStyle name="Normal 5 3 3 5 2 3" xfId="11596" xr:uid="{91507D39-55E7-4BB1-9E7A-759D9845102E}"/>
    <cellStyle name="Normal 5 3 3 5 2 4" xfId="20043" xr:uid="{B96C3457-8603-40E3-BD49-B32D92B5747D}"/>
    <cellStyle name="Normal 5 3 3 5 3" xfId="5227" xr:uid="{00000000-0005-0000-0000-0000051A0000}"/>
    <cellStyle name="Normal 5 3 3 5 3 2" xfId="13669" xr:uid="{1178DD96-EEC3-4227-8446-FCA48AB2FBD9}"/>
    <cellStyle name="Normal 5 3 3 5 3 3" xfId="22115" xr:uid="{DCF8C4E3-44CB-4AE0-9DD9-778EDD4A708F}"/>
    <cellStyle name="Normal 5 3 3 5 4" xfId="9451" xr:uid="{B3024245-F299-4E84-8824-3CD28B00320A}"/>
    <cellStyle name="Normal 5 3 3 5 5" xfId="17896" xr:uid="{8F15E2C7-5893-4C73-9D02-C2BA2950DAD9}"/>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0654B6EB-14E0-471D-BA04-9E8F94BD2301}"/>
    <cellStyle name="Normal 5 3 3 6 2 2 3" xfId="24673" xr:uid="{8B19A65D-1371-4A62-9982-CF317F39B309}"/>
    <cellStyle name="Normal 5 3 3 6 2 3" xfId="12009" xr:uid="{D48EF3CC-430B-4158-9B19-0A332ADE736E}"/>
    <cellStyle name="Normal 5 3 3 6 2 4" xfId="20456" xr:uid="{039A884B-8C70-4F1B-A725-DC910FD39110}"/>
    <cellStyle name="Normal 5 3 3 6 3" xfId="5640" xr:uid="{00000000-0005-0000-0000-0000091A0000}"/>
    <cellStyle name="Normal 5 3 3 6 3 2" xfId="14082" xr:uid="{769B6937-1A47-4F3E-ADB7-D0FE53736A10}"/>
    <cellStyle name="Normal 5 3 3 6 3 3" xfId="22528" xr:uid="{72930EC8-928A-4BA2-907B-8A3C48BE24AD}"/>
    <cellStyle name="Normal 5 3 3 6 4" xfId="9864" xr:uid="{D0D908D0-192E-4AAC-BA5D-665CF488A4F4}"/>
    <cellStyle name="Normal 5 3 3 6 5" xfId="18309" xr:uid="{7CB1A3C2-42B8-41D8-AFB8-B1C66071122E}"/>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3BE3357E-74ED-44F4-8F48-AFD62A06E673}"/>
    <cellStyle name="Normal 5 3 3 7 2 2 3" xfId="25086" xr:uid="{A877F0A6-0BA8-49D0-86B9-09AABBA09FE1}"/>
    <cellStyle name="Normal 5 3 3 7 2 3" xfId="12422" xr:uid="{EFA4A902-1CCB-4A1B-B9AB-8D7A7F556E60}"/>
    <cellStyle name="Normal 5 3 3 7 2 4" xfId="20869" xr:uid="{ECFF5CCF-4E90-4F22-80D0-09E6C135EB88}"/>
    <cellStyle name="Normal 5 3 3 7 3" xfId="6053" xr:uid="{00000000-0005-0000-0000-00000D1A0000}"/>
    <cellStyle name="Normal 5 3 3 7 3 2" xfId="14495" xr:uid="{DB51C258-3B96-45DE-A333-B83DACED9A92}"/>
    <cellStyle name="Normal 5 3 3 7 3 3" xfId="22941" xr:uid="{849F209F-C595-4CD8-AF5D-E5F1D108C03A}"/>
    <cellStyle name="Normal 5 3 3 7 4" xfId="10277" xr:uid="{AC475AA1-4444-417D-BB94-250054AB399B}"/>
    <cellStyle name="Normal 5 3 3 7 5" xfId="18722" xr:uid="{1443A150-5C77-4593-B77C-8EF01A0E8ABC}"/>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37D00477-EAA9-42EB-8329-81A838260161}"/>
    <cellStyle name="Normal 5 3 3 8 2 2 3" xfId="25499" xr:uid="{19D14DE4-FAD1-47E5-9D30-46B6A0BEED77}"/>
    <cellStyle name="Normal 5 3 3 8 2 3" xfId="12835" xr:uid="{08E7E5FC-55EE-4294-9D51-F10085BCD5D2}"/>
    <cellStyle name="Normal 5 3 3 8 2 4" xfId="21282" xr:uid="{439966D5-2484-4FAA-9845-103B137D1087}"/>
    <cellStyle name="Normal 5 3 3 8 3" xfId="6466" xr:uid="{00000000-0005-0000-0000-0000111A0000}"/>
    <cellStyle name="Normal 5 3 3 8 3 2" xfId="14908" xr:uid="{EEAB3155-30B3-4BBB-8F02-CA398DAA4183}"/>
    <cellStyle name="Normal 5 3 3 8 3 3" xfId="23354" xr:uid="{412F3A15-5795-4E33-A032-D7A66F100153}"/>
    <cellStyle name="Normal 5 3 3 8 4" xfId="10690" xr:uid="{8C5EEFD5-C0AD-44BC-A7B8-2CF1D81D4E9C}"/>
    <cellStyle name="Normal 5 3 3 8 5" xfId="19135" xr:uid="{B9979CBE-1BD0-43CA-8BBD-D044A8F4E0FE}"/>
    <cellStyle name="Normal 5 3 3 9" xfId="2595" xr:uid="{00000000-0005-0000-0000-0000121A0000}"/>
    <cellStyle name="Normal 5 3 3 9 2" xfId="6879" xr:uid="{00000000-0005-0000-0000-0000131A0000}"/>
    <cellStyle name="Normal 5 3 3 9 2 2" xfId="15321" xr:uid="{6BBA5A2B-3130-4B4D-A55A-F9E92437128C}"/>
    <cellStyle name="Normal 5 3 3 9 2 3" xfId="23767" xr:uid="{3AEF036E-241E-4B90-99FB-8BFD33E46B3D}"/>
    <cellStyle name="Normal 5 3 3 9 3" xfId="11103" xr:uid="{C6CDFEE1-2CBD-40E1-B6DD-729BD930034B}"/>
    <cellStyle name="Normal 5 3 3 9 4" xfId="19548" xr:uid="{FB6DE49C-35CF-4B00-ABCE-BF08D1E6CD46}"/>
    <cellStyle name="Normal 5 3 4" xfId="449" xr:uid="{00000000-0005-0000-0000-0000141A0000}"/>
    <cellStyle name="Normal 5 3 4 10" xfId="9046" xr:uid="{B734FF1F-9E7B-4CBC-9185-5259C89032C8}"/>
    <cellStyle name="Normal 5 3 4 11" xfId="17490" xr:uid="{78348FFB-A7D7-47C1-B448-043A7451DD87}"/>
    <cellStyle name="Normal 5 3 4 2" xfId="450" xr:uid="{00000000-0005-0000-0000-0000151A0000}"/>
    <cellStyle name="Normal 5 3 4 2 10" xfId="17491" xr:uid="{00DFE33B-DD95-4C36-83C0-E7F80108FE33}"/>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6121E63B-6841-4809-8FAF-3459492E5517}"/>
    <cellStyle name="Normal 5 3 4 2 2 2 2 2 3" xfId="24270" xr:uid="{021C1972-5184-4FC8-895D-487DE60B72F4}"/>
    <cellStyle name="Normal 5 3 4 2 2 2 2 3" xfId="11606" xr:uid="{4387A206-805B-4F63-BC1A-B5CC24FFEF12}"/>
    <cellStyle name="Normal 5 3 4 2 2 2 2 4" xfId="20053" xr:uid="{1A777542-670C-4D20-B99E-3647CFE54122}"/>
    <cellStyle name="Normal 5 3 4 2 2 2 3" xfId="5237" xr:uid="{00000000-0005-0000-0000-00001A1A0000}"/>
    <cellStyle name="Normal 5 3 4 2 2 2 3 2" xfId="13679" xr:uid="{D31F50DA-C9F4-4539-9DEE-8FEA909924AB}"/>
    <cellStyle name="Normal 5 3 4 2 2 2 3 3" xfId="22125" xr:uid="{C58E74B2-392E-4998-9F1D-DB55C0AA4D69}"/>
    <cellStyle name="Normal 5 3 4 2 2 2 4" xfId="9461" xr:uid="{6D4E8FC2-B701-4447-8B6B-8EC77D9879CE}"/>
    <cellStyle name="Normal 5 3 4 2 2 2 5" xfId="17906" xr:uid="{7C1A137C-A138-43B5-A3CE-A76A4F2E2F8E}"/>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90B06178-82D7-4210-BB96-BDD053ABCD3B}"/>
    <cellStyle name="Normal 5 3 4 2 2 3 2 2 3" xfId="24683" xr:uid="{6CEA207C-9B51-4379-835B-9C59B323ED32}"/>
    <cellStyle name="Normal 5 3 4 2 2 3 2 3" xfId="12019" xr:uid="{1C6D6C94-6E80-464A-B384-D561C1BA406F}"/>
    <cellStyle name="Normal 5 3 4 2 2 3 2 4" xfId="20466" xr:uid="{419D9CEC-B8C7-4231-B896-24D109585B52}"/>
    <cellStyle name="Normal 5 3 4 2 2 3 3" xfId="5650" xr:uid="{00000000-0005-0000-0000-00001E1A0000}"/>
    <cellStyle name="Normal 5 3 4 2 2 3 3 2" xfId="14092" xr:uid="{430D646A-0F9D-470C-A781-094A6D369BC3}"/>
    <cellStyle name="Normal 5 3 4 2 2 3 3 3" xfId="22538" xr:uid="{F45FC779-3E53-4DAE-9A4E-EE175E0CDE41}"/>
    <cellStyle name="Normal 5 3 4 2 2 3 4" xfId="9874" xr:uid="{29FD7A75-51CC-4BDE-BF6D-909BAED52B62}"/>
    <cellStyle name="Normal 5 3 4 2 2 3 5" xfId="18319" xr:uid="{8F0CDBE5-BC49-48FA-AE6F-946FE4560C39}"/>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D0A437B6-93DD-41D2-8F57-E6BE001F2782}"/>
    <cellStyle name="Normal 5 3 4 2 2 4 2 2 3" xfId="25096" xr:uid="{244FF836-FCFC-4AC1-93D7-0919E92D02F8}"/>
    <cellStyle name="Normal 5 3 4 2 2 4 2 3" xfId="12432" xr:uid="{5C740984-7F3F-4726-8DC4-E97B7F713E00}"/>
    <cellStyle name="Normal 5 3 4 2 2 4 2 4" xfId="20879" xr:uid="{608F21F1-96A3-45C3-91D8-B4B81D7BCF36}"/>
    <cellStyle name="Normal 5 3 4 2 2 4 3" xfId="6063" xr:uid="{00000000-0005-0000-0000-0000221A0000}"/>
    <cellStyle name="Normal 5 3 4 2 2 4 3 2" xfId="14505" xr:uid="{1877BBC5-43F4-437E-BAEE-3BB33D37F8E5}"/>
    <cellStyle name="Normal 5 3 4 2 2 4 3 3" xfId="22951" xr:uid="{BE396278-323A-4284-8975-F650565FF94A}"/>
    <cellStyle name="Normal 5 3 4 2 2 4 4" xfId="10287" xr:uid="{1E67E841-ACDD-422E-A5BE-602F4EB2AEBF}"/>
    <cellStyle name="Normal 5 3 4 2 2 4 5" xfId="18732" xr:uid="{180CCDF6-CC13-422C-89CE-1F09C2E4E31D}"/>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59E8F7B9-DD2A-4755-803F-E1790D27B2CA}"/>
    <cellStyle name="Normal 5 3 4 2 2 5 2 2 3" xfId="25509" xr:uid="{129A6259-85F5-4BFB-A2F2-43CB71D51D73}"/>
    <cellStyle name="Normal 5 3 4 2 2 5 2 3" xfId="12845" xr:uid="{4F619205-6991-4A16-B3CB-8EC73B4DAA4C}"/>
    <cellStyle name="Normal 5 3 4 2 2 5 2 4" xfId="21292" xr:uid="{4EA2E025-FD7E-4FDA-B5CE-95514B48BB90}"/>
    <cellStyle name="Normal 5 3 4 2 2 5 3" xfId="6476" xr:uid="{00000000-0005-0000-0000-0000261A0000}"/>
    <cellStyle name="Normal 5 3 4 2 2 5 3 2" xfId="14918" xr:uid="{36D78FC3-207B-487E-977A-BB35E448F4B1}"/>
    <cellStyle name="Normal 5 3 4 2 2 5 3 3" xfId="23364" xr:uid="{F871DAE4-2259-4708-B303-D5F42F3949BD}"/>
    <cellStyle name="Normal 5 3 4 2 2 5 4" xfId="10700" xr:uid="{730FE236-9B56-4AD7-BEF9-F24CB81489D3}"/>
    <cellStyle name="Normal 5 3 4 2 2 5 5" xfId="19145" xr:uid="{56C0351D-5B31-4CA2-9CDD-77ED19FC29DB}"/>
    <cellStyle name="Normal 5 3 4 2 2 6" xfId="2605" xr:uid="{00000000-0005-0000-0000-0000271A0000}"/>
    <cellStyle name="Normal 5 3 4 2 2 6 2" xfId="6889" xr:uid="{00000000-0005-0000-0000-0000281A0000}"/>
    <cellStyle name="Normal 5 3 4 2 2 6 2 2" xfId="15331" xr:uid="{0A680D9B-1D84-463B-9859-7E533ABAF80A}"/>
    <cellStyle name="Normal 5 3 4 2 2 6 2 3" xfId="23777" xr:uid="{4ED8E96B-9A5B-4823-9051-23C66415BAD6}"/>
    <cellStyle name="Normal 5 3 4 2 2 6 3" xfId="11113" xr:uid="{CAFCD9A1-2FF0-45ED-A181-99FC65035C28}"/>
    <cellStyle name="Normal 5 3 4 2 2 6 4" xfId="19558" xr:uid="{7E691119-AA3B-4D97-BB58-A36D8AC6E02C}"/>
    <cellStyle name="Normal 5 3 4 2 2 7" xfId="4824" xr:uid="{00000000-0005-0000-0000-0000291A0000}"/>
    <cellStyle name="Normal 5 3 4 2 2 7 2" xfId="13266" xr:uid="{C3E5E810-71D7-42B7-BAA2-20A76EB43C35}"/>
    <cellStyle name="Normal 5 3 4 2 2 7 3" xfId="21712" xr:uid="{17ED9CF9-8A2C-4C32-B068-62E21762CC71}"/>
    <cellStyle name="Normal 5 3 4 2 2 8" xfId="9048" xr:uid="{04570C60-C180-45D0-B3F0-896E5E12CC7F}"/>
    <cellStyle name="Normal 5 3 4 2 2 9" xfId="17492" xr:uid="{E0BFD9BB-F1B2-49F0-93CD-1A9B3F052320}"/>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509E6607-0285-4A89-8938-05E651FFF77E}"/>
    <cellStyle name="Normal 5 3 4 2 3 2 2 3" xfId="24269" xr:uid="{E5ACE522-F9E1-4A08-B047-D99C484508C0}"/>
    <cellStyle name="Normal 5 3 4 2 3 2 3" xfId="11605" xr:uid="{784F9358-7115-432B-B175-A7492252B10C}"/>
    <cellStyle name="Normal 5 3 4 2 3 2 4" xfId="20052" xr:uid="{91EBC7D6-9D44-4FCC-A0B1-D9AE55E05AE2}"/>
    <cellStyle name="Normal 5 3 4 2 3 3" xfId="5236" xr:uid="{00000000-0005-0000-0000-00002D1A0000}"/>
    <cellStyle name="Normal 5 3 4 2 3 3 2" xfId="13678" xr:uid="{E3DF5D82-4DB6-42EB-B104-C9883B345BBC}"/>
    <cellStyle name="Normal 5 3 4 2 3 3 3" xfId="22124" xr:uid="{B9AA68D5-F611-4588-94EA-79E461F79D73}"/>
    <cellStyle name="Normal 5 3 4 2 3 4" xfId="9460" xr:uid="{A68DDD3A-03BF-438A-9959-ED617C33B855}"/>
    <cellStyle name="Normal 5 3 4 2 3 5" xfId="17905" xr:uid="{E893DD9E-DB92-4C51-8310-C37C35144137}"/>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E103B47B-839C-4D75-8D0E-0F75A0632D4B}"/>
    <cellStyle name="Normal 5 3 4 2 4 2 2 3" xfId="24682" xr:uid="{ED860945-CD59-4DE8-8ED2-7222794D19BB}"/>
    <cellStyle name="Normal 5 3 4 2 4 2 3" xfId="12018" xr:uid="{E23E6BBF-BC74-43B9-ACA0-036859CB69E5}"/>
    <cellStyle name="Normal 5 3 4 2 4 2 4" xfId="20465" xr:uid="{0D3E9071-7675-42D2-85A1-AF2EC942AF69}"/>
    <cellStyle name="Normal 5 3 4 2 4 3" xfId="5649" xr:uid="{00000000-0005-0000-0000-0000311A0000}"/>
    <cellStyle name="Normal 5 3 4 2 4 3 2" xfId="14091" xr:uid="{8E92D8AE-7A41-44CA-96E1-5361D2E26F75}"/>
    <cellStyle name="Normal 5 3 4 2 4 3 3" xfId="22537" xr:uid="{2B145396-A625-421A-9DA9-FA5FA8CA2EC2}"/>
    <cellStyle name="Normal 5 3 4 2 4 4" xfId="9873" xr:uid="{9E09A2E5-799A-4D0D-A79F-7E0AC724DA24}"/>
    <cellStyle name="Normal 5 3 4 2 4 5" xfId="18318" xr:uid="{F390B5FF-F3C5-499C-9F86-A2A936E904CD}"/>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2344A14C-0787-42C9-90B4-AA12FB5C0CD7}"/>
    <cellStyle name="Normal 5 3 4 2 5 2 2 3" xfId="25095" xr:uid="{FA3FE385-C7D1-4320-9601-337ED7F9327C}"/>
    <cellStyle name="Normal 5 3 4 2 5 2 3" xfId="12431" xr:uid="{B5608FE5-780C-47AA-8402-7FED8B35A603}"/>
    <cellStyle name="Normal 5 3 4 2 5 2 4" xfId="20878" xr:uid="{E90896BF-9104-4EAC-879B-02CC149AA919}"/>
    <cellStyle name="Normal 5 3 4 2 5 3" xfId="6062" xr:uid="{00000000-0005-0000-0000-0000351A0000}"/>
    <cellStyle name="Normal 5 3 4 2 5 3 2" xfId="14504" xr:uid="{A4BD02BD-066F-4E27-A7F7-CB46150C14F2}"/>
    <cellStyle name="Normal 5 3 4 2 5 3 3" xfId="22950" xr:uid="{8E6E9D5C-12E8-48C2-A8E2-97D5A18FE104}"/>
    <cellStyle name="Normal 5 3 4 2 5 4" xfId="10286" xr:uid="{0F0343AC-4EB3-4C3C-AD13-532294316995}"/>
    <cellStyle name="Normal 5 3 4 2 5 5" xfId="18731" xr:uid="{E6C961DC-5632-4572-9EA4-16B2BBB7FDE4}"/>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FF1A726A-D912-47DC-A6DE-7D93467A9A70}"/>
    <cellStyle name="Normal 5 3 4 2 6 2 2 3" xfId="25508" xr:uid="{F124AFE0-9CB0-4ABC-A56D-97AF9F324335}"/>
    <cellStyle name="Normal 5 3 4 2 6 2 3" xfId="12844" xr:uid="{BD2202CB-4A07-431A-99A3-96A783E1D4A3}"/>
    <cellStyle name="Normal 5 3 4 2 6 2 4" xfId="21291" xr:uid="{1EEBF94F-39E3-48E3-A4AF-753E0C262121}"/>
    <cellStyle name="Normal 5 3 4 2 6 3" xfId="6475" xr:uid="{00000000-0005-0000-0000-0000391A0000}"/>
    <cellStyle name="Normal 5 3 4 2 6 3 2" xfId="14917" xr:uid="{C29B25B5-DA81-49B0-84FE-793AFBB15EE9}"/>
    <cellStyle name="Normal 5 3 4 2 6 3 3" xfId="23363" xr:uid="{33261238-14A8-4C73-93EA-B5528BF6CCC8}"/>
    <cellStyle name="Normal 5 3 4 2 6 4" xfId="10699" xr:uid="{34CF5C01-F362-482C-8A19-25D3E125AF0A}"/>
    <cellStyle name="Normal 5 3 4 2 6 5" xfId="19144" xr:uid="{36E3943C-6E3C-4B98-BF99-EEBAE884356A}"/>
    <cellStyle name="Normal 5 3 4 2 7" xfId="2604" xr:uid="{00000000-0005-0000-0000-00003A1A0000}"/>
    <cellStyle name="Normal 5 3 4 2 7 2" xfId="6888" xr:uid="{00000000-0005-0000-0000-00003B1A0000}"/>
    <cellStyle name="Normal 5 3 4 2 7 2 2" xfId="15330" xr:uid="{32D4ADF4-6E2F-4039-9AFB-86E6A1DE66C6}"/>
    <cellStyle name="Normal 5 3 4 2 7 2 3" xfId="23776" xr:uid="{ACF96FA3-C430-4AB9-92BD-E3FF7A3E3295}"/>
    <cellStyle name="Normal 5 3 4 2 7 3" xfId="11112" xr:uid="{8D066D07-1315-4611-A9A8-811552084475}"/>
    <cellStyle name="Normal 5 3 4 2 7 4" xfId="19557" xr:uid="{7A327F54-4BAF-46B1-B51C-1E3FA63E2CD5}"/>
    <cellStyle name="Normal 5 3 4 2 8" xfId="4823" xr:uid="{00000000-0005-0000-0000-00003C1A0000}"/>
    <cellStyle name="Normal 5 3 4 2 8 2" xfId="13265" xr:uid="{F8D28D2B-A8B5-434A-AC6E-7BF7B965B859}"/>
    <cellStyle name="Normal 5 3 4 2 8 3" xfId="21711" xr:uid="{D7FB3626-3B51-4F94-8EBA-3EC67F43E1FB}"/>
    <cellStyle name="Normal 5 3 4 2 9" xfId="9047" xr:uid="{0E1E0E01-978E-4577-BB27-2BF4B460724A}"/>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CA4F0B1B-E478-4D07-A38D-27297C1B5DB9}"/>
    <cellStyle name="Normal 5 3 4 3 2 2 2 3" xfId="24271" xr:uid="{7AA6009C-095F-4079-B226-F06343DAB0D9}"/>
    <cellStyle name="Normal 5 3 4 3 2 2 3" xfId="11607" xr:uid="{DD4F070E-1B77-4B37-AE47-25616F2AFE3D}"/>
    <cellStyle name="Normal 5 3 4 3 2 2 4" xfId="20054" xr:uid="{B285CFBC-24BB-4AEA-97A7-12AB41913C1D}"/>
    <cellStyle name="Normal 5 3 4 3 2 3" xfId="5238" xr:uid="{00000000-0005-0000-0000-0000411A0000}"/>
    <cellStyle name="Normal 5 3 4 3 2 3 2" xfId="13680" xr:uid="{B958E085-BE0E-4863-AE33-DA3DAB4BFEF5}"/>
    <cellStyle name="Normal 5 3 4 3 2 3 3" xfId="22126" xr:uid="{2074E7A5-D79E-4BCE-B5AD-0F169DBB2146}"/>
    <cellStyle name="Normal 5 3 4 3 2 4" xfId="9462" xr:uid="{7BF1EE75-A330-4D06-88CF-08191F1F58A3}"/>
    <cellStyle name="Normal 5 3 4 3 2 5" xfId="17907" xr:uid="{A2CA3B0D-ED9E-4CCC-9077-F4BA12198B62}"/>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0E02C2AE-125A-463D-A093-50F7A1D16B47}"/>
    <cellStyle name="Normal 5 3 4 3 3 2 2 3" xfId="24684" xr:uid="{01A03F9B-42D0-42EA-8DFA-C70034F7F07D}"/>
    <cellStyle name="Normal 5 3 4 3 3 2 3" xfId="12020" xr:uid="{DCE5B1B3-4885-4893-8398-E63FB443EA40}"/>
    <cellStyle name="Normal 5 3 4 3 3 2 4" xfId="20467" xr:uid="{18F8747A-7984-4AD8-B0A7-D650E5CB847F}"/>
    <cellStyle name="Normal 5 3 4 3 3 3" xfId="5651" xr:uid="{00000000-0005-0000-0000-0000451A0000}"/>
    <cellStyle name="Normal 5 3 4 3 3 3 2" xfId="14093" xr:uid="{CD388FAC-B9B4-44EF-90D4-431F194C650C}"/>
    <cellStyle name="Normal 5 3 4 3 3 3 3" xfId="22539" xr:uid="{9DEAE569-AF40-4350-8597-D19A80A3B5CB}"/>
    <cellStyle name="Normal 5 3 4 3 3 4" xfId="9875" xr:uid="{45998F14-FCEF-49DC-8678-A2E4D08D7AE3}"/>
    <cellStyle name="Normal 5 3 4 3 3 5" xfId="18320" xr:uid="{2C6D979B-BE70-4C04-BA62-7EB02BDB4E11}"/>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C46CB6E4-7566-4A1F-B818-B8D44FDD03AF}"/>
    <cellStyle name="Normal 5 3 4 3 4 2 2 3" xfId="25097" xr:uid="{3F3AED96-8008-40C3-9608-734C9E90AEE4}"/>
    <cellStyle name="Normal 5 3 4 3 4 2 3" xfId="12433" xr:uid="{CFC30552-30CC-40EE-8248-4B51F2071A37}"/>
    <cellStyle name="Normal 5 3 4 3 4 2 4" xfId="20880" xr:uid="{ADDCC849-A8C3-4481-AD5D-EB199A90CE62}"/>
    <cellStyle name="Normal 5 3 4 3 4 3" xfId="6064" xr:uid="{00000000-0005-0000-0000-0000491A0000}"/>
    <cellStyle name="Normal 5 3 4 3 4 3 2" xfId="14506" xr:uid="{B8AD3DFD-9568-4781-B08D-9097754B30A3}"/>
    <cellStyle name="Normal 5 3 4 3 4 3 3" xfId="22952" xr:uid="{6C265705-A0A0-4604-A7F6-6FA36DBA47F0}"/>
    <cellStyle name="Normal 5 3 4 3 4 4" xfId="10288" xr:uid="{4ADD5244-A013-4499-964E-E60142A3CD36}"/>
    <cellStyle name="Normal 5 3 4 3 4 5" xfId="18733" xr:uid="{8A1B39C8-5288-413A-BD8B-6CE45940CE94}"/>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BECAD28A-26E6-47A8-883B-2EE9EDC70F6A}"/>
    <cellStyle name="Normal 5 3 4 3 5 2 2 3" xfId="25510" xr:uid="{E29D6FC4-B54A-4EE2-8C3C-412C9CC6232A}"/>
    <cellStyle name="Normal 5 3 4 3 5 2 3" xfId="12846" xr:uid="{2D470B08-9074-4966-A00C-1E8BBE42EB90}"/>
    <cellStyle name="Normal 5 3 4 3 5 2 4" xfId="21293" xr:uid="{788930AA-42C9-4EDB-A369-DE1676350E82}"/>
    <cellStyle name="Normal 5 3 4 3 5 3" xfId="6477" xr:uid="{00000000-0005-0000-0000-00004D1A0000}"/>
    <cellStyle name="Normal 5 3 4 3 5 3 2" xfId="14919" xr:uid="{1A63BCDC-DA9D-4F83-9E2C-93753537855C}"/>
    <cellStyle name="Normal 5 3 4 3 5 3 3" xfId="23365" xr:uid="{DD8D81FE-8CD3-4CE6-8738-7A7F4FA5950A}"/>
    <cellStyle name="Normal 5 3 4 3 5 4" xfId="10701" xr:uid="{39687E14-C4F7-45B9-AE3A-645E9E0B899A}"/>
    <cellStyle name="Normal 5 3 4 3 5 5" xfId="19146" xr:uid="{9E6B2A2D-C581-4173-8629-B78BE15AB628}"/>
    <cellStyle name="Normal 5 3 4 3 6" xfId="2606" xr:uid="{00000000-0005-0000-0000-00004E1A0000}"/>
    <cellStyle name="Normal 5 3 4 3 6 2" xfId="6890" xr:uid="{00000000-0005-0000-0000-00004F1A0000}"/>
    <cellStyle name="Normal 5 3 4 3 6 2 2" xfId="15332" xr:uid="{26FD3E9E-EA94-47FA-9359-DE478A5EB5F2}"/>
    <cellStyle name="Normal 5 3 4 3 6 2 3" xfId="23778" xr:uid="{72318BCF-4D68-4BD5-BFE5-06A4B3801825}"/>
    <cellStyle name="Normal 5 3 4 3 6 3" xfId="11114" xr:uid="{EB5B6098-0F7D-4A0B-A2C9-AB3FE76FE991}"/>
    <cellStyle name="Normal 5 3 4 3 6 4" xfId="19559" xr:uid="{A29ED181-A5D1-41B8-ADCE-1DF1BE518645}"/>
    <cellStyle name="Normal 5 3 4 3 7" xfId="4825" xr:uid="{00000000-0005-0000-0000-0000501A0000}"/>
    <cellStyle name="Normal 5 3 4 3 7 2" xfId="13267" xr:uid="{FBAFA289-CA0D-499B-A827-738260B01D79}"/>
    <cellStyle name="Normal 5 3 4 3 7 3" xfId="21713" xr:uid="{13F6C80E-8D36-48EE-BDA7-E2B0C8D4A667}"/>
    <cellStyle name="Normal 5 3 4 3 8" xfId="9049" xr:uid="{26DE4959-A0E5-4DB3-90D9-B8A60DD3828C}"/>
    <cellStyle name="Normal 5 3 4 3 9" xfId="17493" xr:uid="{5A59B465-AB8D-4864-81F1-9B42E7154BDB}"/>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EF488DB6-BAA1-4B3B-A26F-4A80542F525C}"/>
    <cellStyle name="Normal 5 3 4 4 2 2 3" xfId="24268" xr:uid="{6208142D-1848-4776-AB5A-EB9BDFEA4E9B}"/>
    <cellStyle name="Normal 5 3 4 4 2 3" xfId="11604" xr:uid="{54B37421-ACA3-48E2-8310-4BB0EDBE1E7B}"/>
    <cellStyle name="Normal 5 3 4 4 2 4" xfId="20051" xr:uid="{253307FD-31BE-4370-BDC8-4D18F77CFD6F}"/>
    <cellStyle name="Normal 5 3 4 4 3" xfId="5235" xr:uid="{00000000-0005-0000-0000-0000541A0000}"/>
    <cellStyle name="Normal 5 3 4 4 3 2" xfId="13677" xr:uid="{6BDF291C-39E8-4BD4-8F0E-C1355E21D372}"/>
    <cellStyle name="Normal 5 3 4 4 3 3" xfId="22123" xr:uid="{CCEE4751-45DF-4AF9-BBCC-7054F3E2D0CC}"/>
    <cellStyle name="Normal 5 3 4 4 4" xfId="9459" xr:uid="{A9C60836-0F8F-4C88-A477-0BED29C43363}"/>
    <cellStyle name="Normal 5 3 4 4 5" xfId="17904" xr:uid="{BB9004C3-0BED-4873-A4A4-247616315568}"/>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C160EF5F-1881-4886-A810-61F575217321}"/>
    <cellStyle name="Normal 5 3 4 5 2 2 3" xfId="24681" xr:uid="{A8BB7267-D7FF-41D1-B43A-98E39A059A2D}"/>
    <cellStyle name="Normal 5 3 4 5 2 3" xfId="12017" xr:uid="{B1DCF502-7444-413E-A2CC-F26B9DCFD8B4}"/>
    <cellStyle name="Normal 5 3 4 5 2 4" xfId="20464" xr:uid="{434655D6-0058-4A0E-A012-BD6A0E4EEE97}"/>
    <cellStyle name="Normal 5 3 4 5 3" xfId="5648" xr:uid="{00000000-0005-0000-0000-0000581A0000}"/>
    <cellStyle name="Normal 5 3 4 5 3 2" xfId="14090" xr:uid="{437AE1BC-97CA-4744-B09D-636A02BF5AB5}"/>
    <cellStyle name="Normal 5 3 4 5 3 3" xfId="22536" xr:uid="{19322C08-C68F-4D61-A8D1-8955155126D6}"/>
    <cellStyle name="Normal 5 3 4 5 4" xfId="9872" xr:uid="{DC7653DE-1625-4416-B1E1-CC3E2437CF81}"/>
    <cellStyle name="Normal 5 3 4 5 5" xfId="18317" xr:uid="{451BBC1A-C2E8-4B15-A404-2F8E8E6BE8FC}"/>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A2F6B0AE-9185-4DA0-A3F3-E32F5DEE5259}"/>
    <cellStyle name="Normal 5 3 4 6 2 2 3" xfId="25094" xr:uid="{DEE51C32-3053-4567-B303-B5D327F5F7C8}"/>
    <cellStyle name="Normal 5 3 4 6 2 3" xfId="12430" xr:uid="{9483A07F-703A-48B2-85C8-E90E8CA77657}"/>
    <cellStyle name="Normal 5 3 4 6 2 4" xfId="20877" xr:uid="{3B7FBE2B-C3C2-4902-94DF-AC54313CA703}"/>
    <cellStyle name="Normal 5 3 4 6 3" xfId="6061" xr:uid="{00000000-0005-0000-0000-00005C1A0000}"/>
    <cellStyle name="Normal 5 3 4 6 3 2" xfId="14503" xr:uid="{29F235DE-4613-4C07-9272-73E61E8B53E5}"/>
    <cellStyle name="Normal 5 3 4 6 3 3" xfId="22949" xr:uid="{9D234EA1-2E89-4005-9C9B-DE1C7A28EB98}"/>
    <cellStyle name="Normal 5 3 4 6 4" xfId="10285" xr:uid="{3B585CFF-2FCF-486C-AA5A-8BC0688EF411}"/>
    <cellStyle name="Normal 5 3 4 6 5" xfId="18730" xr:uid="{80B06463-BA90-4EB4-A493-2703C35E81B9}"/>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85D2C5DD-7C17-4F75-B22A-D71557A22C45}"/>
    <cellStyle name="Normal 5 3 4 7 2 2 3" xfId="25507" xr:uid="{1555B4AF-0123-48A4-9799-B7BEC5F460EC}"/>
    <cellStyle name="Normal 5 3 4 7 2 3" xfId="12843" xr:uid="{B6D4A4C3-660E-425D-9D4A-5B73B8E842B1}"/>
    <cellStyle name="Normal 5 3 4 7 2 4" xfId="21290" xr:uid="{2911DA84-07DC-451F-A999-5840A48A1268}"/>
    <cellStyle name="Normal 5 3 4 7 3" xfId="6474" xr:uid="{00000000-0005-0000-0000-0000601A0000}"/>
    <cellStyle name="Normal 5 3 4 7 3 2" xfId="14916" xr:uid="{1A2FC9B6-9783-4BFB-919A-D4D14D6993CD}"/>
    <cellStyle name="Normal 5 3 4 7 3 3" xfId="23362" xr:uid="{E07E4287-8F0B-417B-98CD-4FD096235C9B}"/>
    <cellStyle name="Normal 5 3 4 7 4" xfId="10698" xr:uid="{2216F468-9D37-4CEB-ABA4-07EE02F3476F}"/>
    <cellStyle name="Normal 5 3 4 7 5" xfId="19143" xr:uid="{D4198783-9116-4440-930B-00BAE204E548}"/>
    <cellStyle name="Normal 5 3 4 8" xfId="2603" xr:uid="{00000000-0005-0000-0000-0000611A0000}"/>
    <cellStyle name="Normal 5 3 4 8 2" xfId="6887" xr:uid="{00000000-0005-0000-0000-0000621A0000}"/>
    <cellStyle name="Normal 5 3 4 8 2 2" xfId="15329" xr:uid="{EA69808D-3357-490F-9C58-E0AED729C192}"/>
    <cellStyle name="Normal 5 3 4 8 2 3" xfId="23775" xr:uid="{D09198EB-B9E0-435B-B0EF-8B37CFF36D79}"/>
    <cellStyle name="Normal 5 3 4 8 3" xfId="11111" xr:uid="{2B34C078-943E-49CB-A6A9-BA36C3BEB815}"/>
    <cellStyle name="Normal 5 3 4 8 4" xfId="19556" xr:uid="{DEED5D66-4E87-4F5D-99B6-0CE688979C35}"/>
    <cellStyle name="Normal 5 3 4 9" xfId="4822" xr:uid="{00000000-0005-0000-0000-0000631A0000}"/>
    <cellStyle name="Normal 5 3 4 9 2" xfId="13264" xr:uid="{4B166D9D-3A5A-4CFC-A5CD-A9D3A2CA2DF9}"/>
    <cellStyle name="Normal 5 3 4 9 3" xfId="21710" xr:uid="{FBE860D3-CD3C-4476-9483-F94D686486C1}"/>
    <cellStyle name="Normal 5 3 5" xfId="453" xr:uid="{00000000-0005-0000-0000-0000641A0000}"/>
    <cellStyle name="Normal 5 3 5 10" xfId="17494" xr:uid="{60DB9763-5145-4CE3-8B60-C3815D66206B}"/>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3FF23FF7-3133-4188-9413-74E86FB08807}"/>
    <cellStyle name="Normal 5 3 5 2 2 2 2 3" xfId="24273" xr:uid="{0BAAAA66-C660-4C5B-B637-E478FB8F2614}"/>
    <cellStyle name="Normal 5 3 5 2 2 2 3" xfId="11609" xr:uid="{0E312DB8-A62E-482A-94A0-BC02D823F011}"/>
    <cellStyle name="Normal 5 3 5 2 2 2 4" xfId="20056" xr:uid="{AC885AB3-9156-4903-AB01-45124141EE5C}"/>
    <cellStyle name="Normal 5 3 5 2 2 3" xfId="5240" xr:uid="{00000000-0005-0000-0000-0000691A0000}"/>
    <cellStyle name="Normal 5 3 5 2 2 3 2" xfId="13682" xr:uid="{FD7FC2CB-8971-4E26-BC3B-25648508B299}"/>
    <cellStyle name="Normal 5 3 5 2 2 3 3" xfId="22128" xr:uid="{DFC78154-3F03-407E-BF6D-CB6C1767C5D2}"/>
    <cellStyle name="Normal 5 3 5 2 2 4" xfId="9464" xr:uid="{9D4F6441-F28A-478F-BEEB-EEC049829BE9}"/>
    <cellStyle name="Normal 5 3 5 2 2 5" xfId="17909" xr:uid="{DBF4013B-5FF4-4775-BF4E-D2823EA16C01}"/>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C21EA668-A506-46CF-971A-3999A1BD0FE0}"/>
    <cellStyle name="Normal 5 3 5 2 3 2 2 3" xfId="24686" xr:uid="{8D5FB8AA-D74F-454A-93A2-905E2E5444B4}"/>
    <cellStyle name="Normal 5 3 5 2 3 2 3" xfId="12022" xr:uid="{16B202C4-679A-4793-9F5F-3E9F5A10A600}"/>
    <cellStyle name="Normal 5 3 5 2 3 2 4" xfId="20469" xr:uid="{9DA69A92-F297-4698-ABAE-92C8A4D05FA6}"/>
    <cellStyle name="Normal 5 3 5 2 3 3" xfId="5653" xr:uid="{00000000-0005-0000-0000-00006D1A0000}"/>
    <cellStyle name="Normal 5 3 5 2 3 3 2" xfId="14095" xr:uid="{2B0A891D-411C-4BA8-B604-07A00D6CC9C9}"/>
    <cellStyle name="Normal 5 3 5 2 3 3 3" xfId="22541" xr:uid="{88BD64F3-187B-462A-AE6F-CE721F666DC0}"/>
    <cellStyle name="Normal 5 3 5 2 3 4" xfId="9877" xr:uid="{A11EF680-A861-46B8-B2BD-07E5770EB03B}"/>
    <cellStyle name="Normal 5 3 5 2 3 5" xfId="18322" xr:uid="{0AADD5F6-916F-4BBE-9DE3-E42E262F5278}"/>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40760771-659F-4C3D-9FBC-F1041E3BD35A}"/>
    <cellStyle name="Normal 5 3 5 2 4 2 2 3" xfId="25099" xr:uid="{9A493A63-F4FC-4732-9845-B6212D17458B}"/>
    <cellStyle name="Normal 5 3 5 2 4 2 3" xfId="12435" xr:uid="{160C9E24-AF72-4C34-80E5-37EDCF3CA644}"/>
    <cellStyle name="Normal 5 3 5 2 4 2 4" xfId="20882" xr:uid="{CB319BC0-291F-46E2-8B66-653DD0E880F3}"/>
    <cellStyle name="Normal 5 3 5 2 4 3" xfId="6066" xr:uid="{00000000-0005-0000-0000-0000711A0000}"/>
    <cellStyle name="Normal 5 3 5 2 4 3 2" xfId="14508" xr:uid="{4DC9363B-25D6-433F-A50F-8A59DA168DE1}"/>
    <cellStyle name="Normal 5 3 5 2 4 3 3" xfId="22954" xr:uid="{818E9BC3-A3F3-4B22-84E6-79E75CB28B98}"/>
    <cellStyle name="Normal 5 3 5 2 4 4" xfId="10290" xr:uid="{93F24605-E6BC-4A5F-AB46-2E8BDFEF257F}"/>
    <cellStyle name="Normal 5 3 5 2 4 5" xfId="18735" xr:uid="{3C9D86DC-DB42-4950-B768-5D928BE8E5DC}"/>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21D5E094-FB13-4B30-A946-CBDD49BE1618}"/>
    <cellStyle name="Normal 5 3 5 2 5 2 2 3" xfId="25512" xr:uid="{F1C9EEE8-0542-4AF2-A8AE-74F7372A054A}"/>
    <cellStyle name="Normal 5 3 5 2 5 2 3" xfId="12848" xr:uid="{E1D5A23F-1B0C-4949-96DB-F7544CE97170}"/>
    <cellStyle name="Normal 5 3 5 2 5 2 4" xfId="21295" xr:uid="{1F592181-77E5-45F8-A259-331A62752202}"/>
    <cellStyle name="Normal 5 3 5 2 5 3" xfId="6479" xr:uid="{00000000-0005-0000-0000-0000751A0000}"/>
    <cellStyle name="Normal 5 3 5 2 5 3 2" xfId="14921" xr:uid="{B2E4A4F4-CD56-45DF-820D-ACDEE4BE9834}"/>
    <cellStyle name="Normal 5 3 5 2 5 3 3" xfId="23367" xr:uid="{3535FB47-04CF-4562-99E6-E93B511D971E}"/>
    <cellStyle name="Normal 5 3 5 2 5 4" xfId="10703" xr:uid="{179F6425-DD1F-48A3-91C8-C6CE5B882350}"/>
    <cellStyle name="Normal 5 3 5 2 5 5" xfId="19148" xr:uid="{51D9CED2-7AB2-42D7-8598-02C9CA397872}"/>
    <cellStyle name="Normal 5 3 5 2 6" xfId="2608" xr:uid="{00000000-0005-0000-0000-0000761A0000}"/>
    <cellStyle name="Normal 5 3 5 2 6 2" xfId="6892" xr:uid="{00000000-0005-0000-0000-0000771A0000}"/>
    <cellStyle name="Normal 5 3 5 2 6 2 2" xfId="15334" xr:uid="{730D0C24-3ECD-4CC6-9168-A8B3F442A009}"/>
    <cellStyle name="Normal 5 3 5 2 6 2 3" xfId="23780" xr:uid="{5DA3274D-2B50-4179-8F8A-9C208EE3268A}"/>
    <cellStyle name="Normal 5 3 5 2 6 3" xfId="11116" xr:uid="{C7A94527-0B5E-4CF5-A79B-B035A0A68325}"/>
    <cellStyle name="Normal 5 3 5 2 6 4" xfId="19561" xr:uid="{E73F29F1-59A4-4BAF-8E90-215E9E0E0D70}"/>
    <cellStyle name="Normal 5 3 5 2 7" xfId="4827" xr:uid="{00000000-0005-0000-0000-0000781A0000}"/>
    <cellStyle name="Normal 5 3 5 2 7 2" xfId="13269" xr:uid="{4CF46FB2-930E-4663-9ED3-B7418A6F49B3}"/>
    <cellStyle name="Normal 5 3 5 2 7 3" xfId="21715" xr:uid="{FFD6F7A2-D99B-47E9-87BA-BFB62723E5DC}"/>
    <cellStyle name="Normal 5 3 5 2 8" xfId="9051" xr:uid="{4E81F155-24F8-461C-9192-99BAD8E30EE4}"/>
    <cellStyle name="Normal 5 3 5 2 9" xfId="17495" xr:uid="{1EBEA5D1-2500-4DCF-BE8B-AEA1E68F0431}"/>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6FC0A9B3-861D-4540-B23E-AC819B2A2D5D}"/>
    <cellStyle name="Normal 5 3 5 3 2 2 3" xfId="24272" xr:uid="{35CF1CD5-E21C-4BAD-AEB8-A5776638ACA0}"/>
    <cellStyle name="Normal 5 3 5 3 2 3" xfId="11608" xr:uid="{F4078A3E-245B-451B-84E7-7255BE895FA6}"/>
    <cellStyle name="Normal 5 3 5 3 2 4" xfId="20055" xr:uid="{DC5BE420-9E98-41CA-9A40-A330EF936006}"/>
    <cellStyle name="Normal 5 3 5 3 3" xfId="5239" xr:uid="{00000000-0005-0000-0000-00007C1A0000}"/>
    <cellStyle name="Normal 5 3 5 3 3 2" xfId="13681" xr:uid="{356C0876-969B-40B9-BD27-09F82AFA31C3}"/>
    <cellStyle name="Normal 5 3 5 3 3 3" xfId="22127" xr:uid="{0FB26709-991A-482C-A0C7-BB94B1CB20E4}"/>
    <cellStyle name="Normal 5 3 5 3 4" xfId="9463" xr:uid="{A657468B-E5BE-4F32-825B-892958C290E8}"/>
    <cellStyle name="Normal 5 3 5 3 5" xfId="17908" xr:uid="{DF18FD6D-B1C6-4825-9457-ED47760805AE}"/>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0EFEDF96-ED7E-4F6C-8229-A2E65CC57E86}"/>
    <cellStyle name="Normal 5 3 5 4 2 2 3" xfId="24685" xr:uid="{B48B535B-FE2A-4FF2-9719-313C8AA0C270}"/>
    <cellStyle name="Normal 5 3 5 4 2 3" xfId="12021" xr:uid="{5D64AAB2-F99F-4FBB-A634-9EDF16DFB61D}"/>
    <cellStyle name="Normal 5 3 5 4 2 4" xfId="20468" xr:uid="{F3EDF35B-D3AA-46C8-B978-0C6D0E74E815}"/>
    <cellStyle name="Normal 5 3 5 4 3" xfId="5652" xr:uid="{00000000-0005-0000-0000-0000801A0000}"/>
    <cellStyle name="Normal 5 3 5 4 3 2" xfId="14094" xr:uid="{DC7516BB-7045-4000-A81E-EDF37CD39E01}"/>
    <cellStyle name="Normal 5 3 5 4 3 3" xfId="22540" xr:uid="{EBF6DE13-67E5-4019-9A48-A641147A8A8D}"/>
    <cellStyle name="Normal 5 3 5 4 4" xfId="9876" xr:uid="{D175D782-DCE0-4963-A906-22248169D331}"/>
    <cellStyle name="Normal 5 3 5 4 5" xfId="18321" xr:uid="{D3A22614-13DB-44B1-A615-F304B4407F30}"/>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CDC43533-5562-4306-A74A-78FC18FE294B}"/>
    <cellStyle name="Normal 5 3 5 5 2 2 3" xfId="25098" xr:uid="{AE04C28D-5743-43EF-890E-00A5497EB9B6}"/>
    <cellStyle name="Normal 5 3 5 5 2 3" xfId="12434" xr:uid="{995E95BD-E745-44FF-A272-A9570AB3A4E6}"/>
    <cellStyle name="Normal 5 3 5 5 2 4" xfId="20881" xr:uid="{8364C424-D0D5-4417-8629-08D0441B81A8}"/>
    <cellStyle name="Normal 5 3 5 5 3" xfId="6065" xr:uid="{00000000-0005-0000-0000-0000841A0000}"/>
    <cellStyle name="Normal 5 3 5 5 3 2" xfId="14507" xr:uid="{8D65ED04-F444-4A23-BB01-833F635E5CBE}"/>
    <cellStyle name="Normal 5 3 5 5 3 3" xfId="22953" xr:uid="{142D6CDC-7AEF-49C7-99E4-4B771A6A2F55}"/>
    <cellStyle name="Normal 5 3 5 5 4" xfId="10289" xr:uid="{60DFAB55-D72F-4EAC-80FE-7EA9CCBB9B62}"/>
    <cellStyle name="Normal 5 3 5 5 5" xfId="18734" xr:uid="{05FBAEAA-6B08-4A43-8149-DA186B5F5E31}"/>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67DF27C4-AB6F-40FA-A965-7D415A17B297}"/>
    <cellStyle name="Normal 5 3 5 6 2 2 3" xfId="25511" xr:uid="{BA530CDD-C6D6-438F-930D-EED2253F3EED}"/>
    <cellStyle name="Normal 5 3 5 6 2 3" xfId="12847" xr:uid="{6AC09F98-152F-4B53-B1D1-28C4385813A8}"/>
    <cellStyle name="Normal 5 3 5 6 2 4" xfId="21294" xr:uid="{B1E3E064-D5EC-4E8C-A07F-F6A5086D67A8}"/>
    <cellStyle name="Normal 5 3 5 6 3" xfId="6478" xr:uid="{00000000-0005-0000-0000-0000881A0000}"/>
    <cellStyle name="Normal 5 3 5 6 3 2" xfId="14920" xr:uid="{D9A8C550-8DAD-4703-99CC-2124F25A0B5E}"/>
    <cellStyle name="Normal 5 3 5 6 3 3" xfId="23366" xr:uid="{81CCE27E-C960-42C9-AC62-2730BADB463F}"/>
    <cellStyle name="Normal 5 3 5 6 4" xfId="10702" xr:uid="{BBC38C7B-DC10-4A47-A70C-34021B211E4D}"/>
    <cellStyle name="Normal 5 3 5 6 5" xfId="19147" xr:uid="{F260A3AE-8FF1-4D06-8510-1A1D57FD0FBF}"/>
    <cellStyle name="Normal 5 3 5 7" xfId="2607" xr:uid="{00000000-0005-0000-0000-0000891A0000}"/>
    <cellStyle name="Normal 5 3 5 7 2" xfId="6891" xr:uid="{00000000-0005-0000-0000-00008A1A0000}"/>
    <cellStyle name="Normal 5 3 5 7 2 2" xfId="15333" xr:uid="{BF3BBD91-3B7D-4B70-A8CA-275686EBDD99}"/>
    <cellStyle name="Normal 5 3 5 7 2 3" xfId="23779" xr:uid="{8F575D07-8D06-4295-8108-71C6BC097D30}"/>
    <cellStyle name="Normal 5 3 5 7 3" xfId="11115" xr:uid="{AEAC9531-75D8-453C-9C15-D1CAA814A74D}"/>
    <cellStyle name="Normal 5 3 5 7 4" xfId="19560" xr:uid="{DCD6876A-D747-43D8-B2EB-ECB1EE1D594B}"/>
    <cellStyle name="Normal 5 3 5 8" xfId="4826" xr:uid="{00000000-0005-0000-0000-00008B1A0000}"/>
    <cellStyle name="Normal 5 3 5 8 2" xfId="13268" xr:uid="{960B0280-3B10-4F45-BBEF-103F69B4F357}"/>
    <cellStyle name="Normal 5 3 5 8 3" xfId="21714" xr:uid="{C5DA299E-7DF0-412B-82A7-6EBA5879EB9E}"/>
    <cellStyle name="Normal 5 3 5 9" xfId="9050" xr:uid="{C947BC7F-2AEE-4CE1-A80F-F3C7DE669BF3}"/>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01C9277D-16F8-46D8-89ED-D397FAF00B58}"/>
    <cellStyle name="Normal 5 3 6 2 2 2 3" xfId="24274" xr:uid="{B7040E44-E53A-4BB9-9935-9AC1B1B66BA5}"/>
    <cellStyle name="Normal 5 3 6 2 2 3" xfId="11610" xr:uid="{B3669EA3-1FCE-4C2B-BBA0-1A1EF0B17662}"/>
    <cellStyle name="Normal 5 3 6 2 2 4" xfId="20057" xr:uid="{D87319BD-011F-4FC1-992B-BD7D03AB9816}"/>
    <cellStyle name="Normal 5 3 6 2 3" xfId="5241" xr:uid="{00000000-0005-0000-0000-0000901A0000}"/>
    <cellStyle name="Normal 5 3 6 2 3 2" xfId="13683" xr:uid="{25735639-8388-4BE1-89E8-72D0662FC0B2}"/>
    <cellStyle name="Normal 5 3 6 2 3 3" xfId="22129" xr:uid="{53BAF506-ECA8-4C1B-AC6C-22D235F0B41B}"/>
    <cellStyle name="Normal 5 3 6 2 4" xfId="9465" xr:uid="{AAB5259B-CB9F-41AA-BE44-F94F7FE8623D}"/>
    <cellStyle name="Normal 5 3 6 2 5" xfId="17910" xr:uid="{128943F7-0228-423C-87AE-789F0D45390C}"/>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B1CB4BD1-2DFC-402F-9E4F-0B6EDD28EB10}"/>
    <cellStyle name="Normal 5 3 6 3 2 2 3" xfId="24687" xr:uid="{750BA6D5-0706-4E96-B89C-A80FD3369A50}"/>
    <cellStyle name="Normal 5 3 6 3 2 3" xfId="12023" xr:uid="{1AAD372E-3359-4974-ACFD-380F2EB86379}"/>
    <cellStyle name="Normal 5 3 6 3 2 4" xfId="20470" xr:uid="{025F6DA8-F404-4AAA-94C4-49CF1A7B9961}"/>
    <cellStyle name="Normal 5 3 6 3 3" xfId="5654" xr:uid="{00000000-0005-0000-0000-0000941A0000}"/>
    <cellStyle name="Normal 5 3 6 3 3 2" xfId="14096" xr:uid="{1BD960AD-1B90-438E-9646-63BDEF9D9418}"/>
    <cellStyle name="Normal 5 3 6 3 3 3" xfId="22542" xr:uid="{2D2F2510-DC71-4083-B0A5-6A4CC1F6D728}"/>
    <cellStyle name="Normal 5 3 6 3 4" xfId="9878" xr:uid="{E3D59255-E582-4E40-ABF2-E56C820A9141}"/>
    <cellStyle name="Normal 5 3 6 3 5" xfId="18323" xr:uid="{A0766FE7-9831-4EA1-86BC-E9F19269E816}"/>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612E1659-A5E9-4706-B971-500777FB4965}"/>
    <cellStyle name="Normal 5 3 6 4 2 2 3" xfId="25100" xr:uid="{7397D06A-E531-40FD-BE9A-70A2BBFC4724}"/>
    <cellStyle name="Normal 5 3 6 4 2 3" xfId="12436" xr:uid="{62F4A5A0-CB99-40BB-88EA-FBF59ED607DA}"/>
    <cellStyle name="Normal 5 3 6 4 2 4" xfId="20883" xr:uid="{ED644D75-B2C1-425E-AD59-364A05018BEE}"/>
    <cellStyle name="Normal 5 3 6 4 3" xfId="6067" xr:uid="{00000000-0005-0000-0000-0000981A0000}"/>
    <cellStyle name="Normal 5 3 6 4 3 2" xfId="14509" xr:uid="{CD799566-E887-4A60-903A-74411DDD1BFA}"/>
    <cellStyle name="Normal 5 3 6 4 3 3" xfId="22955" xr:uid="{A0FC7694-1EA3-4C31-8645-24617765F147}"/>
    <cellStyle name="Normal 5 3 6 4 4" xfId="10291" xr:uid="{36D8E3BA-1AE1-4374-BD9E-DA2BFA048CD6}"/>
    <cellStyle name="Normal 5 3 6 4 5" xfId="18736" xr:uid="{8BD4ABB8-B914-4884-AB5B-0C58FE981177}"/>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D8455C40-FE05-479A-ACD7-9C8E2385BA0A}"/>
    <cellStyle name="Normal 5 3 6 5 2 2 3" xfId="25513" xr:uid="{DE74FF58-B149-4E9E-B104-34575CDB72B0}"/>
    <cellStyle name="Normal 5 3 6 5 2 3" xfId="12849" xr:uid="{72A04D09-B3BE-4445-8E6F-49F864291160}"/>
    <cellStyle name="Normal 5 3 6 5 2 4" xfId="21296" xr:uid="{84A2E02D-3B93-4875-92A2-13749D058827}"/>
    <cellStyle name="Normal 5 3 6 5 3" xfId="6480" xr:uid="{00000000-0005-0000-0000-00009C1A0000}"/>
    <cellStyle name="Normal 5 3 6 5 3 2" xfId="14922" xr:uid="{25D20001-EBE2-490E-AE2A-CF4F1A90D026}"/>
    <cellStyle name="Normal 5 3 6 5 3 3" xfId="23368" xr:uid="{649005EC-7229-4BE6-95D6-B0AC557B58FC}"/>
    <cellStyle name="Normal 5 3 6 5 4" xfId="10704" xr:uid="{444146F3-91F8-44BD-978E-AC2B5018130A}"/>
    <cellStyle name="Normal 5 3 6 5 5" xfId="19149" xr:uid="{2830EB41-D79F-422F-B0E4-13C68EF7781A}"/>
    <cellStyle name="Normal 5 3 6 6" xfId="2609" xr:uid="{00000000-0005-0000-0000-00009D1A0000}"/>
    <cellStyle name="Normal 5 3 6 6 2" xfId="6893" xr:uid="{00000000-0005-0000-0000-00009E1A0000}"/>
    <cellStyle name="Normal 5 3 6 6 2 2" xfId="15335" xr:uid="{2CAE56DC-C5A9-4105-8D41-ECDC69A6B347}"/>
    <cellStyle name="Normal 5 3 6 6 2 3" xfId="23781" xr:uid="{B5D2569F-3064-4535-A683-551803D748CD}"/>
    <cellStyle name="Normal 5 3 6 6 3" xfId="11117" xr:uid="{B462C16D-E409-401B-BE35-AED6DE1E6F41}"/>
    <cellStyle name="Normal 5 3 6 6 4" xfId="19562" xr:uid="{81D618F6-5888-4C76-9945-3FA786225A92}"/>
    <cellStyle name="Normal 5 3 6 7" xfId="4828" xr:uid="{00000000-0005-0000-0000-00009F1A0000}"/>
    <cellStyle name="Normal 5 3 6 7 2" xfId="13270" xr:uid="{E284A4F6-BA2C-4817-8A15-689EDA615DE8}"/>
    <cellStyle name="Normal 5 3 6 7 3" xfId="21716" xr:uid="{D72C0C71-C01C-4976-AE3D-22C6D19F1C5F}"/>
    <cellStyle name="Normal 5 3 6 8" xfId="9052" xr:uid="{30671768-A699-43D0-9D7E-93A3BDF705A8}"/>
    <cellStyle name="Normal 5 3 6 9" xfId="17496" xr:uid="{6E019BBB-4691-4657-B0C4-35AE74B5230B}"/>
    <cellStyle name="Normal 5 3 7" xfId="913" xr:uid="{00000000-0005-0000-0000-0000A01A0000}"/>
    <cellStyle name="Normal 5 3 7 2" xfId="3148" xr:uid="{00000000-0005-0000-0000-0000A11A0000}"/>
    <cellStyle name="Normal 5 3 7 2 2" xfId="7371" xr:uid="{00000000-0005-0000-0000-0000A21A0000}"/>
    <cellStyle name="Normal 5 3 7 2 2 2" xfId="15813" xr:uid="{77F7DDAC-AC84-4E75-B721-8DCCCFDDFBD5}"/>
    <cellStyle name="Normal 5 3 7 2 2 3" xfId="24259" xr:uid="{F7A4F474-D280-4C88-B710-53540608C20B}"/>
    <cellStyle name="Normal 5 3 7 2 3" xfId="11595" xr:uid="{1D9D1CCE-E8E3-48E2-8535-13B5FD755DC4}"/>
    <cellStyle name="Normal 5 3 7 2 4" xfId="20042" xr:uid="{3D535C0C-69BC-4AC0-96CE-86113E29A886}"/>
    <cellStyle name="Normal 5 3 7 3" xfId="5226" xr:uid="{00000000-0005-0000-0000-0000A31A0000}"/>
    <cellStyle name="Normal 5 3 7 3 2" xfId="13668" xr:uid="{5EDFF87B-2DC9-45C4-9918-226B734468B9}"/>
    <cellStyle name="Normal 5 3 7 3 3" xfId="22114" xr:uid="{F293C68B-0DCF-4929-9A53-AD108F35F5F9}"/>
    <cellStyle name="Normal 5 3 7 4" xfId="9450" xr:uid="{1287EB84-FB60-493F-B1AC-409D44F473F6}"/>
    <cellStyle name="Normal 5 3 7 5" xfId="17895" xr:uid="{DBCB1983-15F0-4F7E-A947-7A3EB7D91AA5}"/>
    <cellStyle name="Normal 5 3 8" xfId="1331" xr:uid="{00000000-0005-0000-0000-0000A41A0000}"/>
    <cellStyle name="Normal 5 3 8 2" xfId="3561" xr:uid="{00000000-0005-0000-0000-0000A51A0000}"/>
    <cellStyle name="Normal 5 3 8 2 2" xfId="7784" xr:uid="{00000000-0005-0000-0000-0000A61A0000}"/>
    <cellStyle name="Normal 5 3 8 2 2 2" xfId="16226" xr:uid="{8055B759-0A23-493C-B005-99A7EA9145CA}"/>
    <cellStyle name="Normal 5 3 8 2 2 3" xfId="24672" xr:uid="{4A10F84C-2FA3-40F4-B38C-8029A25B39E7}"/>
    <cellStyle name="Normal 5 3 8 2 3" xfId="12008" xr:uid="{D4418822-1BF6-4D68-ABBA-6D8321F08D68}"/>
    <cellStyle name="Normal 5 3 8 2 4" xfId="20455" xr:uid="{B72BF8EC-522E-4214-B7BF-BFAC503E7A9C}"/>
    <cellStyle name="Normal 5 3 8 3" xfId="5639" xr:uid="{00000000-0005-0000-0000-0000A71A0000}"/>
    <cellStyle name="Normal 5 3 8 3 2" xfId="14081" xr:uid="{F700A28B-2B6D-45AC-9097-B9B0B99D853E}"/>
    <cellStyle name="Normal 5 3 8 3 3" xfId="22527" xr:uid="{67647D89-2605-4B26-AA36-4A41A092709E}"/>
    <cellStyle name="Normal 5 3 8 4" xfId="9863" xr:uid="{92370FA0-0A9A-4D48-8AC7-6548C13C080C}"/>
    <cellStyle name="Normal 5 3 8 5" xfId="18308" xr:uid="{AE40E3AC-4397-49D5-8355-C8ABEC6193D6}"/>
    <cellStyle name="Normal 5 3 9" xfId="1744" xr:uid="{00000000-0005-0000-0000-0000A81A0000}"/>
    <cellStyle name="Normal 5 3 9 2" xfId="3974" xr:uid="{00000000-0005-0000-0000-0000A91A0000}"/>
    <cellStyle name="Normal 5 3 9 2 2" xfId="8197" xr:uid="{00000000-0005-0000-0000-0000AA1A0000}"/>
    <cellStyle name="Normal 5 3 9 2 2 2" xfId="16639" xr:uid="{C52A8AE3-750B-4F3F-87E8-6E67F88A17DA}"/>
    <cellStyle name="Normal 5 3 9 2 2 3" xfId="25085" xr:uid="{77275E16-1FC9-4BA0-8F41-DDA3C35B2B91}"/>
    <cellStyle name="Normal 5 3 9 2 3" xfId="12421" xr:uid="{23C68ACF-AE6A-456D-9761-F74B45EE52D7}"/>
    <cellStyle name="Normal 5 3 9 2 4" xfId="20868" xr:uid="{ABF8211C-3B58-4EF1-914F-D30ABD112A12}"/>
    <cellStyle name="Normal 5 3 9 3" xfId="6052" xr:uid="{00000000-0005-0000-0000-0000AB1A0000}"/>
    <cellStyle name="Normal 5 3 9 3 2" xfId="14494" xr:uid="{A08B9BC9-CA32-4A57-B42D-43A2E5A441A5}"/>
    <cellStyle name="Normal 5 3 9 3 3" xfId="22940" xr:uid="{D78E5D3D-3D27-4AB9-9A5D-A1FF38517E19}"/>
    <cellStyle name="Normal 5 3 9 4" xfId="10276" xr:uid="{DBA3A05E-BE62-4020-9F6D-7F3BD1E39492}"/>
    <cellStyle name="Normal 5 3 9 5" xfId="18721" xr:uid="{720780E6-90F4-4F3B-842C-7FA269987C0C}"/>
    <cellStyle name="Normal 5 4" xfId="456" xr:uid="{00000000-0005-0000-0000-0000AC1A0000}"/>
    <cellStyle name="Normal 5 4 10" xfId="4829" xr:uid="{00000000-0005-0000-0000-0000AD1A0000}"/>
    <cellStyle name="Normal 5 4 10 2" xfId="13271" xr:uid="{E1EFB414-0AD6-48F4-BF4D-D1F1C8694476}"/>
    <cellStyle name="Normal 5 4 10 3" xfId="21717" xr:uid="{45E1851A-4526-446F-BEC1-FDDF38D0E3DD}"/>
    <cellStyle name="Normal 5 4 11" xfId="9053" xr:uid="{34E8D13B-676E-4A58-9BAD-530070CEB658}"/>
    <cellStyle name="Normal 5 4 12" xfId="17497" xr:uid="{25264773-2C71-4AAE-8C5A-7CD7324B9026}"/>
    <cellStyle name="Normal 5 4 13" xfId="25667" xr:uid="{29E91A77-A7ED-43D0-A421-A3CE29B6AB03}"/>
    <cellStyle name="Normal 5 4 2" xfId="457" xr:uid="{00000000-0005-0000-0000-0000AE1A0000}"/>
    <cellStyle name="Normal 5 4 2 10" xfId="9054" xr:uid="{5771C073-8501-4263-BABB-F176CF613D82}"/>
    <cellStyle name="Normal 5 4 2 11" xfId="17498" xr:uid="{F65C24B5-C0EF-4A03-8ECF-420B744ED495}"/>
    <cellStyle name="Normal 5 4 2 2" xfId="458" xr:uid="{00000000-0005-0000-0000-0000AF1A0000}"/>
    <cellStyle name="Normal 5 4 2 2 10" xfId="17499" xr:uid="{98D1759F-3102-4474-8E4D-122C08D26432}"/>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24C01E5F-614B-43E9-8746-9B61CBACBFC4}"/>
    <cellStyle name="Normal 5 4 2 2 2 2 2 2 3" xfId="24278" xr:uid="{591399F0-0CB9-464B-BB34-522B8EB618C3}"/>
    <cellStyle name="Normal 5 4 2 2 2 2 2 3" xfId="11614" xr:uid="{8B1C3453-534B-499E-BAB7-9928A5E123EB}"/>
    <cellStyle name="Normal 5 4 2 2 2 2 2 4" xfId="20061" xr:uid="{4AB0C6D9-E44E-495F-A9C6-C3B68E3A5517}"/>
    <cellStyle name="Normal 5 4 2 2 2 2 3" xfId="5245" xr:uid="{00000000-0005-0000-0000-0000B41A0000}"/>
    <cellStyle name="Normal 5 4 2 2 2 2 3 2" xfId="13687" xr:uid="{B0B366E1-75D7-42EF-B23F-1E17F836D120}"/>
    <cellStyle name="Normal 5 4 2 2 2 2 3 3" xfId="22133" xr:uid="{0EF9548B-8D22-4118-A346-A57288D4BA3A}"/>
    <cellStyle name="Normal 5 4 2 2 2 2 4" xfId="9469" xr:uid="{7FC920FD-8D78-4539-8F0B-F58C88D24FD2}"/>
    <cellStyle name="Normal 5 4 2 2 2 2 5" xfId="17914" xr:uid="{B00F93BC-E215-48C7-A5EA-665259C92EC1}"/>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E016D339-C160-41B1-9C22-D4B0C11F8C04}"/>
    <cellStyle name="Normal 5 4 2 2 2 3 2 2 3" xfId="24691" xr:uid="{C1886F93-3682-4E2F-AA53-1245CD3CD817}"/>
    <cellStyle name="Normal 5 4 2 2 2 3 2 3" xfId="12027" xr:uid="{AB82C086-3CFE-45EA-8E0D-47B1FEBA64FD}"/>
    <cellStyle name="Normal 5 4 2 2 2 3 2 4" xfId="20474" xr:uid="{F3BEAAC4-D435-4FFC-8B9E-58AEF2BB95F4}"/>
    <cellStyle name="Normal 5 4 2 2 2 3 3" xfId="5658" xr:uid="{00000000-0005-0000-0000-0000B81A0000}"/>
    <cellStyle name="Normal 5 4 2 2 2 3 3 2" xfId="14100" xr:uid="{7CE489D6-47A8-4228-AD54-BA815C3778EA}"/>
    <cellStyle name="Normal 5 4 2 2 2 3 3 3" xfId="22546" xr:uid="{5BF19043-4552-4329-BFF4-64197B74F971}"/>
    <cellStyle name="Normal 5 4 2 2 2 3 4" xfId="9882" xr:uid="{470BE21D-F7AF-4601-B6FF-F77C6A03FCDC}"/>
    <cellStyle name="Normal 5 4 2 2 2 3 5" xfId="18327" xr:uid="{0A812F70-16F9-4409-962C-E839E777E143}"/>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9E761DAD-1DA0-46F7-8AB8-5684E62BC479}"/>
    <cellStyle name="Normal 5 4 2 2 2 4 2 2 3" xfId="25104" xr:uid="{C1875B97-3E99-492F-AB2F-72811A5F9868}"/>
    <cellStyle name="Normal 5 4 2 2 2 4 2 3" xfId="12440" xr:uid="{8646A738-76D4-4C84-8750-E702284C2FB4}"/>
    <cellStyle name="Normal 5 4 2 2 2 4 2 4" xfId="20887" xr:uid="{67B505C6-7A4E-4815-B1B3-58FCEB852BD5}"/>
    <cellStyle name="Normal 5 4 2 2 2 4 3" xfId="6071" xr:uid="{00000000-0005-0000-0000-0000BC1A0000}"/>
    <cellStyle name="Normal 5 4 2 2 2 4 3 2" xfId="14513" xr:uid="{7B375B68-1AF1-47B4-A13E-98BB2E2D8AF5}"/>
    <cellStyle name="Normal 5 4 2 2 2 4 3 3" xfId="22959" xr:uid="{FBBBA55E-C3F9-4644-9A29-0CB0FCB7EF63}"/>
    <cellStyle name="Normal 5 4 2 2 2 4 4" xfId="10295" xr:uid="{85D44132-4E35-4082-9D2D-B02969D78A3F}"/>
    <cellStyle name="Normal 5 4 2 2 2 4 5" xfId="18740" xr:uid="{8797042A-5BDD-47A2-8724-D6C89CE5C756}"/>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43A6B6E3-615B-433D-8374-26E7A62C88C9}"/>
    <cellStyle name="Normal 5 4 2 2 2 5 2 2 3" xfId="25517" xr:uid="{8240DF96-C5C0-4156-A602-5CA1087F076F}"/>
    <cellStyle name="Normal 5 4 2 2 2 5 2 3" xfId="12853" xr:uid="{FCA70252-8EF3-460B-80EB-9961EBAE2A50}"/>
    <cellStyle name="Normal 5 4 2 2 2 5 2 4" xfId="21300" xr:uid="{3D4920AC-C11C-49E0-94EB-18ED622BD95C}"/>
    <cellStyle name="Normal 5 4 2 2 2 5 3" xfId="6484" xr:uid="{00000000-0005-0000-0000-0000C01A0000}"/>
    <cellStyle name="Normal 5 4 2 2 2 5 3 2" xfId="14926" xr:uid="{0BDE2E4B-CC5F-4A53-9E76-184E89FDE1E7}"/>
    <cellStyle name="Normal 5 4 2 2 2 5 3 3" xfId="23372" xr:uid="{2C9A395B-49E9-4618-ADA1-351F0225AAE8}"/>
    <cellStyle name="Normal 5 4 2 2 2 5 4" xfId="10708" xr:uid="{6AAC4E11-ABE1-4FBF-AC59-4FAA370AA3F6}"/>
    <cellStyle name="Normal 5 4 2 2 2 5 5" xfId="19153" xr:uid="{97AF425C-D8C4-4149-8962-E8A9CA008F25}"/>
    <cellStyle name="Normal 5 4 2 2 2 6" xfId="2613" xr:uid="{00000000-0005-0000-0000-0000C11A0000}"/>
    <cellStyle name="Normal 5 4 2 2 2 6 2" xfId="6897" xr:uid="{00000000-0005-0000-0000-0000C21A0000}"/>
    <cellStyle name="Normal 5 4 2 2 2 6 2 2" xfId="15339" xr:uid="{23BFAEB8-DF44-463B-B463-DD86824BE9D3}"/>
    <cellStyle name="Normal 5 4 2 2 2 6 2 3" xfId="23785" xr:uid="{E8FEF3E4-168C-4BD9-8B45-7661AB1A3BC2}"/>
    <cellStyle name="Normal 5 4 2 2 2 6 3" xfId="11121" xr:uid="{FAF2DB70-B279-4B6D-9A91-47ECF4378C42}"/>
    <cellStyle name="Normal 5 4 2 2 2 6 4" xfId="19566" xr:uid="{A39B32B4-B377-48C8-AB10-129830F66039}"/>
    <cellStyle name="Normal 5 4 2 2 2 7" xfId="4832" xr:uid="{00000000-0005-0000-0000-0000C31A0000}"/>
    <cellStyle name="Normal 5 4 2 2 2 7 2" xfId="13274" xr:uid="{BE61774F-300F-4DFD-B98F-9D3973DD6983}"/>
    <cellStyle name="Normal 5 4 2 2 2 7 3" xfId="21720" xr:uid="{12696577-F623-4EF1-9AAE-F3199DE57298}"/>
    <cellStyle name="Normal 5 4 2 2 2 8" xfId="9056" xr:uid="{A7E9313E-723C-40F2-87BA-8F9C717F8392}"/>
    <cellStyle name="Normal 5 4 2 2 2 9" xfId="17500" xr:uid="{E89F329D-04FD-49D1-A606-AC67B1D326DD}"/>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E101AC48-0F25-4F19-9634-5DD3D56D9C72}"/>
    <cellStyle name="Normal 5 4 2 2 3 2 2 3" xfId="24277" xr:uid="{12803389-FADA-4735-AD01-2701DA6AE72E}"/>
    <cellStyle name="Normal 5 4 2 2 3 2 3" xfId="11613" xr:uid="{C1C8AEF5-6E75-409B-9EFB-B74E5FC096C7}"/>
    <cellStyle name="Normal 5 4 2 2 3 2 4" xfId="20060" xr:uid="{5FBBE662-276C-44BB-AC3E-FEAB67E52E14}"/>
    <cellStyle name="Normal 5 4 2 2 3 3" xfId="5244" xr:uid="{00000000-0005-0000-0000-0000C71A0000}"/>
    <cellStyle name="Normal 5 4 2 2 3 3 2" xfId="13686" xr:uid="{1275240F-322B-4DB3-BC9C-50404A334473}"/>
    <cellStyle name="Normal 5 4 2 2 3 3 3" xfId="22132" xr:uid="{C25D3AAC-1618-4B81-8707-D914E2A800B3}"/>
    <cellStyle name="Normal 5 4 2 2 3 4" xfId="9468" xr:uid="{095DDACE-1E1D-4594-BF9D-DD4A42A1A4B4}"/>
    <cellStyle name="Normal 5 4 2 2 3 5" xfId="17913" xr:uid="{3082C481-3683-4C68-99DD-916AE1F3CF00}"/>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DC0E64BB-0BC0-4E34-AFB8-ABF56245F427}"/>
    <cellStyle name="Normal 5 4 2 2 4 2 2 3" xfId="24690" xr:uid="{59FE48C7-80AD-45C8-998A-05416B2B05EC}"/>
    <cellStyle name="Normal 5 4 2 2 4 2 3" xfId="12026" xr:uid="{39B67BAD-7B64-4CD5-B6AC-076DB70F03D5}"/>
    <cellStyle name="Normal 5 4 2 2 4 2 4" xfId="20473" xr:uid="{E87D690B-FCA8-49AC-84B1-EBD761E5B7E1}"/>
    <cellStyle name="Normal 5 4 2 2 4 3" xfId="5657" xr:uid="{00000000-0005-0000-0000-0000CB1A0000}"/>
    <cellStyle name="Normal 5 4 2 2 4 3 2" xfId="14099" xr:uid="{01EED263-F3C1-4E21-8044-BD730203CAD9}"/>
    <cellStyle name="Normal 5 4 2 2 4 3 3" xfId="22545" xr:uid="{37DA1691-7193-494C-950E-020D2C4DA43A}"/>
    <cellStyle name="Normal 5 4 2 2 4 4" xfId="9881" xr:uid="{6E7EEACC-95ED-4D3A-A741-FF408AB37DA5}"/>
    <cellStyle name="Normal 5 4 2 2 4 5" xfId="18326" xr:uid="{2AC7FC3F-DEB2-4EDD-877E-0B544E53D97D}"/>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5F370F22-7CD7-49EB-A50F-3C2AE5C980BD}"/>
    <cellStyle name="Normal 5 4 2 2 5 2 2 3" xfId="25103" xr:uid="{C43EBD43-3E77-4B35-9297-047D82F258CE}"/>
    <cellStyle name="Normal 5 4 2 2 5 2 3" xfId="12439" xr:uid="{3FA3C3C4-386A-40F9-B212-1B0C338DE201}"/>
    <cellStyle name="Normal 5 4 2 2 5 2 4" xfId="20886" xr:uid="{03936CE0-1D64-4B8B-AC99-DF556314374C}"/>
    <cellStyle name="Normal 5 4 2 2 5 3" xfId="6070" xr:uid="{00000000-0005-0000-0000-0000CF1A0000}"/>
    <cellStyle name="Normal 5 4 2 2 5 3 2" xfId="14512" xr:uid="{21CD696E-32C6-40D7-9A80-C5AA6906E697}"/>
    <cellStyle name="Normal 5 4 2 2 5 3 3" xfId="22958" xr:uid="{E8E67759-64AB-4944-99CE-1A4B4676D045}"/>
    <cellStyle name="Normal 5 4 2 2 5 4" xfId="10294" xr:uid="{4EB094A5-F040-42BF-972F-0000CC9817E0}"/>
    <cellStyle name="Normal 5 4 2 2 5 5" xfId="18739" xr:uid="{0F01CDCD-E995-4702-A603-9496A38CE5A6}"/>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0919E848-016D-4267-8833-996EB9B8A9A4}"/>
    <cellStyle name="Normal 5 4 2 2 6 2 2 3" xfId="25516" xr:uid="{47B950D9-D9F5-4D56-BE41-FA8114ECF50F}"/>
    <cellStyle name="Normal 5 4 2 2 6 2 3" xfId="12852" xr:uid="{541F957D-8D74-4217-9942-490F98A00275}"/>
    <cellStyle name="Normal 5 4 2 2 6 2 4" xfId="21299" xr:uid="{26F4C766-AFDC-4FCE-8CE4-65E3CA617436}"/>
    <cellStyle name="Normal 5 4 2 2 6 3" xfId="6483" xr:uid="{00000000-0005-0000-0000-0000D31A0000}"/>
    <cellStyle name="Normal 5 4 2 2 6 3 2" xfId="14925" xr:uid="{7F75EDEB-16FD-4F90-96D2-A03BD7561E9A}"/>
    <cellStyle name="Normal 5 4 2 2 6 3 3" xfId="23371" xr:uid="{B066ABF9-5D41-4950-92A1-F5F9271F8F9E}"/>
    <cellStyle name="Normal 5 4 2 2 6 4" xfId="10707" xr:uid="{F7014389-C5BC-4034-857D-9762E13F9FEC}"/>
    <cellStyle name="Normal 5 4 2 2 6 5" xfId="19152" xr:uid="{E876CC15-CAD6-4B11-922D-B112B441DB36}"/>
    <cellStyle name="Normal 5 4 2 2 7" xfId="2612" xr:uid="{00000000-0005-0000-0000-0000D41A0000}"/>
    <cellStyle name="Normal 5 4 2 2 7 2" xfId="6896" xr:uid="{00000000-0005-0000-0000-0000D51A0000}"/>
    <cellStyle name="Normal 5 4 2 2 7 2 2" xfId="15338" xr:uid="{E1FEA395-61C4-4927-81FA-0AF5FF60C9EF}"/>
    <cellStyle name="Normal 5 4 2 2 7 2 3" xfId="23784" xr:uid="{5D0410D5-86F6-4AFF-AB52-DAEC10618115}"/>
    <cellStyle name="Normal 5 4 2 2 7 3" xfId="11120" xr:uid="{B98234CA-B898-48FC-9106-ABD46498748D}"/>
    <cellStyle name="Normal 5 4 2 2 7 4" xfId="19565" xr:uid="{424CBDEA-0226-4D40-9C4E-D7C2EAE76B93}"/>
    <cellStyle name="Normal 5 4 2 2 8" xfId="4831" xr:uid="{00000000-0005-0000-0000-0000D61A0000}"/>
    <cellStyle name="Normal 5 4 2 2 8 2" xfId="13273" xr:uid="{40C8A3F4-ACAF-42DD-86BC-54DD637EA9EF}"/>
    <cellStyle name="Normal 5 4 2 2 8 3" xfId="21719" xr:uid="{8180EBAF-9AFA-4DB9-9D45-2AB911B28DE4}"/>
    <cellStyle name="Normal 5 4 2 2 9" xfId="9055" xr:uid="{01BCA472-9CB3-4BDC-B1EF-FB7B8B753BFD}"/>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3AB7D807-641A-4277-B102-717D4E8C783C}"/>
    <cellStyle name="Normal 5 4 2 3 2 2 2 3" xfId="24279" xr:uid="{B4CF0E84-FC50-494A-A484-92588C7AE790}"/>
    <cellStyle name="Normal 5 4 2 3 2 2 3" xfId="11615" xr:uid="{32986125-860C-4C1B-B736-AD0B50A19BC7}"/>
    <cellStyle name="Normal 5 4 2 3 2 2 4" xfId="20062" xr:uid="{D832A2C3-9869-405A-A133-A58B48743AB8}"/>
    <cellStyle name="Normal 5 4 2 3 2 3" xfId="5246" xr:uid="{00000000-0005-0000-0000-0000DB1A0000}"/>
    <cellStyle name="Normal 5 4 2 3 2 3 2" xfId="13688" xr:uid="{0DF807F1-619E-4BC0-A7B6-730D43B568AB}"/>
    <cellStyle name="Normal 5 4 2 3 2 3 3" xfId="22134" xr:uid="{82A9B490-3AF4-4895-BFEC-53ED79B5F8A7}"/>
    <cellStyle name="Normal 5 4 2 3 2 4" xfId="9470" xr:uid="{7A785D96-8F32-4097-A856-153603A3C54E}"/>
    <cellStyle name="Normal 5 4 2 3 2 5" xfId="17915" xr:uid="{7A304EB1-6751-448D-8CB1-072CBDEA46A3}"/>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D1C977B6-DD7D-4EA7-BA7C-F85B58F2DDC4}"/>
    <cellStyle name="Normal 5 4 2 3 3 2 2 3" xfId="24692" xr:uid="{16630A6A-1804-4ABA-8D4D-FB6B8971B411}"/>
    <cellStyle name="Normal 5 4 2 3 3 2 3" xfId="12028" xr:uid="{21AD300A-5A80-41A6-88C2-265AB91D8794}"/>
    <cellStyle name="Normal 5 4 2 3 3 2 4" xfId="20475" xr:uid="{7A46688A-3752-44DA-80ED-48A7822F2036}"/>
    <cellStyle name="Normal 5 4 2 3 3 3" xfId="5659" xr:uid="{00000000-0005-0000-0000-0000DF1A0000}"/>
    <cellStyle name="Normal 5 4 2 3 3 3 2" xfId="14101" xr:uid="{FAB3506B-CDB9-40BA-8B5A-B46DE64F7FE2}"/>
    <cellStyle name="Normal 5 4 2 3 3 3 3" xfId="22547" xr:uid="{06F7A100-DFB3-480E-8E74-92B30C51CDAE}"/>
    <cellStyle name="Normal 5 4 2 3 3 4" xfId="9883" xr:uid="{4CC297BF-9034-4C3F-AB5F-29D41CE242B6}"/>
    <cellStyle name="Normal 5 4 2 3 3 5" xfId="18328" xr:uid="{D1EF5EDA-87F6-40A4-921D-1C530A1281DF}"/>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BA9A5A48-F309-424B-9B9F-A25112B0A166}"/>
    <cellStyle name="Normal 5 4 2 3 4 2 2 3" xfId="25105" xr:uid="{DB7ECE42-A336-44E4-A018-634508E50855}"/>
    <cellStyle name="Normal 5 4 2 3 4 2 3" xfId="12441" xr:uid="{130CEB04-A8F2-4278-9BA9-79559E76ACEE}"/>
    <cellStyle name="Normal 5 4 2 3 4 2 4" xfId="20888" xr:uid="{EA905B63-DC69-4044-A7B1-1393CE8BCA25}"/>
    <cellStyle name="Normal 5 4 2 3 4 3" xfId="6072" xr:uid="{00000000-0005-0000-0000-0000E31A0000}"/>
    <cellStyle name="Normal 5 4 2 3 4 3 2" xfId="14514" xr:uid="{A2217497-42EB-4A61-B4B9-4673CAA9AAF2}"/>
    <cellStyle name="Normal 5 4 2 3 4 3 3" xfId="22960" xr:uid="{CDD5EC81-4674-4C1C-A27D-FA41F0A1C2FA}"/>
    <cellStyle name="Normal 5 4 2 3 4 4" xfId="10296" xr:uid="{A5B4C06E-0FF1-44C0-9CAF-3350979725E6}"/>
    <cellStyle name="Normal 5 4 2 3 4 5" xfId="18741" xr:uid="{61816512-40B7-4F0A-8C8B-619FD8028527}"/>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EBDE7C30-8026-4BAF-BD92-78C54F35956B}"/>
    <cellStyle name="Normal 5 4 2 3 5 2 2 3" xfId="25518" xr:uid="{0EFD08E2-4B1B-4F90-A932-43F853781DE9}"/>
    <cellStyle name="Normal 5 4 2 3 5 2 3" xfId="12854" xr:uid="{06A27C4E-E6E5-4AAD-A897-24BDEC910143}"/>
    <cellStyle name="Normal 5 4 2 3 5 2 4" xfId="21301" xr:uid="{3E78DE10-E092-4370-BB04-B954592DE243}"/>
    <cellStyle name="Normal 5 4 2 3 5 3" xfId="6485" xr:uid="{00000000-0005-0000-0000-0000E71A0000}"/>
    <cellStyle name="Normal 5 4 2 3 5 3 2" xfId="14927" xr:uid="{E5919D71-C95B-4260-80C2-3A8339F30744}"/>
    <cellStyle name="Normal 5 4 2 3 5 3 3" xfId="23373" xr:uid="{88ADF647-EBCF-4585-AACF-BDF4EFC916CA}"/>
    <cellStyle name="Normal 5 4 2 3 5 4" xfId="10709" xr:uid="{C8EF3B29-C459-49B4-A9CA-547594F8657B}"/>
    <cellStyle name="Normal 5 4 2 3 5 5" xfId="19154" xr:uid="{D0A0D281-4D7F-4001-BA88-C27F8039E08A}"/>
    <cellStyle name="Normal 5 4 2 3 6" xfId="2614" xr:uid="{00000000-0005-0000-0000-0000E81A0000}"/>
    <cellStyle name="Normal 5 4 2 3 6 2" xfId="6898" xr:uid="{00000000-0005-0000-0000-0000E91A0000}"/>
    <cellStyle name="Normal 5 4 2 3 6 2 2" xfId="15340" xr:uid="{3142D66D-839B-418F-BB43-9DC492853CA1}"/>
    <cellStyle name="Normal 5 4 2 3 6 2 3" xfId="23786" xr:uid="{20F0C0D7-CD42-404D-99E8-7E1DA5F7F9AE}"/>
    <cellStyle name="Normal 5 4 2 3 6 3" xfId="11122" xr:uid="{02D85E30-C4A0-4920-A606-999151DB21E0}"/>
    <cellStyle name="Normal 5 4 2 3 6 4" xfId="19567" xr:uid="{AC43288B-EB65-4B2C-BAAE-E5FDCF0CBCA6}"/>
    <cellStyle name="Normal 5 4 2 3 7" xfId="4833" xr:uid="{00000000-0005-0000-0000-0000EA1A0000}"/>
    <cellStyle name="Normal 5 4 2 3 7 2" xfId="13275" xr:uid="{F42024C8-2BF4-4BB4-A49F-7A825D1E7F97}"/>
    <cellStyle name="Normal 5 4 2 3 7 3" xfId="21721" xr:uid="{03076268-FE48-4220-B3F3-DFF84ADEC207}"/>
    <cellStyle name="Normal 5 4 2 3 8" xfId="9057" xr:uid="{7F3DC218-530D-4999-8947-017696984F90}"/>
    <cellStyle name="Normal 5 4 2 3 9" xfId="17501" xr:uid="{84746E1B-41CB-4D3D-9261-6FB3CAD148FF}"/>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94501A9F-D3FE-4F5D-9D22-CDC0EE9E315F}"/>
    <cellStyle name="Normal 5 4 2 4 2 2 3" xfId="24276" xr:uid="{E18F82CA-1097-4C05-813E-3638F638E8B4}"/>
    <cellStyle name="Normal 5 4 2 4 2 3" xfId="11612" xr:uid="{8856008C-A8AF-481B-8DE2-51E3B93E4A68}"/>
    <cellStyle name="Normal 5 4 2 4 2 4" xfId="20059" xr:uid="{1CDF8F43-B178-4265-AD38-782C60789B61}"/>
    <cellStyle name="Normal 5 4 2 4 3" xfId="5243" xr:uid="{00000000-0005-0000-0000-0000EE1A0000}"/>
    <cellStyle name="Normal 5 4 2 4 3 2" xfId="13685" xr:uid="{83E8E6E0-09B4-45D4-90D0-36B7C37D334E}"/>
    <cellStyle name="Normal 5 4 2 4 3 3" xfId="22131" xr:uid="{30BCC944-29EE-44D1-AB69-32FF9B0769B3}"/>
    <cellStyle name="Normal 5 4 2 4 4" xfId="9467" xr:uid="{6703693E-8E59-40B5-9945-62827DAD8039}"/>
    <cellStyle name="Normal 5 4 2 4 5" xfId="17912" xr:uid="{2B409F34-42E6-4B37-872D-7CFE2DF4CA27}"/>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CA26D09E-9FAD-422A-B36B-B17AA81F38FE}"/>
    <cellStyle name="Normal 5 4 2 5 2 2 3" xfId="24689" xr:uid="{5265CA87-3B80-4815-8BE9-078FBD288EF6}"/>
    <cellStyle name="Normal 5 4 2 5 2 3" xfId="12025" xr:uid="{9D31A49F-1CD2-4C2D-9FE9-B51A29F3AC80}"/>
    <cellStyle name="Normal 5 4 2 5 2 4" xfId="20472" xr:uid="{82BB0BD8-0642-4995-9BAF-91A27DB1888B}"/>
    <cellStyle name="Normal 5 4 2 5 3" xfId="5656" xr:uid="{00000000-0005-0000-0000-0000F21A0000}"/>
    <cellStyle name="Normal 5 4 2 5 3 2" xfId="14098" xr:uid="{7FE74F78-46FB-47D4-8838-7DFEFD26C0BF}"/>
    <cellStyle name="Normal 5 4 2 5 3 3" xfId="22544" xr:uid="{931DD10A-8CBD-4DF3-A185-1351C616E569}"/>
    <cellStyle name="Normal 5 4 2 5 4" xfId="9880" xr:uid="{57DF73C6-D3A3-4D8B-A515-155DF0440334}"/>
    <cellStyle name="Normal 5 4 2 5 5" xfId="18325" xr:uid="{1F9C62DB-CA23-4085-B72D-A6FB28DF81CD}"/>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6B319B19-76D4-4A44-B338-989A6F31D9B8}"/>
    <cellStyle name="Normal 5 4 2 6 2 2 3" xfId="25102" xr:uid="{97EC281C-7135-4F61-8012-5BF2EA788C02}"/>
    <cellStyle name="Normal 5 4 2 6 2 3" xfId="12438" xr:uid="{F80BE887-A198-42EB-84D1-B032EC66B563}"/>
    <cellStyle name="Normal 5 4 2 6 2 4" xfId="20885" xr:uid="{6EF9DDAF-E26F-4004-8A17-FCD972E1ADAB}"/>
    <cellStyle name="Normal 5 4 2 6 3" xfId="6069" xr:uid="{00000000-0005-0000-0000-0000F61A0000}"/>
    <cellStyle name="Normal 5 4 2 6 3 2" xfId="14511" xr:uid="{8518B882-649C-4C96-BEEC-ECD6F1368929}"/>
    <cellStyle name="Normal 5 4 2 6 3 3" xfId="22957" xr:uid="{4270D710-9454-46D2-91F3-8EDBE922704A}"/>
    <cellStyle name="Normal 5 4 2 6 4" xfId="10293" xr:uid="{1262B7A2-59E8-4B5A-8F64-634AE8D6B2AD}"/>
    <cellStyle name="Normal 5 4 2 6 5" xfId="18738" xr:uid="{418B3172-4667-4FF3-BE50-B2040220A282}"/>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10FA3EA0-D906-4EEB-838A-E99719D13685}"/>
    <cellStyle name="Normal 5 4 2 7 2 2 3" xfId="25515" xr:uid="{3FC14627-B7E8-4916-A944-3C1462FFCABA}"/>
    <cellStyle name="Normal 5 4 2 7 2 3" xfId="12851" xr:uid="{4B520558-2ECC-4609-B380-CD3D1569D224}"/>
    <cellStyle name="Normal 5 4 2 7 2 4" xfId="21298" xr:uid="{1D67E2F7-8E08-48A7-9F19-D7CA131F9E5E}"/>
    <cellStyle name="Normal 5 4 2 7 3" xfId="6482" xr:uid="{00000000-0005-0000-0000-0000FA1A0000}"/>
    <cellStyle name="Normal 5 4 2 7 3 2" xfId="14924" xr:uid="{ECD7451F-D1AB-4514-887F-1A25F028D6F4}"/>
    <cellStyle name="Normal 5 4 2 7 3 3" xfId="23370" xr:uid="{453EA341-F09D-4211-AFA8-2D8D1818DD5E}"/>
    <cellStyle name="Normal 5 4 2 7 4" xfId="10706" xr:uid="{4E7E3835-D7A5-447C-9D42-BD9E4BECC9E4}"/>
    <cellStyle name="Normal 5 4 2 7 5" xfId="19151" xr:uid="{E438E3C1-8070-4270-A0CC-DE40BEEC56AD}"/>
    <cellStyle name="Normal 5 4 2 8" xfId="2611" xr:uid="{00000000-0005-0000-0000-0000FB1A0000}"/>
    <cellStyle name="Normal 5 4 2 8 2" xfId="6895" xr:uid="{00000000-0005-0000-0000-0000FC1A0000}"/>
    <cellStyle name="Normal 5 4 2 8 2 2" xfId="15337" xr:uid="{7CF57D18-2643-4F3F-8510-B49315796E09}"/>
    <cellStyle name="Normal 5 4 2 8 2 3" xfId="23783" xr:uid="{32A65311-E785-445B-94C1-F3988624A0BD}"/>
    <cellStyle name="Normal 5 4 2 8 3" xfId="11119" xr:uid="{014A7EC0-5BDF-4325-850F-E39404FA0F58}"/>
    <cellStyle name="Normal 5 4 2 8 4" xfId="19564" xr:uid="{2B4BAC16-C357-43C1-B27A-43E82248CD5C}"/>
    <cellStyle name="Normal 5 4 2 9" xfId="4830" xr:uid="{00000000-0005-0000-0000-0000FD1A0000}"/>
    <cellStyle name="Normal 5 4 2 9 2" xfId="13272" xr:uid="{13769F24-5D0C-4E79-B9BF-1FB2EDB3FB59}"/>
    <cellStyle name="Normal 5 4 2 9 3" xfId="21718" xr:uid="{D15F3088-A8AE-48C4-AE5D-1F2D0361695F}"/>
    <cellStyle name="Normal 5 4 3" xfId="461" xr:uid="{00000000-0005-0000-0000-0000FE1A0000}"/>
    <cellStyle name="Normal 5 4 3 10" xfId="17502" xr:uid="{B1240043-F416-42F2-A0EC-A824F5549F94}"/>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D30D4162-A800-4BDA-B986-41FD8C0EA306}"/>
    <cellStyle name="Normal 5 4 3 2 2 2 2 3" xfId="24281" xr:uid="{CD0A8073-8F82-41AC-B93C-C46BF5A95EF1}"/>
    <cellStyle name="Normal 5 4 3 2 2 2 3" xfId="11617" xr:uid="{165DA7F9-A48E-4298-8064-79D4B85574DB}"/>
    <cellStyle name="Normal 5 4 3 2 2 2 4" xfId="20064" xr:uid="{14E492FE-7CA1-4B43-9663-AFF13271513C}"/>
    <cellStyle name="Normal 5 4 3 2 2 3" xfId="5248" xr:uid="{00000000-0005-0000-0000-0000031B0000}"/>
    <cellStyle name="Normal 5 4 3 2 2 3 2" xfId="13690" xr:uid="{9290B77C-8092-487D-97D7-3E814E8D6694}"/>
    <cellStyle name="Normal 5 4 3 2 2 3 3" xfId="22136" xr:uid="{EFA67A5D-0090-444D-A209-1B104CA86528}"/>
    <cellStyle name="Normal 5 4 3 2 2 4" xfId="9472" xr:uid="{35D2AA26-89B6-40A9-ABD8-7FD600B8FC66}"/>
    <cellStyle name="Normal 5 4 3 2 2 5" xfId="17917" xr:uid="{D0699622-DA1C-4E3E-83A9-4A4E4607ED2C}"/>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6046CB9E-982A-4288-A4E5-4557D9837F31}"/>
    <cellStyle name="Normal 5 4 3 2 3 2 2 3" xfId="24694" xr:uid="{BB55855B-E086-4FC1-AE5D-EC54A254758B}"/>
    <cellStyle name="Normal 5 4 3 2 3 2 3" xfId="12030" xr:uid="{ABE0CA30-D135-484B-A065-963BEAA207A2}"/>
    <cellStyle name="Normal 5 4 3 2 3 2 4" xfId="20477" xr:uid="{732E92E1-DE99-4D24-8F1F-FC92B603FF86}"/>
    <cellStyle name="Normal 5 4 3 2 3 3" xfId="5661" xr:uid="{00000000-0005-0000-0000-0000071B0000}"/>
    <cellStyle name="Normal 5 4 3 2 3 3 2" xfId="14103" xr:uid="{8B53681F-7D18-48F4-9445-CF9C5F1F1B22}"/>
    <cellStyle name="Normal 5 4 3 2 3 3 3" xfId="22549" xr:uid="{24C147D8-0913-41A7-BE3F-BD7B22643B11}"/>
    <cellStyle name="Normal 5 4 3 2 3 4" xfId="9885" xr:uid="{59819359-C3D2-4BB8-9998-101918AA691D}"/>
    <cellStyle name="Normal 5 4 3 2 3 5" xfId="18330" xr:uid="{D1DEF046-0D74-47B2-A7BE-49DE350F8E90}"/>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53F8B642-B3C5-4988-AFA9-A3015E51F326}"/>
    <cellStyle name="Normal 5 4 3 2 4 2 2 3" xfId="25107" xr:uid="{99B077BB-EC01-47F8-ADC5-24890AAC59C1}"/>
    <cellStyle name="Normal 5 4 3 2 4 2 3" xfId="12443" xr:uid="{0CFF5F4D-6096-4C87-884E-3DE715E014F2}"/>
    <cellStyle name="Normal 5 4 3 2 4 2 4" xfId="20890" xr:uid="{E9A12DD0-ACC4-4ECF-BC5A-1FA12271E6F0}"/>
    <cellStyle name="Normal 5 4 3 2 4 3" xfId="6074" xr:uid="{00000000-0005-0000-0000-00000B1B0000}"/>
    <cellStyle name="Normal 5 4 3 2 4 3 2" xfId="14516" xr:uid="{7CB11564-070E-483D-86CA-AABE3F98DEC9}"/>
    <cellStyle name="Normal 5 4 3 2 4 3 3" xfId="22962" xr:uid="{14056517-BCEF-42AF-BCE6-AD1EA6F1CF7A}"/>
    <cellStyle name="Normal 5 4 3 2 4 4" xfId="10298" xr:uid="{B91FD269-C436-46CD-99DE-B3EE3A4F2734}"/>
    <cellStyle name="Normal 5 4 3 2 4 5" xfId="18743" xr:uid="{6687D8B9-4D02-4BF9-9A7F-5779E7887A9C}"/>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2ACDCC13-2F99-4081-AB2D-B8D50383ECA2}"/>
    <cellStyle name="Normal 5 4 3 2 5 2 2 3" xfId="25520" xr:uid="{E92C00B9-4D6A-4E9B-B362-D393A047BB0B}"/>
    <cellStyle name="Normal 5 4 3 2 5 2 3" xfId="12856" xr:uid="{D0F62995-1227-4ABC-9462-48034C9369F1}"/>
    <cellStyle name="Normal 5 4 3 2 5 2 4" xfId="21303" xr:uid="{00C26596-9098-4872-ADB2-6167421E080C}"/>
    <cellStyle name="Normal 5 4 3 2 5 3" xfId="6487" xr:uid="{00000000-0005-0000-0000-00000F1B0000}"/>
    <cellStyle name="Normal 5 4 3 2 5 3 2" xfId="14929" xr:uid="{C0AFD103-7BF6-4E34-82DA-1325C55399EF}"/>
    <cellStyle name="Normal 5 4 3 2 5 3 3" xfId="23375" xr:uid="{66760A73-8E4F-42CD-81D8-31CD544E8A62}"/>
    <cellStyle name="Normal 5 4 3 2 5 4" xfId="10711" xr:uid="{59B25C2D-B35E-4865-83BD-3FD5CB088E32}"/>
    <cellStyle name="Normal 5 4 3 2 5 5" xfId="19156" xr:uid="{DA22EFEF-3EC7-4BAF-9CD5-A943485C7D94}"/>
    <cellStyle name="Normal 5 4 3 2 6" xfId="2616" xr:uid="{00000000-0005-0000-0000-0000101B0000}"/>
    <cellStyle name="Normal 5 4 3 2 6 2" xfId="6900" xr:uid="{00000000-0005-0000-0000-0000111B0000}"/>
    <cellStyle name="Normal 5 4 3 2 6 2 2" xfId="15342" xr:uid="{7F2630F0-0FC5-440B-83B9-573A289F8E7A}"/>
    <cellStyle name="Normal 5 4 3 2 6 2 3" xfId="23788" xr:uid="{90BFCE04-E8F1-46B0-9EF6-A2EEEA4A5366}"/>
    <cellStyle name="Normal 5 4 3 2 6 3" xfId="11124" xr:uid="{FBFA6689-FC21-478C-8F38-0215F5906B6B}"/>
    <cellStyle name="Normal 5 4 3 2 6 4" xfId="19569" xr:uid="{91C6D0A0-EBE0-4ACC-A490-388AA5B97583}"/>
    <cellStyle name="Normal 5 4 3 2 7" xfId="4835" xr:uid="{00000000-0005-0000-0000-0000121B0000}"/>
    <cellStyle name="Normal 5 4 3 2 7 2" xfId="13277" xr:uid="{04B013F9-CDBE-43AE-A40A-AD41E179215A}"/>
    <cellStyle name="Normal 5 4 3 2 7 3" xfId="21723" xr:uid="{FA1E533E-E778-4649-8B3D-6E6D020476AB}"/>
    <cellStyle name="Normal 5 4 3 2 8" xfId="9059" xr:uid="{F9019027-7B41-470E-8E26-B35332BD3EFC}"/>
    <cellStyle name="Normal 5 4 3 2 9" xfId="17503" xr:uid="{EA47A8B8-4D41-4332-AC67-20B0FF2F4E47}"/>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89F434B7-FF1A-4182-936A-043DE2DC1623}"/>
    <cellStyle name="Normal 5 4 3 3 2 2 3" xfId="24280" xr:uid="{98154AEC-2DE2-43E9-B49E-E37BF9234D68}"/>
    <cellStyle name="Normal 5 4 3 3 2 3" xfId="11616" xr:uid="{DFCCDC9A-D14C-413D-A9FA-F9FB4B362929}"/>
    <cellStyle name="Normal 5 4 3 3 2 4" xfId="20063" xr:uid="{75CCC95C-45B2-4412-A546-38E70EEAAD94}"/>
    <cellStyle name="Normal 5 4 3 3 3" xfId="5247" xr:uid="{00000000-0005-0000-0000-0000161B0000}"/>
    <cellStyle name="Normal 5 4 3 3 3 2" xfId="13689" xr:uid="{E8791822-20FE-4902-8075-1B6BD2992435}"/>
    <cellStyle name="Normal 5 4 3 3 3 3" xfId="22135" xr:uid="{91F1241A-A2E8-4764-A839-8D3B996E9B9A}"/>
    <cellStyle name="Normal 5 4 3 3 4" xfId="9471" xr:uid="{13A84283-261E-4F20-A2CC-69D43BA23CFC}"/>
    <cellStyle name="Normal 5 4 3 3 5" xfId="17916" xr:uid="{9BF19274-F098-4A93-867E-A32F591CF132}"/>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A864879B-0B37-4450-92F7-CE3C8502EC25}"/>
    <cellStyle name="Normal 5 4 3 4 2 2 3" xfId="24693" xr:uid="{ECD29BEC-402C-4B1A-94F1-9ED4DB24728C}"/>
    <cellStyle name="Normal 5 4 3 4 2 3" xfId="12029" xr:uid="{C5563E37-EF7B-4131-8C6B-61F01C43DD20}"/>
    <cellStyle name="Normal 5 4 3 4 2 4" xfId="20476" xr:uid="{D8DB51FD-EF5E-459C-AE6E-3BCF79080C98}"/>
    <cellStyle name="Normal 5 4 3 4 3" xfId="5660" xr:uid="{00000000-0005-0000-0000-00001A1B0000}"/>
    <cellStyle name="Normal 5 4 3 4 3 2" xfId="14102" xr:uid="{CAA7A1FC-5A0A-4E78-AE85-57C790B6BAF3}"/>
    <cellStyle name="Normal 5 4 3 4 3 3" xfId="22548" xr:uid="{B5A63857-58C2-4448-AB5B-C1EA051E4AC0}"/>
    <cellStyle name="Normal 5 4 3 4 4" xfId="9884" xr:uid="{610361AD-2312-4FC0-A1E6-F97A223D2ECB}"/>
    <cellStyle name="Normal 5 4 3 4 5" xfId="18329" xr:uid="{58AF85B9-9B1B-486E-B0D1-386619EFA037}"/>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DA3B928F-C17A-49FB-A395-FC18728CF13F}"/>
    <cellStyle name="Normal 5 4 3 5 2 2 3" xfId="25106" xr:uid="{3F3B1D41-630F-4329-B3F2-0B032FC1C823}"/>
    <cellStyle name="Normal 5 4 3 5 2 3" xfId="12442" xr:uid="{3CBB0500-8963-4350-BA5C-DDF83ED830F9}"/>
    <cellStyle name="Normal 5 4 3 5 2 4" xfId="20889" xr:uid="{C455EC4F-1C5D-4401-9319-B496AA6E8BE4}"/>
    <cellStyle name="Normal 5 4 3 5 3" xfId="6073" xr:uid="{00000000-0005-0000-0000-00001E1B0000}"/>
    <cellStyle name="Normal 5 4 3 5 3 2" xfId="14515" xr:uid="{CF0709E8-22BE-4560-AB76-F1B04882AD47}"/>
    <cellStyle name="Normal 5 4 3 5 3 3" xfId="22961" xr:uid="{DE58D7B2-1355-4FF2-AEDD-C452923F914B}"/>
    <cellStyle name="Normal 5 4 3 5 4" xfId="10297" xr:uid="{594ADD82-816E-4899-A2FB-52166C5BF6A7}"/>
    <cellStyle name="Normal 5 4 3 5 5" xfId="18742" xr:uid="{3F92BBF1-62DE-4AFA-B6BD-3064E6483A82}"/>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8DE62C42-2475-4585-A4B1-0EC7EA1DC135}"/>
    <cellStyle name="Normal 5 4 3 6 2 2 3" xfId="25519" xr:uid="{FB0B38F5-EC5A-47A3-8BDA-CA6B888281EE}"/>
    <cellStyle name="Normal 5 4 3 6 2 3" xfId="12855" xr:uid="{A59CB05A-A1A9-4A36-A86D-71E3E4C8CB88}"/>
    <cellStyle name="Normal 5 4 3 6 2 4" xfId="21302" xr:uid="{61DFF43C-7484-43D0-89F3-CFD7E95330FA}"/>
    <cellStyle name="Normal 5 4 3 6 3" xfId="6486" xr:uid="{00000000-0005-0000-0000-0000221B0000}"/>
    <cellStyle name="Normal 5 4 3 6 3 2" xfId="14928" xr:uid="{BBEF4DB4-A9D4-47C9-9F5D-ED301B40FAF3}"/>
    <cellStyle name="Normal 5 4 3 6 3 3" xfId="23374" xr:uid="{4DEE57C0-2D1C-4B29-9838-C5904C794BAF}"/>
    <cellStyle name="Normal 5 4 3 6 4" xfId="10710" xr:uid="{EFB84D26-3BB8-46E7-BB23-35217124AE22}"/>
    <cellStyle name="Normal 5 4 3 6 5" xfId="19155" xr:uid="{887D1779-1EAA-43D1-8D3F-558E3DA33B30}"/>
    <cellStyle name="Normal 5 4 3 7" xfId="2615" xr:uid="{00000000-0005-0000-0000-0000231B0000}"/>
    <cellStyle name="Normal 5 4 3 7 2" xfId="6899" xr:uid="{00000000-0005-0000-0000-0000241B0000}"/>
    <cellStyle name="Normal 5 4 3 7 2 2" xfId="15341" xr:uid="{9EEC6AF2-60AF-44F6-A6F4-5AD4D09D8020}"/>
    <cellStyle name="Normal 5 4 3 7 2 3" xfId="23787" xr:uid="{C6251DA5-D441-4A59-A0DF-708BA67507AF}"/>
    <cellStyle name="Normal 5 4 3 7 3" xfId="11123" xr:uid="{73A5285F-2ECD-48E4-A938-DDE6E0C0082E}"/>
    <cellStyle name="Normal 5 4 3 7 4" xfId="19568" xr:uid="{D8B588B0-5AA4-48B5-8615-5FD0F0B67391}"/>
    <cellStyle name="Normal 5 4 3 8" xfId="4834" xr:uid="{00000000-0005-0000-0000-0000251B0000}"/>
    <cellStyle name="Normal 5 4 3 8 2" xfId="13276" xr:uid="{FCBA0A59-0211-4FBB-A174-CBE46D6CA128}"/>
    <cellStyle name="Normal 5 4 3 8 3" xfId="21722" xr:uid="{81AEE665-7B13-4E58-A522-F21D0A877ED2}"/>
    <cellStyle name="Normal 5 4 3 9" xfId="9058" xr:uid="{A519E1BC-83DF-4694-933D-1118E4E6D337}"/>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9FA15564-0D22-4FA6-976E-B68DA32D4CE8}"/>
    <cellStyle name="Normal 5 4 4 2 2 2 3" xfId="24282" xr:uid="{B544F487-C8B9-4B80-BB20-7F36101BCCEA}"/>
    <cellStyle name="Normal 5 4 4 2 2 3" xfId="11618" xr:uid="{21975D5E-6B62-446B-B887-3D3D663B4F94}"/>
    <cellStyle name="Normal 5 4 4 2 2 4" xfId="20065" xr:uid="{13D540CD-431D-4D27-B254-2C53091859B8}"/>
    <cellStyle name="Normal 5 4 4 2 3" xfId="5249" xr:uid="{00000000-0005-0000-0000-00002A1B0000}"/>
    <cellStyle name="Normal 5 4 4 2 3 2" xfId="13691" xr:uid="{8EB5689B-9679-4A4E-9AD9-A819442A7C3F}"/>
    <cellStyle name="Normal 5 4 4 2 3 3" xfId="22137" xr:uid="{52E7F78E-3838-4A55-8664-DF4A46381E47}"/>
    <cellStyle name="Normal 5 4 4 2 4" xfId="9473" xr:uid="{C3284ECC-989F-4A5A-9984-DF7B124C5CB6}"/>
    <cellStyle name="Normal 5 4 4 2 5" xfId="17918" xr:uid="{4C629A89-BA51-4B5F-86E1-5919B7CBB437}"/>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FD07C0ED-67B1-4DBB-889B-B08E2D2871C3}"/>
    <cellStyle name="Normal 5 4 4 3 2 2 3" xfId="24695" xr:uid="{F707596F-75DE-4341-8FC2-8894851E818E}"/>
    <cellStyle name="Normal 5 4 4 3 2 3" xfId="12031" xr:uid="{02E4A5EA-4CA5-4866-B02E-5CA8501708E0}"/>
    <cellStyle name="Normal 5 4 4 3 2 4" xfId="20478" xr:uid="{C2C296D3-5C43-41EC-9DED-796DA3298DEC}"/>
    <cellStyle name="Normal 5 4 4 3 3" xfId="5662" xr:uid="{00000000-0005-0000-0000-00002E1B0000}"/>
    <cellStyle name="Normal 5 4 4 3 3 2" xfId="14104" xr:uid="{3CAFC152-A369-4345-9287-B15B0FC3B5B2}"/>
    <cellStyle name="Normal 5 4 4 3 3 3" xfId="22550" xr:uid="{37407B0D-D10F-4DE9-BDA4-B77B3DD9B58F}"/>
    <cellStyle name="Normal 5 4 4 3 4" xfId="9886" xr:uid="{47D5D923-84B3-4E0E-9709-8FB3CF67D706}"/>
    <cellStyle name="Normal 5 4 4 3 5" xfId="18331" xr:uid="{9A9B7E48-BF30-4B36-BC2E-C78CB8AD9071}"/>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94D68994-DA64-4053-9676-45F861348AE9}"/>
    <cellStyle name="Normal 5 4 4 4 2 2 3" xfId="25108" xr:uid="{8E5AB5D8-18F6-4352-A722-ED45F6C7BD30}"/>
    <cellStyle name="Normal 5 4 4 4 2 3" xfId="12444" xr:uid="{2F4650C1-FFD6-4DE0-83B8-4A7C5EB39200}"/>
    <cellStyle name="Normal 5 4 4 4 2 4" xfId="20891" xr:uid="{B0B4F709-20C3-4A58-AA02-88296DF6DA15}"/>
    <cellStyle name="Normal 5 4 4 4 3" xfId="6075" xr:uid="{00000000-0005-0000-0000-0000321B0000}"/>
    <cellStyle name="Normal 5 4 4 4 3 2" xfId="14517" xr:uid="{EE28049A-76E1-4F89-AFA7-88B134F4B0B1}"/>
    <cellStyle name="Normal 5 4 4 4 3 3" xfId="22963" xr:uid="{3485BEA0-500E-47C0-8081-BC4F538A117E}"/>
    <cellStyle name="Normal 5 4 4 4 4" xfId="10299" xr:uid="{CF56B5CD-D096-4367-907C-65BB4142C7D3}"/>
    <cellStyle name="Normal 5 4 4 4 5" xfId="18744" xr:uid="{09F7A18C-FE32-482B-A539-97B6026412E9}"/>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BC3FDB6B-667F-4306-936E-D8ACFEC1859A}"/>
    <cellStyle name="Normal 5 4 4 5 2 2 3" xfId="25521" xr:uid="{272EBC85-8A4C-4AB9-8D19-2C881AF06F40}"/>
    <cellStyle name="Normal 5 4 4 5 2 3" xfId="12857" xr:uid="{198158A6-BB81-42EF-9551-23DD6EF1F91A}"/>
    <cellStyle name="Normal 5 4 4 5 2 4" xfId="21304" xr:uid="{A24F9A32-07C6-48AE-AB36-4D23C66F38E3}"/>
    <cellStyle name="Normal 5 4 4 5 3" xfId="6488" xr:uid="{00000000-0005-0000-0000-0000361B0000}"/>
    <cellStyle name="Normal 5 4 4 5 3 2" xfId="14930" xr:uid="{B31181FC-9FAC-4792-A255-2806A760812E}"/>
    <cellStyle name="Normal 5 4 4 5 3 3" xfId="23376" xr:uid="{F8D9328B-49D5-4547-B91E-D87427C88124}"/>
    <cellStyle name="Normal 5 4 4 5 4" xfId="10712" xr:uid="{8628DFFE-0C0C-4601-8CC4-B242F358721F}"/>
    <cellStyle name="Normal 5 4 4 5 5" xfId="19157" xr:uid="{ACD91A6E-3A25-470F-883A-520E14D6463F}"/>
    <cellStyle name="Normal 5 4 4 6" xfId="2617" xr:uid="{00000000-0005-0000-0000-0000371B0000}"/>
    <cellStyle name="Normal 5 4 4 6 2" xfId="6901" xr:uid="{00000000-0005-0000-0000-0000381B0000}"/>
    <cellStyle name="Normal 5 4 4 6 2 2" xfId="15343" xr:uid="{A5FD7A2C-9D96-4C8F-8967-2FEBEC3D004C}"/>
    <cellStyle name="Normal 5 4 4 6 2 3" xfId="23789" xr:uid="{F66F3E0A-632F-4C42-8533-78D9C212EC10}"/>
    <cellStyle name="Normal 5 4 4 6 3" xfId="11125" xr:uid="{7C803A49-0184-44D8-95B6-B1C471092814}"/>
    <cellStyle name="Normal 5 4 4 6 4" xfId="19570" xr:uid="{7EFB1AC9-1D8E-4C87-B893-E56881FB9F62}"/>
    <cellStyle name="Normal 5 4 4 7" xfId="4836" xr:uid="{00000000-0005-0000-0000-0000391B0000}"/>
    <cellStyle name="Normal 5 4 4 7 2" xfId="13278" xr:uid="{4E2C5108-CC53-430E-AA64-C20C7C4AC51C}"/>
    <cellStyle name="Normal 5 4 4 7 3" xfId="21724" xr:uid="{07C6DB71-92D3-4527-9A13-70818205707D}"/>
    <cellStyle name="Normal 5 4 4 8" xfId="9060" xr:uid="{1210DF34-4A56-4A84-9BDE-CA5926B1559D}"/>
    <cellStyle name="Normal 5 4 4 9" xfId="17504" xr:uid="{8EFB5750-D329-409C-B273-9E19CD2BADEF}"/>
    <cellStyle name="Normal 5 4 5" xfId="930" xr:uid="{00000000-0005-0000-0000-00003A1B0000}"/>
    <cellStyle name="Normal 5 4 5 2" xfId="3164" xr:uid="{00000000-0005-0000-0000-00003B1B0000}"/>
    <cellStyle name="Normal 5 4 5 2 2" xfId="7387" xr:uid="{00000000-0005-0000-0000-00003C1B0000}"/>
    <cellStyle name="Normal 5 4 5 2 2 2" xfId="15829" xr:uid="{58FA3DA9-ADAD-4779-A985-71F1949B4397}"/>
    <cellStyle name="Normal 5 4 5 2 2 3" xfId="24275" xr:uid="{5DAE1D78-1E33-4009-ABC4-E203638CECAA}"/>
    <cellStyle name="Normal 5 4 5 2 3" xfId="11611" xr:uid="{D5971FC5-657A-4134-BC7A-9E13A07DFDAC}"/>
    <cellStyle name="Normal 5 4 5 2 4" xfId="20058" xr:uid="{0792D7DA-2249-4D0B-A4C4-FCA74AC5A116}"/>
    <cellStyle name="Normal 5 4 5 3" xfId="5242" xr:uid="{00000000-0005-0000-0000-00003D1B0000}"/>
    <cellStyle name="Normal 5 4 5 3 2" xfId="13684" xr:uid="{914A294A-869A-411C-B88F-D84FB0341DFD}"/>
    <cellStyle name="Normal 5 4 5 3 3" xfId="22130" xr:uid="{496B6F70-D9C0-4C84-836A-0A49AE585BF7}"/>
    <cellStyle name="Normal 5 4 5 4" xfId="9466" xr:uid="{F93DD3CB-152E-4B32-8B19-BDAC50FC3908}"/>
    <cellStyle name="Normal 5 4 5 5" xfId="17911" xr:uid="{9D9EB7BA-BDC8-4138-9C19-EE6174B83CBC}"/>
    <cellStyle name="Normal 5 4 6" xfId="1347" xr:uid="{00000000-0005-0000-0000-00003E1B0000}"/>
    <cellStyle name="Normal 5 4 6 2" xfId="3577" xr:uid="{00000000-0005-0000-0000-00003F1B0000}"/>
    <cellStyle name="Normal 5 4 6 2 2" xfId="7800" xr:uid="{00000000-0005-0000-0000-0000401B0000}"/>
    <cellStyle name="Normal 5 4 6 2 2 2" xfId="16242" xr:uid="{97E818AD-C151-46CE-8B77-D313240F53BA}"/>
    <cellStyle name="Normal 5 4 6 2 2 3" xfId="24688" xr:uid="{B8028DA1-9EF4-474A-918C-E9B40A78757D}"/>
    <cellStyle name="Normal 5 4 6 2 3" xfId="12024" xr:uid="{2510912D-F3D9-417D-9FFA-2960DE22658C}"/>
    <cellStyle name="Normal 5 4 6 2 4" xfId="20471" xr:uid="{73A839C9-32B7-4B94-B4FF-155897536452}"/>
    <cellStyle name="Normal 5 4 6 3" xfId="5655" xr:uid="{00000000-0005-0000-0000-0000411B0000}"/>
    <cellStyle name="Normal 5 4 6 3 2" xfId="14097" xr:uid="{4CC8D8BD-2BFF-4AB7-A367-239339778482}"/>
    <cellStyle name="Normal 5 4 6 3 3" xfId="22543" xr:uid="{2EB719E8-9F87-4915-843B-F668A1D617A9}"/>
    <cellStyle name="Normal 5 4 6 4" xfId="9879" xr:uid="{0F459692-B2FC-466C-A367-AABE86709864}"/>
    <cellStyle name="Normal 5 4 6 5" xfId="18324" xr:uid="{661F1E28-2405-4358-920B-A1B02FCC5E0D}"/>
    <cellStyle name="Normal 5 4 7" xfId="1760" xr:uid="{00000000-0005-0000-0000-0000421B0000}"/>
    <cellStyle name="Normal 5 4 7 2" xfId="3990" xr:uid="{00000000-0005-0000-0000-0000431B0000}"/>
    <cellStyle name="Normal 5 4 7 2 2" xfId="8213" xr:uid="{00000000-0005-0000-0000-0000441B0000}"/>
    <cellStyle name="Normal 5 4 7 2 2 2" xfId="16655" xr:uid="{7DF69D63-6091-4AB7-B7D6-670F5D71BA06}"/>
    <cellStyle name="Normal 5 4 7 2 2 3" xfId="25101" xr:uid="{44FDE515-1F31-426E-BF87-F01D3D552F0B}"/>
    <cellStyle name="Normal 5 4 7 2 3" xfId="12437" xr:uid="{30DB29A7-3363-4B53-8C7E-23E5DC6BE8DD}"/>
    <cellStyle name="Normal 5 4 7 2 4" xfId="20884" xr:uid="{CD36CD79-3B12-4B63-A440-74C8E9D0EE4C}"/>
    <cellStyle name="Normal 5 4 7 3" xfId="6068" xr:uid="{00000000-0005-0000-0000-0000451B0000}"/>
    <cellStyle name="Normal 5 4 7 3 2" xfId="14510" xr:uid="{CF577FC1-BAD0-486E-88FF-9DC06F96CB2E}"/>
    <cellStyle name="Normal 5 4 7 3 3" xfId="22956" xr:uid="{C23B2D4E-F430-4E6C-85E4-9E5623010B95}"/>
    <cellStyle name="Normal 5 4 7 4" xfId="10292" xr:uid="{A6E7AD46-9147-425A-AEDC-5DABB26C000A}"/>
    <cellStyle name="Normal 5 4 7 5" xfId="18737" xr:uid="{5DAE216D-E72D-486B-A295-4DB1E5D11998}"/>
    <cellStyle name="Normal 5 4 8" xfId="2174" xr:uid="{00000000-0005-0000-0000-0000461B0000}"/>
    <cellStyle name="Normal 5 4 8 2" xfId="4403" xr:uid="{00000000-0005-0000-0000-0000471B0000}"/>
    <cellStyle name="Normal 5 4 8 2 2" xfId="8626" xr:uid="{00000000-0005-0000-0000-0000481B0000}"/>
    <cellStyle name="Normal 5 4 8 2 2 2" xfId="17068" xr:uid="{F69BA368-BE3D-41C2-8C14-27E6F81D0D5A}"/>
    <cellStyle name="Normal 5 4 8 2 2 3" xfId="25514" xr:uid="{69276715-66A1-4F52-BC68-C6EC04F79BF7}"/>
    <cellStyle name="Normal 5 4 8 2 3" xfId="12850" xr:uid="{64A9F9B4-2DCA-4E13-B282-AAB778FA9F3C}"/>
    <cellStyle name="Normal 5 4 8 2 4" xfId="21297" xr:uid="{BEF8E4A9-4092-45B5-BB8E-1D1ABD9B2B5C}"/>
    <cellStyle name="Normal 5 4 8 3" xfId="6481" xr:uid="{00000000-0005-0000-0000-0000491B0000}"/>
    <cellStyle name="Normal 5 4 8 3 2" xfId="14923" xr:uid="{A12DFBE3-061C-4E20-B158-F5848D2D6F58}"/>
    <cellStyle name="Normal 5 4 8 3 3" xfId="23369" xr:uid="{809F2040-6B7A-466D-855A-10FB92314839}"/>
    <cellStyle name="Normal 5 4 8 4" xfId="10705" xr:uid="{7B957787-B242-4F99-A5D1-82D2FEE2D050}"/>
    <cellStyle name="Normal 5 4 8 5" xfId="19150" xr:uid="{315D5388-A803-434B-9AD3-CE27909391D0}"/>
    <cellStyle name="Normal 5 4 9" xfId="2610" xr:uid="{00000000-0005-0000-0000-00004A1B0000}"/>
    <cellStyle name="Normal 5 4 9 2" xfId="6894" xr:uid="{00000000-0005-0000-0000-00004B1B0000}"/>
    <cellStyle name="Normal 5 4 9 2 2" xfId="15336" xr:uid="{40853360-B37B-491C-9869-A502ACB208CB}"/>
    <cellStyle name="Normal 5 4 9 2 3" xfId="23782" xr:uid="{DB3D0E05-95FC-4DA6-824C-EFB4EB082BA2}"/>
    <cellStyle name="Normal 5 4 9 3" xfId="11118" xr:uid="{407DB443-1545-46A7-8662-77CAC972E3CE}"/>
    <cellStyle name="Normal 5 4 9 4" xfId="19563" xr:uid="{3CC2DD95-2AFE-4C1B-BE1D-F37402FD70DA}"/>
    <cellStyle name="Normal 5 5" xfId="464" xr:uid="{00000000-0005-0000-0000-00004C1B0000}"/>
    <cellStyle name="Normal 5 5 10" xfId="9061" xr:uid="{71CACBCC-DCDE-4CD3-8124-A27861B74D82}"/>
    <cellStyle name="Normal 5 5 11" xfId="17505" xr:uid="{12C3E740-7D88-4C03-9724-59D2191CF6AE}"/>
    <cellStyle name="Normal 5 5 2" xfId="465" xr:uid="{00000000-0005-0000-0000-00004D1B0000}"/>
    <cellStyle name="Normal 5 5 2 10" xfId="17506" xr:uid="{D4470FE7-3A40-4B37-9AB2-67678F5500A1}"/>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0E128306-03BF-4151-9E40-0DEB43B905BF}"/>
    <cellStyle name="Normal 5 5 2 2 2 2 2 3" xfId="24285" xr:uid="{2FCA9087-A822-41B5-B070-CCA53EFFE367}"/>
    <cellStyle name="Normal 5 5 2 2 2 2 3" xfId="11621" xr:uid="{95BD2A16-6BC0-4289-978E-C4F2B7881F76}"/>
    <cellStyle name="Normal 5 5 2 2 2 2 4" xfId="20068" xr:uid="{B90F8B26-50A1-41D7-9654-B74ED50ADD6B}"/>
    <cellStyle name="Normal 5 5 2 2 2 3" xfId="5252" xr:uid="{00000000-0005-0000-0000-0000521B0000}"/>
    <cellStyle name="Normal 5 5 2 2 2 3 2" xfId="13694" xr:uid="{3CA6ABF5-4668-43CD-AE12-1FC64DED1B79}"/>
    <cellStyle name="Normal 5 5 2 2 2 3 3" xfId="22140" xr:uid="{E1458D43-DFE9-4F20-84A1-A0745D7A16CD}"/>
    <cellStyle name="Normal 5 5 2 2 2 4" xfId="9476" xr:uid="{7664FFC5-5568-4248-A22A-A3EFF5D3402D}"/>
    <cellStyle name="Normal 5 5 2 2 2 5" xfId="17921" xr:uid="{FFA0CD60-B36D-4B47-A700-364F1EB5D344}"/>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A09E0DD3-F4A9-40F6-AD09-4267E7D54179}"/>
    <cellStyle name="Normal 5 5 2 2 3 2 2 3" xfId="24698" xr:uid="{96D0335B-E8F9-4F97-9D60-DC0C425F91B8}"/>
    <cellStyle name="Normal 5 5 2 2 3 2 3" xfId="12034" xr:uid="{583BA585-D32C-4CBB-B518-D7B237D7917B}"/>
    <cellStyle name="Normal 5 5 2 2 3 2 4" xfId="20481" xr:uid="{153374CE-7432-4599-895E-79EE6578D927}"/>
    <cellStyle name="Normal 5 5 2 2 3 3" xfId="5665" xr:uid="{00000000-0005-0000-0000-0000561B0000}"/>
    <cellStyle name="Normal 5 5 2 2 3 3 2" xfId="14107" xr:uid="{41314CA2-7F2E-4B86-B373-27E748968991}"/>
    <cellStyle name="Normal 5 5 2 2 3 3 3" xfId="22553" xr:uid="{65E1230B-99AC-42B3-99F3-CE8E52E26DCE}"/>
    <cellStyle name="Normal 5 5 2 2 3 4" xfId="9889" xr:uid="{D607BF46-4979-42E0-AD4A-0A86CBDEF1A1}"/>
    <cellStyle name="Normal 5 5 2 2 3 5" xfId="18334" xr:uid="{81144D29-D23E-48B8-897E-9EA8A161386E}"/>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772A6F7E-A716-41E9-9B78-7E7509792620}"/>
    <cellStyle name="Normal 5 5 2 2 4 2 2 3" xfId="25111" xr:uid="{395CD525-A5CE-4AE4-9DDF-B0D624BCA726}"/>
    <cellStyle name="Normal 5 5 2 2 4 2 3" xfId="12447" xr:uid="{E7FDAA3A-BDFB-4397-BEF8-1ABC797ECA63}"/>
    <cellStyle name="Normal 5 5 2 2 4 2 4" xfId="20894" xr:uid="{1DF4095B-4907-4B04-BC6F-188D8031F85C}"/>
    <cellStyle name="Normal 5 5 2 2 4 3" xfId="6078" xr:uid="{00000000-0005-0000-0000-00005A1B0000}"/>
    <cellStyle name="Normal 5 5 2 2 4 3 2" xfId="14520" xr:uid="{9A814E25-A0C7-44A9-B81D-5B9DA7CAA173}"/>
    <cellStyle name="Normal 5 5 2 2 4 3 3" xfId="22966" xr:uid="{A673FEB5-F45E-4798-AB02-3C043D694A1B}"/>
    <cellStyle name="Normal 5 5 2 2 4 4" xfId="10302" xr:uid="{BD87BB31-E850-4A8D-A824-AB233792272C}"/>
    <cellStyle name="Normal 5 5 2 2 4 5" xfId="18747" xr:uid="{A7367FA0-CDBA-4017-8479-953FA09AF3C0}"/>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D9AB5800-54D4-4DA3-81A8-E061AF3CF1D7}"/>
    <cellStyle name="Normal 5 5 2 2 5 2 2 3" xfId="25524" xr:uid="{262A099E-19D0-4ACC-9DA1-F8004B2DFC02}"/>
    <cellStyle name="Normal 5 5 2 2 5 2 3" xfId="12860" xr:uid="{05F6FF11-E22E-4BE9-8A34-3E9D00085942}"/>
    <cellStyle name="Normal 5 5 2 2 5 2 4" xfId="21307" xr:uid="{0149E451-FF7C-4235-9D64-338C660D2EA2}"/>
    <cellStyle name="Normal 5 5 2 2 5 3" xfId="6491" xr:uid="{00000000-0005-0000-0000-00005E1B0000}"/>
    <cellStyle name="Normal 5 5 2 2 5 3 2" xfId="14933" xr:uid="{0DBE3004-5496-4BF1-837C-C4D7B404CFD9}"/>
    <cellStyle name="Normal 5 5 2 2 5 3 3" xfId="23379" xr:uid="{E39A6915-5523-46A0-8FCE-98F0A6D90D9C}"/>
    <cellStyle name="Normal 5 5 2 2 5 4" xfId="10715" xr:uid="{2FC647EF-F918-426C-B7B8-AFB5B8090A0B}"/>
    <cellStyle name="Normal 5 5 2 2 5 5" xfId="19160" xr:uid="{9B8E3583-E9C7-4B55-A5F9-1D1E1E68FA47}"/>
    <cellStyle name="Normal 5 5 2 2 6" xfId="2620" xr:uid="{00000000-0005-0000-0000-00005F1B0000}"/>
    <cellStyle name="Normal 5 5 2 2 6 2" xfId="6904" xr:uid="{00000000-0005-0000-0000-0000601B0000}"/>
    <cellStyle name="Normal 5 5 2 2 6 2 2" xfId="15346" xr:uid="{9A3D8CFB-34BE-40B9-AE70-7CDB26CBC8E9}"/>
    <cellStyle name="Normal 5 5 2 2 6 2 3" xfId="23792" xr:uid="{0A8B291E-1177-4846-B010-412B8DC0660E}"/>
    <cellStyle name="Normal 5 5 2 2 6 3" xfId="11128" xr:uid="{ECF13E66-8B2F-4ED1-B58C-B425F9D82C6A}"/>
    <cellStyle name="Normal 5 5 2 2 6 4" xfId="19573" xr:uid="{1628A218-05FC-409F-BA6B-F3043AD2A9BA}"/>
    <cellStyle name="Normal 5 5 2 2 7" xfId="4839" xr:uid="{00000000-0005-0000-0000-0000611B0000}"/>
    <cellStyle name="Normal 5 5 2 2 7 2" xfId="13281" xr:uid="{B1A43DEE-1815-450B-BBF0-5B25812561C0}"/>
    <cellStyle name="Normal 5 5 2 2 7 3" xfId="21727" xr:uid="{D60DB8FB-C970-4F12-AB2C-F489A1673C26}"/>
    <cellStyle name="Normal 5 5 2 2 8" xfId="9063" xr:uid="{8CE3A66F-8150-40AF-8EBC-79ABEDAA6B4E}"/>
    <cellStyle name="Normal 5 5 2 2 9" xfId="17507" xr:uid="{C5296711-085A-40CC-B455-3486C7CD9639}"/>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1521BE67-DB02-4DF4-BC7A-B675C6248580}"/>
    <cellStyle name="Normal 5 5 2 3 2 2 3" xfId="24284" xr:uid="{F867D390-22CC-453E-8F2E-3F0AFF2C842E}"/>
    <cellStyle name="Normal 5 5 2 3 2 3" xfId="11620" xr:uid="{A28A3836-6CAD-480B-B9A8-DDCE289F5EFB}"/>
    <cellStyle name="Normal 5 5 2 3 2 4" xfId="20067" xr:uid="{7585B05E-A738-4C2F-870D-B0BE5B067F3E}"/>
    <cellStyle name="Normal 5 5 2 3 3" xfId="5251" xr:uid="{00000000-0005-0000-0000-0000651B0000}"/>
    <cellStyle name="Normal 5 5 2 3 3 2" xfId="13693" xr:uid="{BF076179-5B59-4E29-AD12-C903CD9B0DC4}"/>
    <cellStyle name="Normal 5 5 2 3 3 3" xfId="22139" xr:uid="{57E1E46E-0FFA-4670-A84C-E1CE141C1626}"/>
    <cellStyle name="Normal 5 5 2 3 4" xfId="9475" xr:uid="{AC9C5CED-7D4C-45F9-A5D5-EB25B5A56848}"/>
    <cellStyle name="Normal 5 5 2 3 5" xfId="17920" xr:uid="{2B90E08D-FD22-4CC4-8641-666DD21847F1}"/>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5D393337-3442-44DB-BA4E-6D866292383B}"/>
    <cellStyle name="Normal 5 5 2 4 2 2 3" xfId="24697" xr:uid="{FF9B2132-37F5-4844-869C-61EABF150F79}"/>
    <cellStyle name="Normal 5 5 2 4 2 3" xfId="12033" xr:uid="{282FCD84-0F9E-468E-8E54-D9AB67A0DF9A}"/>
    <cellStyle name="Normal 5 5 2 4 2 4" xfId="20480" xr:uid="{100AB3AC-E5E8-48DC-AA7B-928762DD55A7}"/>
    <cellStyle name="Normal 5 5 2 4 3" xfId="5664" xr:uid="{00000000-0005-0000-0000-0000691B0000}"/>
    <cellStyle name="Normal 5 5 2 4 3 2" xfId="14106" xr:uid="{E90FD046-E4D0-42FF-8866-6DC85C28F2F1}"/>
    <cellStyle name="Normal 5 5 2 4 3 3" xfId="22552" xr:uid="{A2351905-4C65-4834-871F-DC3BFB9981C3}"/>
    <cellStyle name="Normal 5 5 2 4 4" xfId="9888" xr:uid="{0C8BDC86-EED9-4BFC-915F-4836BF87BDE9}"/>
    <cellStyle name="Normal 5 5 2 4 5" xfId="18333" xr:uid="{B867D401-2277-4778-8125-073FBC1F6EE2}"/>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E3FB2509-C7A1-4A0C-B62D-57BF53BC3118}"/>
    <cellStyle name="Normal 5 5 2 5 2 2 3" xfId="25110" xr:uid="{55CD62FC-9F8A-41BB-B0AE-A2A0DDF32CAC}"/>
    <cellStyle name="Normal 5 5 2 5 2 3" xfId="12446" xr:uid="{3371A414-015E-471E-8BAA-69B8948EACA8}"/>
    <cellStyle name="Normal 5 5 2 5 2 4" xfId="20893" xr:uid="{2F6FAA60-C310-4254-B02B-15F8052E785A}"/>
    <cellStyle name="Normal 5 5 2 5 3" xfId="6077" xr:uid="{00000000-0005-0000-0000-00006D1B0000}"/>
    <cellStyle name="Normal 5 5 2 5 3 2" xfId="14519" xr:uid="{706B736D-8904-48A0-A77F-84B55E1183F1}"/>
    <cellStyle name="Normal 5 5 2 5 3 3" xfId="22965" xr:uid="{03236DDF-A895-46C8-ADF2-0D13BD2B1EFE}"/>
    <cellStyle name="Normal 5 5 2 5 4" xfId="10301" xr:uid="{04539203-E74B-4B84-9922-FE7478405E4D}"/>
    <cellStyle name="Normal 5 5 2 5 5" xfId="18746" xr:uid="{6F6CF061-2900-4F1B-BFCE-AB9608DE5D45}"/>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702ECD42-F297-41A7-B383-C43CD5C7D555}"/>
    <cellStyle name="Normal 5 5 2 6 2 2 3" xfId="25523" xr:uid="{34038B82-6019-4233-9B71-57EE1211414F}"/>
    <cellStyle name="Normal 5 5 2 6 2 3" xfId="12859" xr:uid="{F2EFEC51-0727-42F6-BA63-8241AF18DF93}"/>
    <cellStyle name="Normal 5 5 2 6 2 4" xfId="21306" xr:uid="{625A271D-966F-4E64-AA08-5AE836DF2C37}"/>
    <cellStyle name="Normal 5 5 2 6 3" xfId="6490" xr:uid="{00000000-0005-0000-0000-0000711B0000}"/>
    <cellStyle name="Normal 5 5 2 6 3 2" xfId="14932" xr:uid="{FDDB567A-D5AF-4125-8A2E-28F520190C9A}"/>
    <cellStyle name="Normal 5 5 2 6 3 3" xfId="23378" xr:uid="{91D1BE25-3C9B-4A8C-BFCC-9148B704B5CF}"/>
    <cellStyle name="Normal 5 5 2 6 4" xfId="10714" xr:uid="{3F5000E7-EF59-4E89-95AC-D42FE2B10430}"/>
    <cellStyle name="Normal 5 5 2 6 5" xfId="19159" xr:uid="{861B955D-352A-485A-8B91-5B3F2C979E3B}"/>
    <cellStyle name="Normal 5 5 2 7" xfId="2619" xr:uid="{00000000-0005-0000-0000-0000721B0000}"/>
    <cellStyle name="Normal 5 5 2 7 2" xfId="6903" xr:uid="{00000000-0005-0000-0000-0000731B0000}"/>
    <cellStyle name="Normal 5 5 2 7 2 2" xfId="15345" xr:uid="{17676328-5C7C-49E1-8A09-031E076873D9}"/>
    <cellStyle name="Normal 5 5 2 7 2 3" xfId="23791" xr:uid="{3B35DE9A-BA10-4802-ABDC-A1C35C5105C7}"/>
    <cellStyle name="Normal 5 5 2 7 3" xfId="11127" xr:uid="{17B37EEE-0F8E-411C-99C5-5A1A1EE53DAF}"/>
    <cellStyle name="Normal 5 5 2 7 4" xfId="19572" xr:uid="{C44DF7A5-0DC0-4058-9E1A-C08452971920}"/>
    <cellStyle name="Normal 5 5 2 8" xfId="4838" xr:uid="{00000000-0005-0000-0000-0000741B0000}"/>
    <cellStyle name="Normal 5 5 2 8 2" xfId="13280" xr:uid="{CACE9C75-82D6-4B44-81F4-65483002639F}"/>
    <cellStyle name="Normal 5 5 2 8 3" xfId="21726" xr:uid="{C916520B-E161-424D-B8F6-3EB3CAE64FB4}"/>
    <cellStyle name="Normal 5 5 2 9" xfId="9062" xr:uid="{B1759980-E7B5-4D0A-9687-5E4BA465E5DE}"/>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2EAF7809-3281-49C2-9638-4D5B0FFAB3A7}"/>
    <cellStyle name="Normal 5 5 3 2 2 2 3" xfId="24286" xr:uid="{7A27DB6D-A5E7-4F5A-BFF3-04D078550BBF}"/>
    <cellStyle name="Normal 5 5 3 2 2 3" xfId="11622" xr:uid="{3EF80BCB-E5AE-44E6-8398-C05ADC161514}"/>
    <cellStyle name="Normal 5 5 3 2 2 4" xfId="20069" xr:uid="{3DF30C09-60EA-49B8-85E6-D2AF14C45D70}"/>
    <cellStyle name="Normal 5 5 3 2 3" xfId="5253" xr:uid="{00000000-0005-0000-0000-0000791B0000}"/>
    <cellStyle name="Normal 5 5 3 2 3 2" xfId="13695" xr:uid="{FB7DF3B3-B1BB-488E-AF4B-58423DB26130}"/>
    <cellStyle name="Normal 5 5 3 2 3 3" xfId="22141" xr:uid="{031F89EB-3D59-412C-B503-6B1DBB8F6A55}"/>
    <cellStyle name="Normal 5 5 3 2 4" xfId="9477" xr:uid="{F1D3E457-24E3-4CFB-8480-AE899275278A}"/>
    <cellStyle name="Normal 5 5 3 2 5" xfId="17922" xr:uid="{3303ACAB-8A86-4ED6-91BC-047D913CA4F9}"/>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27373EF9-89FE-44F2-BECB-F65871D4DC2A}"/>
    <cellStyle name="Normal 5 5 3 3 2 2 3" xfId="24699" xr:uid="{8879ABFC-ECB2-4308-8CDC-12F4A31F71FD}"/>
    <cellStyle name="Normal 5 5 3 3 2 3" xfId="12035" xr:uid="{05DCECD7-33A0-4EA6-8453-B70D11F54DE4}"/>
    <cellStyle name="Normal 5 5 3 3 2 4" xfId="20482" xr:uid="{071FEBCB-AC69-4398-9C48-061F34FC3332}"/>
    <cellStyle name="Normal 5 5 3 3 3" xfId="5666" xr:uid="{00000000-0005-0000-0000-00007D1B0000}"/>
    <cellStyle name="Normal 5 5 3 3 3 2" xfId="14108" xr:uid="{C922CE8D-39F9-40A1-A829-A5DA09C9F50B}"/>
    <cellStyle name="Normal 5 5 3 3 3 3" xfId="22554" xr:uid="{E467C362-C0CD-424B-B5C8-2F52C3D0FD74}"/>
    <cellStyle name="Normal 5 5 3 3 4" xfId="9890" xr:uid="{32001683-CC64-4E4E-9F0E-6EA1D4713E21}"/>
    <cellStyle name="Normal 5 5 3 3 5" xfId="18335" xr:uid="{B59976A6-4CAB-47D8-B22B-8D045B84CFAA}"/>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0EA89465-2A2D-455F-A169-DB7DF7DFB6B2}"/>
    <cellStyle name="Normal 5 5 3 4 2 2 3" xfId="25112" xr:uid="{A9B64E4D-4E2D-4A0E-8456-8A8F15D5C48B}"/>
    <cellStyle name="Normal 5 5 3 4 2 3" xfId="12448" xr:uid="{3E4A035F-5BF5-43A1-80B6-5D52C26FAAFB}"/>
    <cellStyle name="Normal 5 5 3 4 2 4" xfId="20895" xr:uid="{BADF3025-FEC0-4030-98B7-8653D0FA5372}"/>
    <cellStyle name="Normal 5 5 3 4 3" xfId="6079" xr:uid="{00000000-0005-0000-0000-0000811B0000}"/>
    <cellStyle name="Normal 5 5 3 4 3 2" xfId="14521" xr:uid="{689779D8-4437-4CE7-A62A-5264C0C891A3}"/>
    <cellStyle name="Normal 5 5 3 4 3 3" xfId="22967" xr:uid="{820C986F-6301-4941-AAEF-ADE78FAB6EAB}"/>
    <cellStyle name="Normal 5 5 3 4 4" xfId="10303" xr:uid="{B14CD709-3003-40BA-A9A5-E269B1712262}"/>
    <cellStyle name="Normal 5 5 3 4 5" xfId="18748" xr:uid="{04B8DD9D-E853-431E-9283-2ADE053A0E75}"/>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2F722D9B-23F5-4F8A-B68D-BEB5D45A641C}"/>
    <cellStyle name="Normal 5 5 3 5 2 2 3" xfId="25525" xr:uid="{3D2BA896-3419-445D-85CD-24FBCCB452F9}"/>
    <cellStyle name="Normal 5 5 3 5 2 3" xfId="12861" xr:uid="{1B048FB7-0BE4-4119-96DB-ADCD25B37036}"/>
    <cellStyle name="Normal 5 5 3 5 2 4" xfId="21308" xr:uid="{4CBAC15B-BD7B-43A4-A664-7D2BF16EA8D7}"/>
    <cellStyle name="Normal 5 5 3 5 3" xfId="6492" xr:uid="{00000000-0005-0000-0000-0000851B0000}"/>
    <cellStyle name="Normal 5 5 3 5 3 2" xfId="14934" xr:uid="{5576AE82-CE8A-48E5-B8F4-20360D8C78FA}"/>
    <cellStyle name="Normal 5 5 3 5 3 3" xfId="23380" xr:uid="{AF77219D-3AEC-460F-8183-D2D3F4A98930}"/>
    <cellStyle name="Normal 5 5 3 5 4" xfId="10716" xr:uid="{E714E4C4-07D8-425A-BABB-8F7DEC49E9B8}"/>
    <cellStyle name="Normal 5 5 3 5 5" xfId="19161" xr:uid="{3F99A10A-1C5A-4413-B51A-9B3A6A39AF05}"/>
    <cellStyle name="Normal 5 5 3 6" xfId="2621" xr:uid="{00000000-0005-0000-0000-0000861B0000}"/>
    <cellStyle name="Normal 5 5 3 6 2" xfId="6905" xr:uid="{00000000-0005-0000-0000-0000871B0000}"/>
    <cellStyle name="Normal 5 5 3 6 2 2" xfId="15347" xr:uid="{CFD24CAB-46BF-40AE-AAD0-F2521CF811D7}"/>
    <cellStyle name="Normal 5 5 3 6 2 3" xfId="23793" xr:uid="{AA368AA7-EB4F-441C-86C2-81CD3E4B5F57}"/>
    <cellStyle name="Normal 5 5 3 6 3" xfId="11129" xr:uid="{8296E959-5684-4FE3-A082-F01E3802E27D}"/>
    <cellStyle name="Normal 5 5 3 6 4" xfId="19574" xr:uid="{6DB7F630-EA4F-4103-8FE1-A78511979EAC}"/>
    <cellStyle name="Normal 5 5 3 7" xfId="4840" xr:uid="{00000000-0005-0000-0000-0000881B0000}"/>
    <cellStyle name="Normal 5 5 3 7 2" xfId="13282" xr:uid="{64E53079-6030-420D-88C2-8C49B0B2D9B9}"/>
    <cellStyle name="Normal 5 5 3 7 3" xfId="21728" xr:uid="{F1791DDE-23AB-4EBA-9E1C-ED87590F1437}"/>
    <cellStyle name="Normal 5 5 3 8" xfId="9064" xr:uid="{5A20FE08-8C4D-46FA-8A1E-AB2AFD0A2B8C}"/>
    <cellStyle name="Normal 5 5 3 9" xfId="17508" xr:uid="{C9CA37AD-E000-4DBA-A774-C5CD7964A839}"/>
    <cellStyle name="Normal 5 5 4" xfId="938" xr:uid="{00000000-0005-0000-0000-0000891B0000}"/>
    <cellStyle name="Normal 5 5 4 2" xfId="3172" xr:uid="{00000000-0005-0000-0000-00008A1B0000}"/>
    <cellStyle name="Normal 5 5 4 2 2" xfId="7395" xr:uid="{00000000-0005-0000-0000-00008B1B0000}"/>
    <cellStyle name="Normal 5 5 4 2 2 2" xfId="15837" xr:uid="{D467EC1F-35F5-4BDD-8FD2-1A771603A601}"/>
    <cellStyle name="Normal 5 5 4 2 2 3" xfId="24283" xr:uid="{C1ADC248-63E9-4EEC-ACCE-5A4359DB27FF}"/>
    <cellStyle name="Normal 5 5 4 2 3" xfId="11619" xr:uid="{4C1DC92D-8A14-480F-AAD5-AB4C550D9146}"/>
    <cellStyle name="Normal 5 5 4 2 4" xfId="20066" xr:uid="{409A075C-BE36-4B85-A423-96BC8C6A43FB}"/>
    <cellStyle name="Normal 5 5 4 3" xfId="5250" xr:uid="{00000000-0005-0000-0000-00008C1B0000}"/>
    <cellStyle name="Normal 5 5 4 3 2" xfId="13692" xr:uid="{8AECF270-6265-424E-AA8A-785670B22C30}"/>
    <cellStyle name="Normal 5 5 4 3 3" xfId="22138" xr:uid="{67DAFAA9-64BA-4551-8799-C45715ECE410}"/>
    <cellStyle name="Normal 5 5 4 4" xfId="9474" xr:uid="{F7534A82-3C8C-43F8-A17B-064C9E9D0F69}"/>
    <cellStyle name="Normal 5 5 4 5" xfId="17919" xr:uid="{E36F1254-DCDA-422D-80DE-7D8C10C34AC8}"/>
    <cellStyle name="Normal 5 5 5" xfId="1355" xr:uid="{00000000-0005-0000-0000-00008D1B0000}"/>
    <cellStyle name="Normal 5 5 5 2" xfId="3585" xr:uid="{00000000-0005-0000-0000-00008E1B0000}"/>
    <cellStyle name="Normal 5 5 5 2 2" xfId="7808" xr:uid="{00000000-0005-0000-0000-00008F1B0000}"/>
    <cellStyle name="Normal 5 5 5 2 2 2" xfId="16250" xr:uid="{38C65345-7D59-4FED-A2B1-FCFF6F31F1CF}"/>
    <cellStyle name="Normal 5 5 5 2 2 3" xfId="24696" xr:uid="{8025DAA9-52D9-4830-9FA6-4D9C354ED547}"/>
    <cellStyle name="Normal 5 5 5 2 3" xfId="12032" xr:uid="{9A917D9A-0CB8-4049-9847-EAB60573899C}"/>
    <cellStyle name="Normal 5 5 5 2 4" xfId="20479" xr:uid="{91756EF2-C65F-4499-92BF-34C4372F5766}"/>
    <cellStyle name="Normal 5 5 5 3" xfId="5663" xr:uid="{00000000-0005-0000-0000-0000901B0000}"/>
    <cellStyle name="Normal 5 5 5 3 2" xfId="14105" xr:uid="{A825A826-DCFC-441A-8694-7679D7E43709}"/>
    <cellStyle name="Normal 5 5 5 3 3" xfId="22551" xr:uid="{68B00115-36B9-49E6-BF92-B5D01AAB42CA}"/>
    <cellStyle name="Normal 5 5 5 4" xfId="9887" xr:uid="{5703DE40-EAEA-42FC-805B-859EABDA6EEA}"/>
    <cellStyle name="Normal 5 5 5 5" xfId="18332" xr:uid="{10E0413F-9072-45D3-B7ED-3EF7F16937F9}"/>
    <cellStyle name="Normal 5 5 6" xfId="1768" xr:uid="{00000000-0005-0000-0000-0000911B0000}"/>
    <cellStyle name="Normal 5 5 6 2" xfId="3998" xr:uid="{00000000-0005-0000-0000-0000921B0000}"/>
    <cellStyle name="Normal 5 5 6 2 2" xfId="8221" xr:uid="{00000000-0005-0000-0000-0000931B0000}"/>
    <cellStyle name="Normal 5 5 6 2 2 2" xfId="16663" xr:uid="{0A488F10-D36C-4C28-A864-E1232F49170A}"/>
    <cellStyle name="Normal 5 5 6 2 2 3" xfId="25109" xr:uid="{C29F1527-3716-46DF-B772-E7B66157BFAC}"/>
    <cellStyle name="Normal 5 5 6 2 3" xfId="12445" xr:uid="{42794697-5E04-4C4E-94DA-1F5A95A6EA1D}"/>
    <cellStyle name="Normal 5 5 6 2 4" xfId="20892" xr:uid="{DA44BBAC-DD97-462E-A05B-565A08039909}"/>
    <cellStyle name="Normal 5 5 6 3" xfId="6076" xr:uid="{00000000-0005-0000-0000-0000941B0000}"/>
    <cellStyle name="Normal 5 5 6 3 2" xfId="14518" xr:uid="{2176EC0E-71D8-4B1B-967D-088EEC123147}"/>
    <cellStyle name="Normal 5 5 6 3 3" xfId="22964" xr:uid="{80FB058A-7CD6-4469-B199-3B019B250139}"/>
    <cellStyle name="Normal 5 5 6 4" xfId="10300" xr:uid="{7CE80959-B69B-4F71-8799-1674D7348B49}"/>
    <cellStyle name="Normal 5 5 6 5" xfId="18745" xr:uid="{3BE02CC2-7BEE-428D-ACD6-16F84F22620D}"/>
    <cellStyle name="Normal 5 5 7" xfId="2182" xr:uid="{00000000-0005-0000-0000-0000951B0000}"/>
    <cellStyle name="Normal 5 5 7 2" xfId="4411" xr:uid="{00000000-0005-0000-0000-0000961B0000}"/>
    <cellStyle name="Normal 5 5 7 2 2" xfId="8634" xr:uid="{00000000-0005-0000-0000-0000971B0000}"/>
    <cellStyle name="Normal 5 5 7 2 2 2" xfId="17076" xr:uid="{33A40629-299D-444B-A882-0BEB8618ED24}"/>
    <cellStyle name="Normal 5 5 7 2 2 3" xfId="25522" xr:uid="{8A4463EB-67E1-44D6-B9FA-EFFBC48848B8}"/>
    <cellStyle name="Normal 5 5 7 2 3" xfId="12858" xr:uid="{8FD18051-CA92-49F4-BA86-D02C7D092D62}"/>
    <cellStyle name="Normal 5 5 7 2 4" xfId="21305" xr:uid="{55F5F7EA-0C70-4F9A-AA81-2C5461FBCB38}"/>
    <cellStyle name="Normal 5 5 7 3" xfId="6489" xr:uid="{00000000-0005-0000-0000-0000981B0000}"/>
    <cellStyle name="Normal 5 5 7 3 2" xfId="14931" xr:uid="{149580F3-3F3C-4BE9-9DFC-1B0998FE1740}"/>
    <cellStyle name="Normal 5 5 7 3 3" xfId="23377" xr:uid="{ECEB7AB7-7E2A-403E-BA05-1EAE8E2A7D14}"/>
    <cellStyle name="Normal 5 5 7 4" xfId="10713" xr:uid="{F2BCF2D9-BA9A-4014-94A0-263CBEFB2EBA}"/>
    <cellStyle name="Normal 5 5 7 5" xfId="19158" xr:uid="{90561FD9-F17D-4D44-BE48-4211D20116F8}"/>
    <cellStyle name="Normal 5 5 8" xfId="2618" xr:uid="{00000000-0005-0000-0000-0000991B0000}"/>
    <cellStyle name="Normal 5 5 8 2" xfId="6902" xr:uid="{00000000-0005-0000-0000-00009A1B0000}"/>
    <cellStyle name="Normal 5 5 8 2 2" xfId="15344" xr:uid="{8119D12D-D34B-44DE-95DF-E8F1C36FFE89}"/>
    <cellStyle name="Normal 5 5 8 2 3" xfId="23790" xr:uid="{E729FA9E-8EA1-4358-B087-7D4C7A5C82AC}"/>
    <cellStyle name="Normal 5 5 8 3" xfId="11126" xr:uid="{E295F810-EE60-4655-BCAB-A62D6FCC14B4}"/>
    <cellStyle name="Normal 5 5 8 4" xfId="19571" xr:uid="{AB64CCD7-9ADD-4004-AD58-2F4F81CF495F}"/>
    <cellStyle name="Normal 5 5 9" xfId="4837" xr:uid="{00000000-0005-0000-0000-00009B1B0000}"/>
    <cellStyle name="Normal 5 5 9 2" xfId="13279" xr:uid="{503943DB-37CE-404D-B625-B2FC9D1A219E}"/>
    <cellStyle name="Normal 5 5 9 3" xfId="21725" xr:uid="{598FD586-17C5-4A21-9185-8569EB40406C}"/>
    <cellStyle name="Normal 5 6" xfId="468" xr:uid="{00000000-0005-0000-0000-00009C1B0000}"/>
    <cellStyle name="Normal 5 6 10" xfId="17509" xr:uid="{38A73236-86D8-493A-91FE-338C4A99D7C2}"/>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C3D97D0C-B6C3-4F5D-9BEF-16418D3DD41B}"/>
    <cellStyle name="Normal 5 6 2 2 2 2 3" xfId="24288" xr:uid="{1F55D14E-68DB-4D5B-98C4-4ABBB24FBE2C}"/>
    <cellStyle name="Normal 5 6 2 2 2 3" xfId="11624" xr:uid="{47D2881B-D74A-4DD8-A525-36ECAFA5E228}"/>
    <cellStyle name="Normal 5 6 2 2 2 4" xfId="20071" xr:uid="{195904D9-4ECF-4B4E-952B-C305572BACF9}"/>
    <cellStyle name="Normal 5 6 2 2 3" xfId="5255" xr:uid="{00000000-0005-0000-0000-0000A11B0000}"/>
    <cellStyle name="Normal 5 6 2 2 3 2" xfId="13697" xr:uid="{FA00E1F6-795D-4563-BF4F-3F3487AF6DA8}"/>
    <cellStyle name="Normal 5 6 2 2 3 3" xfId="22143" xr:uid="{01E6B234-5B33-422D-B357-7226D7F976BC}"/>
    <cellStyle name="Normal 5 6 2 2 4" xfId="9479" xr:uid="{F401F3ED-A60F-469E-983E-359955FE710A}"/>
    <cellStyle name="Normal 5 6 2 2 5" xfId="17924" xr:uid="{F6EF63BF-8A9F-4E4D-BF22-F346F4CCDF2E}"/>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7DA56CB5-DB88-495C-AC86-0B5F3E296E03}"/>
    <cellStyle name="Normal 5 6 2 3 2 2 3" xfId="24701" xr:uid="{9798156E-29B5-4A50-92B6-39E3851CA089}"/>
    <cellStyle name="Normal 5 6 2 3 2 3" xfId="12037" xr:uid="{E8D2B922-7A94-49A1-9FF6-FF35752BA78C}"/>
    <cellStyle name="Normal 5 6 2 3 2 4" xfId="20484" xr:uid="{4463AA2F-92CE-49F1-BCBC-EA8EAA0D3021}"/>
    <cellStyle name="Normal 5 6 2 3 3" xfId="5668" xr:uid="{00000000-0005-0000-0000-0000A51B0000}"/>
    <cellStyle name="Normal 5 6 2 3 3 2" xfId="14110" xr:uid="{3303F88B-7AC6-4D8C-BD69-98D086F8B8F6}"/>
    <cellStyle name="Normal 5 6 2 3 3 3" xfId="22556" xr:uid="{EBAC7410-22D0-487F-B719-A30C0147A343}"/>
    <cellStyle name="Normal 5 6 2 3 4" xfId="9892" xr:uid="{2FBEBABE-1162-48C4-AAA0-74F8C9781D5D}"/>
    <cellStyle name="Normal 5 6 2 3 5" xfId="18337" xr:uid="{A6245B9E-84A9-41F5-A4E1-F7E5526FB3AE}"/>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A8A044B3-802A-48CD-B526-57C7FDB6B23F}"/>
    <cellStyle name="Normal 5 6 2 4 2 2 3" xfId="25114" xr:uid="{57E700E6-6C1C-459C-B036-609C6A22D187}"/>
    <cellStyle name="Normal 5 6 2 4 2 3" xfId="12450" xr:uid="{FDBD52C7-4A07-4340-9EC5-A485BDC9CAFA}"/>
    <cellStyle name="Normal 5 6 2 4 2 4" xfId="20897" xr:uid="{F9704B12-111E-4A0E-BADC-89FE9CFC5895}"/>
    <cellStyle name="Normal 5 6 2 4 3" xfId="6081" xr:uid="{00000000-0005-0000-0000-0000A91B0000}"/>
    <cellStyle name="Normal 5 6 2 4 3 2" xfId="14523" xr:uid="{71B5680B-AAAB-4ED0-BDBE-2A0537FAECA9}"/>
    <cellStyle name="Normal 5 6 2 4 3 3" xfId="22969" xr:uid="{83F40DAE-AB33-4DF4-972F-E35D01B11D66}"/>
    <cellStyle name="Normal 5 6 2 4 4" xfId="10305" xr:uid="{218E7CC2-5130-4A8B-8013-6991142185AB}"/>
    <cellStyle name="Normal 5 6 2 4 5" xfId="18750" xr:uid="{0FE96729-9971-499A-8C80-B884BDF5E5FD}"/>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4727FA00-266D-4EFC-835B-D878F233B08E}"/>
    <cellStyle name="Normal 5 6 2 5 2 2 3" xfId="25527" xr:uid="{4B42D0E0-E7B7-4262-BED2-9CA498CB899A}"/>
    <cellStyle name="Normal 5 6 2 5 2 3" xfId="12863" xr:uid="{93AAE4EE-BF6E-4FC8-BE6A-424C767A4833}"/>
    <cellStyle name="Normal 5 6 2 5 2 4" xfId="21310" xr:uid="{44583333-249A-44AD-A1BC-79DA4CC54CFB}"/>
    <cellStyle name="Normal 5 6 2 5 3" xfId="6494" xr:uid="{00000000-0005-0000-0000-0000AD1B0000}"/>
    <cellStyle name="Normal 5 6 2 5 3 2" xfId="14936" xr:uid="{87BED27B-1CA5-4633-901F-F4C29A780959}"/>
    <cellStyle name="Normal 5 6 2 5 3 3" xfId="23382" xr:uid="{79FE11AC-5E74-4C6F-99AB-D0B1DCE95F91}"/>
    <cellStyle name="Normal 5 6 2 5 4" xfId="10718" xr:uid="{5839936F-5596-460B-A522-27835598D728}"/>
    <cellStyle name="Normal 5 6 2 5 5" xfId="19163" xr:uid="{17C6737E-183C-4EF1-B425-467455EA53F0}"/>
    <cellStyle name="Normal 5 6 2 6" xfId="2623" xr:uid="{00000000-0005-0000-0000-0000AE1B0000}"/>
    <cellStyle name="Normal 5 6 2 6 2" xfId="6907" xr:uid="{00000000-0005-0000-0000-0000AF1B0000}"/>
    <cellStyle name="Normal 5 6 2 6 2 2" xfId="15349" xr:uid="{FCBEC1F5-B9A9-424C-A195-5BE1EAAAFB5C}"/>
    <cellStyle name="Normal 5 6 2 6 2 3" xfId="23795" xr:uid="{35EDC684-3806-4D22-8B15-37D3DBECBBEA}"/>
    <cellStyle name="Normal 5 6 2 6 3" xfId="11131" xr:uid="{0B739C0B-E061-4289-BF4F-0C4944765334}"/>
    <cellStyle name="Normal 5 6 2 6 4" xfId="19576" xr:uid="{C46D6AB6-9A84-4B1E-A283-73E9E64C7106}"/>
    <cellStyle name="Normal 5 6 2 7" xfId="4842" xr:uid="{00000000-0005-0000-0000-0000B01B0000}"/>
    <cellStyle name="Normal 5 6 2 7 2" xfId="13284" xr:uid="{0D67361B-A5F6-4DDD-B0DE-ECD9D16366E7}"/>
    <cellStyle name="Normal 5 6 2 7 3" xfId="21730" xr:uid="{B66E7679-824F-476F-8AA9-24D6BE594FE7}"/>
    <cellStyle name="Normal 5 6 2 8" xfId="9066" xr:uid="{D2C6CAE9-313F-4B89-B635-E3E801FFB91B}"/>
    <cellStyle name="Normal 5 6 2 9" xfId="17510" xr:uid="{742D4190-2DEF-48CE-841E-8E116A3495EC}"/>
    <cellStyle name="Normal 5 6 3" xfId="942" xr:uid="{00000000-0005-0000-0000-0000B11B0000}"/>
    <cellStyle name="Normal 5 6 3 2" xfId="3176" xr:uid="{00000000-0005-0000-0000-0000B21B0000}"/>
    <cellStyle name="Normal 5 6 3 2 2" xfId="7399" xr:uid="{00000000-0005-0000-0000-0000B31B0000}"/>
    <cellStyle name="Normal 5 6 3 2 2 2" xfId="15841" xr:uid="{4BB83AD3-E059-4240-9144-D235552078F8}"/>
    <cellStyle name="Normal 5 6 3 2 2 3" xfId="24287" xr:uid="{E9194EA8-7664-4895-8BB5-E599A00C88AC}"/>
    <cellStyle name="Normal 5 6 3 2 3" xfId="11623" xr:uid="{9B10A23D-E9B2-4981-87F9-77BE4A7884C1}"/>
    <cellStyle name="Normal 5 6 3 2 4" xfId="20070" xr:uid="{A22DDCE8-8307-4D25-8E8F-AC7D1A5794BE}"/>
    <cellStyle name="Normal 5 6 3 3" xfId="5254" xr:uid="{00000000-0005-0000-0000-0000B41B0000}"/>
    <cellStyle name="Normal 5 6 3 3 2" xfId="13696" xr:uid="{D662DCAA-F22E-4F6C-8AAE-D8072BF965B8}"/>
    <cellStyle name="Normal 5 6 3 3 3" xfId="22142" xr:uid="{4D78D6C9-AE8C-4DDC-9621-80F2CBE125C0}"/>
    <cellStyle name="Normal 5 6 3 4" xfId="9478" xr:uid="{5CB96752-E31E-451C-854E-2D071FF93254}"/>
    <cellStyle name="Normal 5 6 3 5" xfId="17923" xr:uid="{B44D7105-25D1-4969-B445-FCF048E1835D}"/>
    <cellStyle name="Normal 5 6 4" xfId="1359" xr:uid="{00000000-0005-0000-0000-0000B51B0000}"/>
    <cellStyle name="Normal 5 6 4 2" xfId="3589" xr:uid="{00000000-0005-0000-0000-0000B61B0000}"/>
    <cellStyle name="Normal 5 6 4 2 2" xfId="7812" xr:uid="{00000000-0005-0000-0000-0000B71B0000}"/>
    <cellStyle name="Normal 5 6 4 2 2 2" xfId="16254" xr:uid="{7E9D5A46-5922-473B-BDEC-1A3D00A248D6}"/>
    <cellStyle name="Normal 5 6 4 2 2 3" xfId="24700" xr:uid="{1277AD38-D4AE-4D05-B8D2-1DF92EF58E2A}"/>
    <cellStyle name="Normal 5 6 4 2 3" xfId="12036" xr:uid="{59E77502-0A28-4D89-B48F-062DEBFD1B69}"/>
    <cellStyle name="Normal 5 6 4 2 4" xfId="20483" xr:uid="{59098F2F-AD04-4358-9E6B-A237509B1C87}"/>
    <cellStyle name="Normal 5 6 4 3" xfId="5667" xr:uid="{00000000-0005-0000-0000-0000B81B0000}"/>
    <cellStyle name="Normal 5 6 4 3 2" xfId="14109" xr:uid="{FEA80BB9-1C63-42FE-AAC2-B5C9BB125C75}"/>
    <cellStyle name="Normal 5 6 4 3 3" xfId="22555" xr:uid="{2E9D1010-9618-4A9F-8356-0BB56D50A31E}"/>
    <cellStyle name="Normal 5 6 4 4" xfId="9891" xr:uid="{69E2711D-8AEB-45A6-8581-025EF1143CA1}"/>
    <cellStyle name="Normal 5 6 4 5" xfId="18336" xr:uid="{EF4A3282-13E2-4521-90D8-241625CD1959}"/>
    <cellStyle name="Normal 5 6 5" xfId="1772" xr:uid="{00000000-0005-0000-0000-0000B91B0000}"/>
    <cellStyle name="Normal 5 6 5 2" xfId="4002" xr:uid="{00000000-0005-0000-0000-0000BA1B0000}"/>
    <cellStyle name="Normal 5 6 5 2 2" xfId="8225" xr:uid="{00000000-0005-0000-0000-0000BB1B0000}"/>
    <cellStyle name="Normal 5 6 5 2 2 2" xfId="16667" xr:uid="{B198E792-BF88-4258-90D3-DC65F6D635D5}"/>
    <cellStyle name="Normal 5 6 5 2 2 3" xfId="25113" xr:uid="{6AB0A551-2874-4C42-BE1D-967E47AD081B}"/>
    <cellStyle name="Normal 5 6 5 2 3" xfId="12449" xr:uid="{D9C544E0-B8D4-42E2-8B05-6DBE2F03F8E8}"/>
    <cellStyle name="Normal 5 6 5 2 4" xfId="20896" xr:uid="{6997EFAB-2A55-4AED-8E5C-1BE13E224247}"/>
    <cellStyle name="Normal 5 6 5 3" xfId="6080" xr:uid="{00000000-0005-0000-0000-0000BC1B0000}"/>
    <cellStyle name="Normal 5 6 5 3 2" xfId="14522" xr:uid="{255B2292-F0CC-4B83-B068-54AF557AEC8C}"/>
    <cellStyle name="Normal 5 6 5 3 3" xfId="22968" xr:uid="{C58218DD-C832-49BD-8DEB-AFA8484AEC4B}"/>
    <cellStyle name="Normal 5 6 5 4" xfId="10304" xr:uid="{E05BFE59-2230-4D5E-872A-1A0D7D9D0724}"/>
    <cellStyle name="Normal 5 6 5 5" xfId="18749" xr:uid="{386E1B01-2FF9-40B6-BCB5-3C1924EAECD9}"/>
    <cellStyle name="Normal 5 6 6" xfId="2186" xr:uid="{00000000-0005-0000-0000-0000BD1B0000}"/>
    <cellStyle name="Normal 5 6 6 2" xfId="4415" xr:uid="{00000000-0005-0000-0000-0000BE1B0000}"/>
    <cellStyle name="Normal 5 6 6 2 2" xfId="8638" xr:uid="{00000000-0005-0000-0000-0000BF1B0000}"/>
    <cellStyle name="Normal 5 6 6 2 2 2" xfId="17080" xr:uid="{532FEA40-69B7-4F1A-9D0D-404973803D5A}"/>
    <cellStyle name="Normal 5 6 6 2 2 3" xfId="25526" xr:uid="{9BB8B7E9-5A28-4ADE-A4C0-3F60FCD6FDFB}"/>
    <cellStyle name="Normal 5 6 6 2 3" xfId="12862" xr:uid="{1486B553-C3AD-41BB-BB84-9B933FB7DC8A}"/>
    <cellStyle name="Normal 5 6 6 2 4" xfId="21309" xr:uid="{D8986BF8-3AA1-4A06-81AD-560382AF4252}"/>
    <cellStyle name="Normal 5 6 6 3" xfId="6493" xr:uid="{00000000-0005-0000-0000-0000C01B0000}"/>
    <cellStyle name="Normal 5 6 6 3 2" xfId="14935" xr:uid="{C573EC86-E4D2-4CD7-AC8A-1414C9D73E43}"/>
    <cellStyle name="Normal 5 6 6 3 3" xfId="23381" xr:uid="{CA2CE7A5-5384-4039-B829-FE0464B44F19}"/>
    <cellStyle name="Normal 5 6 6 4" xfId="10717" xr:uid="{1F29D81F-08CD-4721-8790-BFBE5D7B59F5}"/>
    <cellStyle name="Normal 5 6 6 5" xfId="19162" xr:uid="{46CC9687-99DD-460D-B925-69878FA26AF2}"/>
    <cellStyle name="Normal 5 6 7" xfId="2622" xr:uid="{00000000-0005-0000-0000-0000C11B0000}"/>
    <cellStyle name="Normal 5 6 7 2" xfId="6906" xr:uid="{00000000-0005-0000-0000-0000C21B0000}"/>
    <cellStyle name="Normal 5 6 7 2 2" xfId="15348" xr:uid="{007A56AC-8EFF-4077-A73F-6EEE97692B0D}"/>
    <cellStyle name="Normal 5 6 7 2 3" xfId="23794" xr:uid="{1A562B22-7BDB-470A-9306-FDC5949784D0}"/>
    <cellStyle name="Normal 5 6 7 3" xfId="11130" xr:uid="{BC22A15C-EC0F-4A26-8328-7A58E69478D7}"/>
    <cellStyle name="Normal 5 6 7 4" xfId="19575" xr:uid="{44BF8269-F799-4F88-AEC5-4AC7766F33F6}"/>
    <cellStyle name="Normal 5 6 8" xfId="4841" xr:uid="{00000000-0005-0000-0000-0000C31B0000}"/>
    <cellStyle name="Normal 5 6 8 2" xfId="13283" xr:uid="{1D253DE6-B855-46A7-A5AE-492223132773}"/>
    <cellStyle name="Normal 5 6 8 3" xfId="21729" xr:uid="{DE84F471-E27F-4917-99E9-55CDFDDA2882}"/>
    <cellStyle name="Normal 5 6 9" xfId="9065" xr:uid="{0F876ED4-CEDC-4317-A156-65E460905EB3}"/>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3AF10C50-24A5-449A-86CE-F639BE654F68}"/>
    <cellStyle name="Normal 5 7 2 2 2 3" xfId="24289" xr:uid="{C50DC4C9-2280-48DC-9A4F-AB7E327BAACE}"/>
    <cellStyle name="Normal 5 7 2 2 3" xfId="11625" xr:uid="{034DCC28-ADF9-4ECC-8BE3-A5073D5367BC}"/>
    <cellStyle name="Normal 5 7 2 2 4" xfId="20072" xr:uid="{FF6EF841-8B83-4E39-96F6-E118E95E95F7}"/>
    <cellStyle name="Normal 5 7 2 3" xfId="5256" xr:uid="{00000000-0005-0000-0000-0000C81B0000}"/>
    <cellStyle name="Normal 5 7 2 3 2" xfId="13698" xr:uid="{F5ADE4E9-433A-4AA6-9E73-DAE5088102CE}"/>
    <cellStyle name="Normal 5 7 2 3 3" xfId="22144" xr:uid="{72113420-24DF-403B-BBAE-767B2D0D9CA7}"/>
    <cellStyle name="Normal 5 7 2 4" xfId="9480" xr:uid="{3D06303C-C3AD-4C62-9821-04C2B16A767B}"/>
    <cellStyle name="Normal 5 7 2 5" xfId="17925" xr:uid="{3D283D7A-0A14-4DFA-A3DD-7520D45EC99C}"/>
    <cellStyle name="Normal 5 7 3" xfId="1361" xr:uid="{00000000-0005-0000-0000-0000C91B0000}"/>
    <cellStyle name="Normal 5 7 3 2" xfId="3591" xr:uid="{00000000-0005-0000-0000-0000CA1B0000}"/>
    <cellStyle name="Normal 5 7 3 2 2" xfId="7814" xr:uid="{00000000-0005-0000-0000-0000CB1B0000}"/>
    <cellStyle name="Normal 5 7 3 2 2 2" xfId="16256" xr:uid="{5AFD77B9-2C00-451C-8074-0C65E92F95D7}"/>
    <cellStyle name="Normal 5 7 3 2 2 3" xfId="24702" xr:uid="{43C69E4E-FDA0-4D30-8BB3-7B46C94D127C}"/>
    <cellStyle name="Normal 5 7 3 2 3" xfId="12038" xr:uid="{DA32D77E-38DB-4063-AE53-66FD1F9DBA1A}"/>
    <cellStyle name="Normal 5 7 3 2 4" xfId="20485" xr:uid="{5AE1E9FB-BD71-4E17-878C-C3C06516F912}"/>
    <cellStyle name="Normal 5 7 3 3" xfId="5669" xr:uid="{00000000-0005-0000-0000-0000CC1B0000}"/>
    <cellStyle name="Normal 5 7 3 3 2" xfId="14111" xr:uid="{C5F85D40-E68F-43E9-A6A1-C69978973692}"/>
    <cellStyle name="Normal 5 7 3 3 3" xfId="22557" xr:uid="{BE01FFAA-62E0-4F86-A924-5720DFA1FA7C}"/>
    <cellStyle name="Normal 5 7 3 4" xfId="9893" xr:uid="{F6B11980-3E91-4159-BD40-271BE5DA75BA}"/>
    <cellStyle name="Normal 5 7 3 5" xfId="18338" xr:uid="{9081511F-F4E1-4997-94FE-708148D21932}"/>
    <cellStyle name="Normal 5 7 4" xfId="1774" xr:uid="{00000000-0005-0000-0000-0000CD1B0000}"/>
    <cellStyle name="Normal 5 7 4 2" xfId="4004" xr:uid="{00000000-0005-0000-0000-0000CE1B0000}"/>
    <cellStyle name="Normal 5 7 4 2 2" xfId="8227" xr:uid="{00000000-0005-0000-0000-0000CF1B0000}"/>
    <cellStyle name="Normal 5 7 4 2 2 2" xfId="16669" xr:uid="{0CF58C6C-11C4-4842-BD3F-5716C0A9E0FF}"/>
    <cellStyle name="Normal 5 7 4 2 2 3" xfId="25115" xr:uid="{8565A161-DA53-4CF9-BED4-828C393B3E6A}"/>
    <cellStyle name="Normal 5 7 4 2 3" xfId="12451" xr:uid="{B7309FAA-26D8-4A8C-98E3-9C9718227B98}"/>
    <cellStyle name="Normal 5 7 4 2 4" xfId="20898" xr:uid="{9F673795-38BB-4B2A-940D-CCE17C1E2EA0}"/>
    <cellStyle name="Normal 5 7 4 3" xfId="6082" xr:uid="{00000000-0005-0000-0000-0000D01B0000}"/>
    <cellStyle name="Normal 5 7 4 3 2" xfId="14524" xr:uid="{490B43BA-3D02-464A-982E-C54211C067EB}"/>
    <cellStyle name="Normal 5 7 4 3 3" xfId="22970" xr:uid="{01534CE1-B654-4371-AA17-4B22EB5F334D}"/>
    <cellStyle name="Normal 5 7 4 4" xfId="10306" xr:uid="{02A39017-5CFB-4787-A2C2-DE34F0BA968F}"/>
    <cellStyle name="Normal 5 7 4 5" xfId="18751" xr:uid="{AD5F12E6-91DD-4B04-9C57-CED87CAF50FE}"/>
    <cellStyle name="Normal 5 7 5" xfId="2188" xr:uid="{00000000-0005-0000-0000-0000D11B0000}"/>
    <cellStyle name="Normal 5 7 5 2" xfId="4417" xr:uid="{00000000-0005-0000-0000-0000D21B0000}"/>
    <cellStyle name="Normal 5 7 5 2 2" xfId="8640" xr:uid="{00000000-0005-0000-0000-0000D31B0000}"/>
    <cellStyle name="Normal 5 7 5 2 2 2" xfId="17082" xr:uid="{B308820D-21CB-40AD-9CE3-5138918F51C0}"/>
    <cellStyle name="Normal 5 7 5 2 2 3" xfId="25528" xr:uid="{72CB824D-077F-41C6-9775-95E02237DF62}"/>
    <cellStyle name="Normal 5 7 5 2 3" xfId="12864" xr:uid="{6A937B96-3932-4EE4-AB29-6A9A68078D27}"/>
    <cellStyle name="Normal 5 7 5 2 4" xfId="21311" xr:uid="{131749A1-AA6A-42C8-8D8F-ACEE2CA1CE8D}"/>
    <cellStyle name="Normal 5 7 5 3" xfId="6495" xr:uid="{00000000-0005-0000-0000-0000D41B0000}"/>
    <cellStyle name="Normal 5 7 5 3 2" xfId="14937" xr:uid="{5946CD7F-E638-404A-8388-BEA126C56B7F}"/>
    <cellStyle name="Normal 5 7 5 3 3" xfId="23383" xr:uid="{13EF6E69-AD31-452F-9B0B-AD647B372807}"/>
    <cellStyle name="Normal 5 7 5 4" xfId="10719" xr:uid="{DE196EC5-833F-4BAA-874E-E9E075ED5EC3}"/>
    <cellStyle name="Normal 5 7 5 5" xfId="19164" xr:uid="{C73E58D8-FA8B-4ADF-ADAE-35F14393C5C5}"/>
    <cellStyle name="Normal 5 7 6" xfId="2624" xr:uid="{00000000-0005-0000-0000-0000D51B0000}"/>
    <cellStyle name="Normal 5 7 6 2" xfId="6908" xr:uid="{00000000-0005-0000-0000-0000D61B0000}"/>
    <cellStyle name="Normal 5 7 6 2 2" xfId="15350" xr:uid="{07B35803-8463-40ED-A1BB-D1CCFD248355}"/>
    <cellStyle name="Normal 5 7 6 2 3" xfId="23796" xr:uid="{F9C92804-A5C0-405D-BF82-720BAF5B319A}"/>
    <cellStyle name="Normal 5 7 6 3" xfId="11132" xr:uid="{088F5765-458A-41F2-9307-719299B8582E}"/>
    <cellStyle name="Normal 5 7 6 4" xfId="19577" xr:uid="{CF42AEEE-DDFB-499A-8CDB-54FD971884A3}"/>
    <cellStyle name="Normal 5 7 7" xfId="4843" xr:uid="{00000000-0005-0000-0000-0000D71B0000}"/>
    <cellStyle name="Normal 5 7 7 2" xfId="13285" xr:uid="{ED817615-EF28-41C4-8124-7E1952E7CD5A}"/>
    <cellStyle name="Normal 5 7 7 3" xfId="21731" xr:uid="{8A3D5788-781F-46BE-9366-A8446CBED38F}"/>
    <cellStyle name="Normal 5 7 8" xfId="9067" xr:uid="{972BA165-BD35-412F-8212-971D890DC059}"/>
    <cellStyle name="Normal 5 7 9" xfId="17511" xr:uid="{E9047464-7BE1-44C0-A5EF-0FE972390DE8}"/>
    <cellStyle name="Normal 5 8" xfId="880" xr:uid="{00000000-0005-0000-0000-0000D81B0000}"/>
    <cellStyle name="Normal 5 8 2" xfId="3115" xr:uid="{00000000-0005-0000-0000-0000D91B0000}"/>
    <cellStyle name="Normal 5 8 2 2" xfId="7338" xr:uid="{00000000-0005-0000-0000-0000DA1B0000}"/>
    <cellStyle name="Normal 5 8 2 2 2" xfId="15780" xr:uid="{8583BFA6-43DF-4758-843B-F46B6D026DC5}"/>
    <cellStyle name="Normal 5 8 2 2 3" xfId="24226" xr:uid="{F512737D-62E1-4A02-8FC8-2D8FEAB3D0A8}"/>
    <cellStyle name="Normal 5 8 2 3" xfId="11562" xr:uid="{A483CED6-997C-45B3-8AC8-EE1184F6C9FB}"/>
    <cellStyle name="Normal 5 8 2 4" xfId="20009" xr:uid="{44977301-CE5A-4176-9816-30AD83E17389}"/>
    <cellStyle name="Normal 5 8 3" xfId="5193" xr:uid="{00000000-0005-0000-0000-0000DB1B0000}"/>
    <cellStyle name="Normal 5 8 3 2" xfId="13635" xr:uid="{A9EF2FDD-E414-4104-92EA-ADC5F06CC1D5}"/>
    <cellStyle name="Normal 5 8 3 3" xfId="22081" xr:uid="{72FECEF1-78FD-4218-8FEC-B6CD11F7A052}"/>
    <cellStyle name="Normal 5 8 4" xfId="9417" xr:uid="{AB3A07D5-54AC-4D3E-AB2E-79ECDAFAB605}"/>
    <cellStyle name="Normal 5 8 5" xfId="17862" xr:uid="{63695129-50DF-4814-83DD-C50674D66B53}"/>
    <cellStyle name="Normal 5 9" xfId="1298" xr:uid="{00000000-0005-0000-0000-0000DC1B0000}"/>
    <cellStyle name="Normal 5 9 2" xfId="3528" xr:uid="{00000000-0005-0000-0000-0000DD1B0000}"/>
    <cellStyle name="Normal 5 9 2 2" xfId="7751" xr:uid="{00000000-0005-0000-0000-0000DE1B0000}"/>
    <cellStyle name="Normal 5 9 2 2 2" xfId="16193" xr:uid="{C95FE669-A3A4-43BF-98E9-8068862DA407}"/>
    <cellStyle name="Normal 5 9 2 2 3" xfId="24639" xr:uid="{88A275BC-8888-4A01-ADEC-222AF2BC664A}"/>
    <cellStyle name="Normal 5 9 2 3" xfId="11975" xr:uid="{559A234E-7A78-4360-8C3C-FFDAECD3BDC7}"/>
    <cellStyle name="Normal 5 9 2 4" xfId="20422" xr:uid="{8C488B01-C6E9-441B-8332-E6C5E840C163}"/>
    <cellStyle name="Normal 5 9 3" xfId="5606" xr:uid="{00000000-0005-0000-0000-0000DF1B0000}"/>
    <cellStyle name="Normal 5 9 3 2" xfId="14048" xr:uid="{9F38F854-6B5A-4E10-9008-38BAC55F40CF}"/>
    <cellStyle name="Normal 5 9 3 3" xfId="22494" xr:uid="{158876BB-00B2-4368-A59D-548076BF927F}"/>
    <cellStyle name="Normal 5 9 4" xfId="9830" xr:uid="{AFCB0CAB-C355-4947-B0B6-311E38700E6D}"/>
    <cellStyle name="Normal 5 9 5" xfId="18275" xr:uid="{14686664-6C51-4F7A-805F-056257EA8B84}"/>
    <cellStyle name="Normal 5_Dropdowns" xfId="25776" xr:uid="{C80C34F7-8845-4EA0-8F12-51232D55D1D7}"/>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6 3 4" xfId="25653" xr:uid="{DB1E8403-259E-4BA7-8E3B-B84B823983FB}"/>
    <cellStyle name="Normal 6 4" xfId="25693" xr:uid="{97CB0B54-18CD-4E8D-82BC-29AE47E9E108}"/>
    <cellStyle name="Normal 6_Dropdowns" xfId="25662" xr:uid="{00839B33-A76D-4EEA-8CC2-66553EDD707C}"/>
    <cellStyle name="Normal 7" xfId="476" xr:uid="{00000000-0005-0000-0000-0000E51B0000}"/>
    <cellStyle name="Normal 7 2" xfId="477" xr:uid="{00000000-0005-0000-0000-0000E61B0000}"/>
    <cellStyle name="Normal 7 3" xfId="25775" xr:uid="{9892FDBD-689D-4D04-B45A-8C96C2401058}"/>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8E68621F-C8B5-4048-A520-8EFCB2E2A658}"/>
    <cellStyle name="Normal 8 10 2 2 3" xfId="25529" xr:uid="{2947D516-7E81-424D-B6BF-4D0525682FE2}"/>
    <cellStyle name="Normal 8 10 2 3" xfId="12865" xr:uid="{07CA4C15-F4E7-4ACD-BA47-2FEAAC7BCF80}"/>
    <cellStyle name="Normal 8 10 2 4" xfId="21312" xr:uid="{12D1720F-B045-40F4-B930-A1BD3CE9C6BD}"/>
    <cellStyle name="Normal 8 10 3" xfId="6496" xr:uid="{00000000-0005-0000-0000-0000EB1B0000}"/>
    <cellStyle name="Normal 8 10 3 2" xfId="14938" xr:uid="{5DC70284-0E64-4C25-86FA-BFB40DBAB30E}"/>
    <cellStyle name="Normal 8 10 3 3" xfId="23384" xr:uid="{BCFA05F7-D718-4C7F-800B-3402A366CFD2}"/>
    <cellStyle name="Normal 8 10 4" xfId="10720" xr:uid="{64BCCC49-9515-4F76-A10A-CAF745E4C5EC}"/>
    <cellStyle name="Normal 8 10 5" xfId="19165" xr:uid="{E743BEC8-8D80-4F58-9DC9-D2A99968599E}"/>
    <cellStyle name="Normal 8 11" xfId="2625" xr:uid="{00000000-0005-0000-0000-0000EC1B0000}"/>
    <cellStyle name="Normal 8 11 2" xfId="6909" xr:uid="{00000000-0005-0000-0000-0000ED1B0000}"/>
    <cellStyle name="Normal 8 11 2 2" xfId="15351" xr:uid="{43AB7F63-154A-4EDB-B3A2-AC8690361B06}"/>
    <cellStyle name="Normal 8 11 2 3" xfId="23797" xr:uid="{610761AB-9F6B-426B-B77F-1B703A404BC7}"/>
    <cellStyle name="Normal 8 11 3" xfId="11133" xr:uid="{09C2E569-044B-4367-AD74-FA23034D6779}"/>
    <cellStyle name="Normal 8 11 4" xfId="19578" xr:uid="{E7DCA729-9FB6-4C03-B155-0173CDC3DBF0}"/>
    <cellStyle name="Normal 8 12" xfId="4844" xr:uid="{00000000-0005-0000-0000-0000EE1B0000}"/>
    <cellStyle name="Normal 8 12 2" xfId="13286" xr:uid="{595C8409-4877-45AA-B2DB-5692C8B9BF01}"/>
    <cellStyle name="Normal 8 12 3" xfId="21732" xr:uid="{09ECF70E-C359-4CF1-B756-5E0F2D26E4D2}"/>
    <cellStyle name="Normal 8 13" xfId="9068" xr:uid="{8A8D7C1D-40B1-47B6-95C8-2F09803DBFC8}"/>
    <cellStyle name="Normal 8 14" xfId="17513" xr:uid="{A6D0EA6A-CA5A-4725-9578-8265EDE5F541}"/>
    <cellStyle name="Normal 8 2" xfId="479" xr:uid="{00000000-0005-0000-0000-0000EF1B0000}"/>
    <cellStyle name="Normal 8 2 10" xfId="2626" xr:uid="{00000000-0005-0000-0000-0000F01B0000}"/>
    <cellStyle name="Normal 8 2 10 2" xfId="6910" xr:uid="{00000000-0005-0000-0000-0000F11B0000}"/>
    <cellStyle name="Normal 8 2 10 2 2" xfId="15352" xr:uid="{8696C49F-A8E6-4799-BCBE-143C17574843}"/>
    <cellStyle name="Normal 8 2 10 2 3" xfId="23798" xr:uid="{A4F505CE-CBE8-435E-9314-599A519CD033}"/>
    <cellStyle name="Normal 8 2 10 3" xfId="11134" xr:uid="{27AD8542-E01F-4363-9402-6B1DEAD354B0}"/>
    <cellStyle name="Normal 8 2 10 4" xfId="19579" xr:uid="{753BDEDB-1AE0-4CE9-9338-53F052006FF6}"/>
    <cellStyle name="Normal 8 2 11" xfId="4845" xr:uid="{00000000-0005-0000-0000-0000F21B0000}"/>
    <cellStyle name="Normal 8 2 11 2" xfId="13287" xr:uid="{562BE112-4D02-4E76-9668-DFDA5856B8D9}"/>
    <cellStyle name="Normal 8 2 11 3" xfId="21733" xr:uid="{3CE436A7-2E4D-4E09-BF6F-B1729F89D5C5}"/>
    <cellStyle name="Normal 8 2 12" xfId="9069" xr:uid="{4185E3D1-4D7D-4DF8-9EF4-E00DACAD2486}"/>
    <cellStyle name="Normal 8 2 13" xfId="17514" xr:uid="{BB5501B7-E693-4536-9EE4-EB95377618EF}"/>
    <cellStyle name="Normal 8 2 14" xfId="25762" xr:uid="{B4E719BB-E8F9-4CEC-9392-4E72881B0210}"/>
    <cellStyle name="Normal 8 2 2" xfId="480" xr:uid="{00000000-0005-0000-0000-0000F31B0000}"/>
    <cellStyle name="Normal 8 2 2 10" xfId="4846" xr:uid="{00000000-0005-0000-0000-0000F41B0000}"/>
    <cellStyle name="Normal 8 2 2 10 2" xfId="13288" xr:uid="{BCCFD355-5113-4B7C-9D1C-1D43A8785047}"/>
    <cellStyle name="Normal 8 2 2 10 3" xfId="21734" xr:uid="{1056C252-089F-459C-9BA5-BE06CECF27B1}"/>
    <cellStyle name="Normal 8 2 2 11" xfId="9070" xr:uid="{0C272B13-9872-4196-BC82-BA835A40770C}"/>
    <cellStyle name="Normal 8 2 2 12" xfId="17515" xr:uid="{BE082951-AE42-44F5-85D1-5A0807B4AEB5}"/>
    <cellStyle name="Normal 8 2 2 2" xfId="481" xr:uid="{00000000-0005-0000-0000-0000F51B0000}"/>
    <cellStyle name="Normal 8 2 2 2 10" xfId="9071" xr:uid="{739F8D37-DCC2-40D9-ACD7-10DE74821042}"/>
    <cellStyle name="Normal 8 2 2 2 11" xfId="17516" xr:uid="{9AD1F735-A6CA-40D0-9584-0898114DD2B6}"/>
    <cellStyle name="Normal 8 2 2 2 2" xfId="482" xr:uid="{00000000-0005-0000-0000-0000F61B0000}"/>
    <cellStyle name="Normal 8 2 2 2 2 10" xfId="17517" xr:uid="{5FFA07CB-DF41-4D20-AC8C-4985C0526F39}"/>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E56AAE65-98CA-4281-AC24-E51FDB389AED}"/>
    <cellStyle name="Normal 8 2 2 2 2 2 2 2 2 3" xfId="24295" xr:uid="{034DFA42-F0F0-491F-AA3C-0D5BA3A3CCB6}"/>
    <cellStyle name="Normal 8 2 2 2 2 2 2 2 3" xfId="11631" xr:uid="{0B223E45-A011-4843-BE09-9F42851C928D}"/>
    <cellStyle name="Normal 8 2 2 2 2 2 2 2 4" xfId="20078" xr:uid="{1446DE56-9010-4147-A105-E0C54FA31766}"/>
    <cellStyle name="Normal 8 2 2 2 2 2 2 3" xfId="5262" xr:uid="{00000000-0005-0000-0000-0000FB1B0000}"/>
    <cellStyle name="Normal 8 2 2 2 2 2 2 3 2" xfId="13704" xr:uid="{62DCC59A-EFD5-4857-8353-90F71FD16933}"/>
    <cellStyle name="Normal 8 2 2 2 2 2 2 3 3" xfId="22150" xr:uid="{18415939-CCEA-4678-84C0-3EF647EBE130}"/>
    <cellStyle name="Normal 8 2 2 2 2 2 2 4" xfId="9486" xr:uid="{544BFE6B-F1E8-4C89-AED8-4396115F67D0}"/>
    <cellStyle name="Normal 8 2 2 2 2 2 2 5" xfId="17931" xr:uid="{7010DDDE-51C8-4B6B-8B08-18A8051DCA44}"/>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DFFF9384-71FB-46EA-B7F7-8D06543208AD}"/>
    <cellStyle name="Normal 8 2 2 2 2 2 3 2 2 3" xfId="24708" xr:uid="{A011D5F4-C72A-48F0-8823-5FAE69FEA84F}"/>
    <cellStyle name="Normal 8 2 2 2 2 2 3 2 3" xfId="12044" xr:uid="{DBEF9D96-A2EC-4826-9A22-97A8126A25A0}"/>
    <cellStyle name="Normal 8 2 2 2 2 2 3 2 4" xfId="20491" xr:uid="{32086B34-5298-4FEE-A505-A76BF4100DB8}"/>
    <cellStyle name="Normal 8 2 2 2 2 2 3 3" xfId="5675" xr:uid="{00000000-0005-0000-0000-0000FF1B0000}"/>
    <cellStyle name="Normal 8 2 2 2 2 2 3 3 2" xfId="14117" xr:uid="{FF3DA027-6700-4AB9-A5A7-A2524C73C8D9}"/>
    <cellStyle name="Normal 8 2 2 2 2 2 3 3 3" xfId="22563" xr:uid="{9FD07FEF-DE4C-43B8-8608-3987A0A1E6CB}"/>
    <cellStyle name="Normal 8 2 2 2 2 2 3 4" xfId="9899" xr:uid="{ED06C269-1C0C-49B7-9500-7ACDB741FEB9}"/>
    <cellStyle name="Normal 8 2 2 2 2 2 3 5" xfId="18344" xr:uid="{E629BAB6-1FB4-43AD-92C0-755A3134FFD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270CA2C8-0BA0-43FE-93BF-09570E0818A0}"/>
    <cellStyle name="Normal 8 2 2 2 2 2 4 2 2 3" xfId="25121" xr:uid="{6FB7B8B5-CC48-47ED-A38E-CBB350AA4D0E}"/>
    <cellStyle name="Normal 8 2 2 2 2 2 4 2 3" xfId="12457" xr:uid="{C3DE747B-AFB2-49C4-95DB-9BEC6E3ECEA9}"/>
    <cellStyle name="Normal 8 2 2 2 2 2 4 2 4" xfId="20904" xr:uid="{7B24DBC4-48F6-44F2-B039-99063947C8FA}"/>
    <cellStyle name="Normal 8 2 2 2 2 2 4 3" xfId="6088" xr:uid="{00000000-0005-0000-0000-0000031C0000}"/>
    <cellStyle name="Normal 8 2 2 2 2 2 4 3 2" xfId="14530" xr:uid="{6A05B06D-14DE-4908-A4D3-6F4185870C80}"/>
    <cellStyle name="Normal 8 2 2 2 2 2 4 3 3" xfId="22976" xr:uid="{4612D76F-EFF3-43FD-963D-3DB01121F0C5}"/>
    <cellStyle name="Normal 8 2 2 2 2 2 4 4" xfId="10312" xr:uid="{AC3F75DE-1421-4562-8D47-F97093354743}"/>
    <cellStyle name="Normal 8 2 2 2 2 2 4 5" xfId="18757" xr:uid="{C44DDFBB-7556-4730-AA77-0C955DCC8487}"/>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3B2F67D6-A109-473F-B14D-29A99B25EFAD}"/>
    <cellStyle name="Normal 8 2 2 2 2 2 5 2 2 3" xfId="25534" xr:uid="{C5EA82D1-4A14-4379-A170-73F61F88764C}"/>
    <cellStyle name="Normal 8 2 2 2 2 2 5 2 3" xfId="12870" xr:uid="{D2658939-E5C6-44CD-89CD-605B5398A26B}"/>
    <cellStyle name="Normal 8 2 2 2 2 2 5 2 4" xfId="21317" xr:uid="{B31EC027-9081-4FA4-B7A8-4F8B68989DA4}"/>
    <cellStyle name="Normal 8 2 2 2 2 2 5 3" xfId="6501" xr:uid="{00000000-0005-0000-0000-0000071C0000}"/>
    <cellStyle name="Normal 8 2 2 2 2 2 5 3 2" xfId="14943" xr:uid="{B9FDA07D-0418-4252-A04B-EC23EFB5CFDD}"/>
    <cellStyle name="Normal 8 2 2 2 2 2 5 3 3" xfId="23389" xr:uid="{A3FBF266-7EA2-40C2-B07A-D79867FD09D3}"/>
    <cellStyle name="Normal 8 2 2 2 2 2 5 4" xfId="10725" xr:uid="{E845CD2A-5C38-45D7-AE51-7EDE868CC37A}"/>
    <cellStyle name="Normal 8 2 2 2 2 2 5 5" xfId="19170" xr:uid="{2BE965FE-47DD-4D48-898C-B8C01B8899FC}"/>
    <cellStyle name="Normal 8 2 2 2 2 2 6" xfId="2630" xr:uid="{00000000-0005-0000-0000-0000081C0000}"/>
    <cellStyle name="Normal 8 2 2 2 2 2 6 2" xfId="6914" xr:uid="{00000000-0005-0000-0000-0000091C0000}"/>
    <cellStyle name="Normal 8 2 2 2 2 2 6 2 2" xfId="15356" xr:uid="{B060C3FD-2B43-42BB-B397-B216EC34F378}"/>
    <cellStyle name="Normal 8 2 2 2 2 2 6 2 3" xfId="23802" xr:uid="{3F5EF6D6-82C8-47B1-B840-E63B11122F49}"/>
    <cellStyle name="Normal 8 2 2 2 2 2 6 3" xfId="11138" xr:uid="{C1FA1E0C-CF96-45D5-85BB-5A2DEF768343}"/>
    <cellStyle name="Normal 8 2 2 2 2 2 6 4" xfId="19583" xr:uid="{7004A145-0404-4EE6-8D3E-62BACE83572C}"/>
    <cellStyle name="Normal 8 2 2 2 2 2 7" xfId="4849" xr:uid="{00000000-0005-0000-0000-00000A1C0000}"/>
    <cellStyle name="Normal 8 2 2 2 2 2 7 2" xfId="13291" xr:uid="{C0FEAE75-8CEB-491A-A1C7-6D23CE1CC5DE}"/>
    <cellStyle name="Normal 8 2 2 2 2 2 7 3" xfId="21737" xr:uid="{F31DD32A-ACDB-4CBF-A9D1-7F023228E9DA}"/>
    <cellStyle name="Normal 8 2 2 2 2 2 8" xfId="9073" xr:uid="{CF90A636-E481-40C8-A114-AD4CB3BF9023}"/>
    <cellStyle name="Normal 8 2 2 2 2 2 9" xfId="17518" xr:uid="{053CC914-B327-4217-80F4-E2A43E695493}"/>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C9D4EF8D-18D9-43A0-965A-70D1E7F98EAD}"/>
    <cellStyle name="Normal 8 2 2 2 2 3 2 2 3" xfId="24294" xr:uid="{97174F40-B6AC-4441-8A88-F4B0F52C9C10}"/>
    <cellStyle name="Normal 8 2 2 2 2 3 2 3" xfId="11630" xr:uid="{25641377-27A5-47C4-90AD-3B3740429984}"/>
    <cellStyle name="Normal 8 2 2 2 2 3 2 4" xfId="20077" xr:uid="{7FE6DFF5-8CBE-495B-AD28-DEBADE6734D3}"/>
    <cellStyle name="Normal 8 2 2 2 2 3 3" xfId="5261" xr:uid="{00000000-0005-0000-0000-00000E1C0000}"/>
    <cellStyle name="Normal 8 2 2 2 2 3 3 2" xfId="13703" xr:uid="{2F623E8C-5608-4A13-9ADE-C78AB1EC2462}"/>
    <cellStyle name="Normal 8 2 2 2 2 3 3 3" xfId="22149" xr:uid="{BCC4EAB3-7BBC-43B0-A93E-419D0D1AF67C}"/>
    <cellStyle name="Normal 8 2 2 2 2 3 4" xfId="9485" xr:uid="{708C63F4-EFCA-4E16-9953-13D4095EF6DE}"/>
    <cellStyle name="Normal 8 2 2 2 2 3 5" xfId="17930" xr:uid="{D41CB787-195A-4611-8ED4-F227346CCA22}"/>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8C0DB981-D240-4A6C-9059-4F1F62F1A729}"/>
    <cellStyle name="Normal 8 2 2 2 2 4 2 2 3" xfId="24707" xr:uid="{36BE934A-9748-48FA-910B-B5658672DC90}"/>
    <cellStyle name="Normal 8 2 2 2 2 4 2 3" xfId="12043" xr:uid="{5BCD2DFA-33AA-4F85-A288-591449E0D274}"/>
    <cellStyle name="Normal 8 2 2 2 2 4 2 4" xfId="20490" xr:uid="{B182D71A-0C90-4488-B991-06316BAD7466}"/>
    <cellStyle name="Normal 8 2 2 2 2 4 3" xfId="5674" xr:uid="{00000000-0005-0000-0000-0000121C0000}"/>
    <cellStyle name="Normal 8 2 2 2 2 4 3 2" xfId="14116" xr:uid="{E4DE4017-4FA8-4BFE-9250-98EE807167B8}"/>
    <cellStyle name="Normal 8 2 2 2 2 4 3 3" xfId="22562" xr:uid="{B3926607-6DAF-4F64-9773-2A18769A54B4}"/>
    <cellStyle name="Normal 8 2 2 2 2 4 4" xfId="9898" xr:uid="{5CAE57D8-F92F-4D55-A0B7-B27B8463720C}"/>
    <cellStyle name="Normal 8 2 2 2 2 4 5" xfId="18343" xr:uid="{396DA085-E4B8-428D-86DA-F8B3A9E34A55}"/>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C0E6D28B-996D-40A9-8617-97C60A790A12}"/>
    <cellStyle name="Normal 8 2 2 2 2 5 2 2 3" xfId="25120" xr:uid="{A7F20EFC-7173-4F77-BFFA-96D1FDE46638}"/>
    <cellStyle name="Normal 8 2 2 2 2 5 2 3" xfId="12456" xr:uid="{A8CD9C9E-BA6C-4944-8796-4AE830A07451}"/>
    <cellStyle name="Normal 8 2 2 2 2 5 2 4" xfId="20903" xr:uid="{39BEF150-6ACB-43FE-888C-47B860A74AFD}"/>
    <cellStyle name="Normal 8 2 2 2 2 5 3" xfId="6087" xr:uid="{00000000-0005-0000-0000-0000161C0000}"/>
    <cellStyle name="Normal 8 2 2 2 2 5 3 2" xfId="14529" xr:uid="{7A0FCB12-975B-4B73-BE6B-4E27BFCF6181}"/>
    <cellStyle name="Normal 8 2 2 2 2 5 3 3" xfId="22975" xr:uid="{9ACC2986-59AD-4DD7-9306-2019BD4A7D41}"/>
    <cellStyle name="Normal 8 2 2 2 2 5 4" xfId="10311" xr:uid="{67B391DF-F785-4CBD-BE69-AAF8C45D1174}"/>
    <cellStyle name="Normal 8 2 2 2 2 5 5" xfId="18756" xr:uid="{574E4B39-E83B-40F7-8F5F-B615A4EED8A5}"/>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C367666F-29DB-4C25-9D68-4FC759DB35F1}"/>
    <cellStyle name="Normal 8 2 2 2 2 6 2 2 3" xfId="25533" xr:uid="{9F97B7E9-D299-4B1D-AEB0-C58E9F143D58}"/>
    <cellStyle name="Normal 8 2 2 2 2 6 2 3" xfId="12869" xr:uid="{27274C29-7A11-42FD-9B55-C461439F5D59}"/>
    <cellStyle name="Normal 8 2 2 2 2 6 2 4" xfId="21316" xr:uid="{6A6CDBD3-1BF9-4FA9-955A-26AA94083FC4}"/>
    <cellStyle name="Normal 8 2 2 2 2 6 3" xfId="6500" xr:uid="{00000000-0005-0000-0000-00001A1C0000}"/>
    <cellStyle name="Normal 8 2 2 2 2 6 3 2" xfId="14942" xr:uid="{687C670B-9FA6-46D6-AAE1-4ABCF2203F1B}"/>
    <cellStyle name="Normal 8 2 2 2 2 6 3 3" xfId="23388" xr:uid="{F8274719-BDFC-4F6A-AD51-1C65214052C0}"/>
    <cellStyle name="Normal 8 2 2 2 2 6 4" xfId="10724" xr:uid="{B1AE9D01-8958-4414-B07B-87E00BF1153B}"/>
    <cellStyle name="Normal 8 2 2 2 2 6 5" xfId="19169" xr:uid="{D8D6E39F-2EB2-4781-8376-B0BEDB44750B}"/>
    <cellStyle name="Normal 8 2 2 2 2 7" xfId="2629" xr:uid="{00000000-0005-0000-0000-00001B1C0000}"/>
    <cellStyle name="Normal 8 2 2 2 2 7 2" xfId="6913" xr:uid="{00000000-0005-0000-0000-00001C1C0000}"/>
    <cellStyle name="Normal 8 2 2 2 2 7 2 2" xfId="15355" xr:uid="{173AC79A-3706-41DB-A3C6-CC6F65CA8F52}"/>
    <cellStyle name="Normal 8 2 2 2 2 7 2 3" xfId="23801" xr:uid="{6E9B4E67-F671-43F1-8765-807D8B937A71}"/>
    <cellStyle name="Normal 8 2 2 2 2 7 3" xfId="11137" xr:uid="{708C3D53-7A3F-448D-AA82-05E7F3CF40EC}"/>
    <cellStyle name="Normal 8 2 2 2 2 7 4" xfId="19582" xr:uid="{EC7EEE3C-7C89-4CE6-AAE9-1018564EC4ED}"/>
    <cellStyle name="Normal 8 2 2 2 2 8" xfId="4848" xr:uid="{00000000-0005-0000-0000-00001D1C0000}"/>
    <cellStyle name="Normal 8 2 2 2 2 8 2" xfId="13290" xr:uid="{D18CB4FE-BF82-4C81-985D-19A0A7ACE2AF}"/>
    <cellStyle name="Normal 8 2 2 2 2 8 3" xfId="21736" xr:uid="{5F90C337-F3C1-4B8B-AF50-43BD71836274}"/>
    <cellStyle name="Normal 8 2 2 2 2 9" xfId="9072" xr:uid="{9852950F-ED09-40D4-BFD5-2747914DA34B}"/>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684B9E84-832E-49D6-B14F-38D235D5D4B7}"/>
    <cellStyle name="Normal 8 2 2 2 3 2 2 2 3" xfId="24296" xr:uid="{7CD1D694-150B-4A53-BB73-39C11042CB1C}"/>
    <cellStyle name="Normal 8 2 2 2 3 2 2 3" xfId="11632" xr:uid="{7CE3BE34-CACE-4C6E-BB95-5E96B1C22D64}"/>
    <cellStyle name="Normal 8 2 2 2 3 2 2 4" xfId="20079" xr:uid="{BB73CDF8-D002-4BA6-9D1D-436F0E519EBE}"/>
    <cellStyle name="Normal 8 2 2 2 3 2 3" xfId="5263" xr:uid="{00000000-0005-0000-0000-0000221C0000}"/>
    <cellStyle name="Normal 8 2 2 2 3 2 3 2" xfId="13705" xr:uid="{EFCD5699-EF09-477F-B1FA-6FEB42577B81}"/>
    <cellStyle name="Normal 8 2 2 2 3 2 3 3" xfId="22151" xr:uid="{08DDD838-B2D6-4407-90EC-3A9CC3448B5D}"/>
    <cellStyle name="Normal 8 2 2 2 3 2 4" xfId="9487" xr:uid="{94B2E4CF-0F73-4FCA-A838-8D216336621D}"/>
    <cellStyle name="Normal 8 2 2 2 3 2 5" xfId="17932" xr:uid="{4389F5E2-9FE9-41BA-B394-FAF4012CF73A}"/>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097323BA-A030-42E1-B9FB-15AA4A4836CE}"/>
    <cellStyle name="Normal 8 2 2 2 3 3 2 2 3" xfId="24709" xr:uid="{EBA7ECB3-A8F7-474A-A969-2B2918D41075}"/>
    <cellStyle name="Normal 8 2 2 2 3 3 2 3" xfId="12045" xr:uid="{602E2B8E-33E1-497D-A48F-95FDB68453FF}"/>
    <cellStyle name="Normal 8 2 2 2 3 3 2 4" xfId="20492" xr:uid="{E7128384-6B1F-4FC0-90CA-351D1234788C}"/>
    <cellStyle name="Normal 8 2 2 2 3 3 3" xfId="5676" xr:uid="{00000000-0005-0000-0000-0000261C0000}"/>
    <cellStyle name="Normal 8 2 2 2 3 3 3 2" xfId="14118" xr:uid="{FA81077E-D907-4A5F-9705-1DB438248FEC}"/>
    <cellStyle name="Normal 8 2 2 2 3 3 3 3" xfId="22564" xr:uid="{55011375-83A8-4B68-8DD1-4E9BBFAB909C}"/>
    <cellStyle name="Normal 8 2 2 2 3 3 4" xfId="9900" xr:uid="{D902EDF7-5A1A-49A8-B334-C2B75B9DC4D0}"/>
    <cellStyle name="Normal 8 2 2 2 3 3 5" xfId="18345" xr:uid="{A6AB3646-6BB1-4BB9-A817-CDEFED97DABB}"/>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7478D86D-CF17-478C-AEF8-AF8A08D583E6}"/>
    <cellStyle name="Normal 8 2 2 2 3 4 2 2 3" xfId="25122" xr:uid="{36E045AE-A24A-4A54-9148-6EC70FE12EA6}"/>
    <cellStyle name="Normal 8 2 2 2 3 4 2 3" xfId="12458" xr:uid="{84F2ECC1-F51E-475C-8FC9-A1F50BD06BFE}"/>
    <cellStyle name="Normal 8 2 2 2 3 4 2 4" xfId="20905" xr:uid="{B31832D5-FF59-4BA9-8B6C-EF5BA223BE7D}"/>
    <cellStyle name="Normal 8 2 2 2 3 4 3" xfId="6089" xr:uid="{00000000-0005-0000-0000-00002A1C0000}"/>
    <cellStyle name="Normal 8 2 2 2 3 4 3 2" xfId="14531" xr:uid="{6646CD93-9224-40FE-86D8-009EBEF57A96}"/>
    <cellStyle name="Normal 8 2 2 2 3 4 3 3" xfId="22977" xr:uid="{C23D1CA0-40FC-476D-8F01-C69ED2FAD98E}"/>
    <cellStyle name="Normal 8 2 2 2 3 4 4" xfId="10313" xr:uid="{F40E581F-0F3C-4B5F-A6FA-59DA8202E6E4}"/>
    <cellStyle name="Normal 8 2 2 2 3 4 5" xfId="18758" xr:uid="{68485375-BB30-4792-8151-B2E6569820DA}"/>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FFD73276-E8C7-430C-80B3-F01DE2A68825}"/>
    <cellStyle name="Normal 8 2 2 2 3 5 2 2 3" xfId="25535" xr:uid="{EEFAEAC2-304D-4BF1-AE54-8C70384353E2}"/>
    <cellStyle name="Normal 8 2 2 2 3 5 2 3" xfId="12871" xr:uid="{2F751384-BBED-4050-8EC0-5095415DD1CF}"/>
    <cellStyle name="Normal 8 2 2 2 3 5 2 4" xfId="21318" xr:uid="{DC736BD0-CC01-4B47-A5C0-C98D211C1FE7}"/>
    <cellStyle name="Normal 8 2 2 2 3 5 3" xfId="6502" xr:uid="{00000000-0005-0000-0000-00002E1C0000}"/>
    <cellStyle name="Normal 8 2 2 2 3 5 3 2" xfId="14944" xr:uid="{010F838A-F60D-4A92-B71E-BD035AB83D42}"/>
    <cellStyle name="Normal 8 2 2 2 3 5 3 3" xfId="23390" xr:uid="{E3873E05-0413-40C3-9849-2DD02A14A78F}"/>
    <cellStyle name="Normal 8 2 2 2 3 5 4" xfId="10726" xr:uid="{8E16CB9F-8536-4069-9BC7-6162D52100AC}"/>
    <cellStyle name="Normal 8 2 2 2 3 5 5" xfId="19171" xr:uid="{11018F86-3974-4258-841B-2186FBEFF68B}"/>
    <cellStyle name="Normal 8 2 2 2 3 6" xfId="2631" xr:uid="{00000000-0005-0000-0000-00002F1C0000}"/>
    <cellStyle name="Normal 8 2 2 2 3 6 2" xfId="6915" xr:uid="{00000000-0005-0000-0000-0000301C0000}"/>
    <cellStyle name="Normal 8 2 2 2 3 6 2 2" xfId="15357" xr:uid="{3C05F9B7-1DD3-4277-B350-A6C5C9C9E448}"/>
    <cellStyle name="Normal 8 2 2 2 3 6 2 3" xfId="23803" xr:uid="{16B6F274-AB6E-4553-A89C-972A6E427A80}"/>
    <cellStyle name="Normal 8 2 2 2 3 6 3" xfId="11139" xr:uid="{AF215B9C-669F-49DC-B176-8FE46B6F6F72}"/>
    <cellStyle name="Normal 8 2 2 2 3 6 4" xfId="19584" xr:uid="{6DE73735-B4E6-4E27-ACC7-F3FFD2FFBB0B}"/>
    <cellStyle name="Normal 8 2 2 2 3 7" xfId="4850" xr:uid="{00000000-0005-0000-0000-0000311C0000}"/>
    <cellStyle name="Normal 8 2 2 2 3 7 2" xfId="13292" xr:uid="{717D1B73-7E7C-4962-B73F-9A124B1AD656}"/>
    <cellStyle name="Normal 8 2 2 2 3 7 3" xfId="21738" xr:uid="{B6BDF3FC-DD59-4FFC-8F36-97C15F2523E8}"/>
    <cellStyle name="Normal 8 2 2 2 3 8" xfId="9074" xr:uid="{6177EBEB-9DA5-423D-B80C-1B194ED8ECBB}"/>
    <cellStyle name="Normal 8 2 2 2 3 9" xfId="17519" xr:uid="{114D845E-1F2D-447E-9D8A-EB5D11680978}"/>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B4B8DF94-EF1F-47C2-8CDF-4B67F73F7573}"/>
    <cellStyle name="Normal 8 2 2 2 4 2 2 3" xfId="24293" xr:uid="{0675F108-F155-453D-90A4-F7EA05100409}"/>
    <cellStyle name="Normal 8 2 2 2 4 2 3" xfId="11629" xr:uid="{D2677D36-7D37-47FC-BC89-984DAC4F49A5}"/>
    <cellStyle name="Normal 8 2 2 2 4 2 4" xfId="20076" xr:uid="{9E7FF2D0-B540-45A8-83CA-6803FC1FBB37}"/>
    <cellStyle name="Normal 8 2 2 2 4 3" xfId="5260" xr:uid="{00000000-0005-0000-0000-0000351C0000}"/>
    <cellStyle name="Normal 8 2 2 2 4 3 2" xfId="13702" xr:uid="{A70934E6-8242-4976-ACCD-397810270185}"/>
    <cellStyle name="Normal 8 2 2 2 4 3 3" xfId="22148" xr:uid="{D1ABD3AC-DA34-4ED4-A369-65EC96F16478}"/>
    <cellStyle name="Normal 8 2 2 2 4 4" xfId="9484" xr:uid="{3E15E148-14A8-410F-BFD2-713CA9553002}"/>
    <cellStyle name="Normal 8 2 2 2 4 5" xfId="17929" xr:uid="{53C83C80-1AF9-4115-BDB8-5A48EF6E4B17}"/>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51FDB315-E2FB-4A98-A72A-63EDDC07B4C1}"/>
    <cellStyle name="Normal 8 2 2 2 5 2 2 3" xfId="24706" xr:uid="{BB36D2AB-903A-4986-8AB9-6077C903695B}"/>
    <cellStyle name="Normal 8 2 2 2 5 2 3" xfId="12042" xr:uid="{EED10C7C-B08F-4725-98BA-2283C1ABEED5}"/>
    <cellStyle name="Normal 8 2 2 2 5 2 4" xfId="20489" xr:uid="{2E88F66E-86ED-4FCB-9DE9-5FD623861F2A}"/>
    <cellStyle name="Normal 8 2 2 2 5 3" xfId="5673" xr:uid="{00000000-0005-0000-0000-0000391C0000}"/>
    <cellStyle name="Normal 8 2 2 2 5 3 2" xfId="14115" xr:uid="{4254E02D-7A6C-4DE1-B13A-15572912CA01}"/>
    <cellStyle name="Normal 8 2 2 2 5 3 3" xfId="22561" xr:uid="{F8EBE213-AC59-4E21-A2D1-AC009E9C3053}"/>
    <cellStyle name="Normal 8 2 2 2 5 4" xfId="9897" xr:uid="{82E29D21-F7F2-4D3D-A0E0-254484DF6D87}"/>
    <cellStyle name="Normal 8 2 2 2 5 5" xfId="18342" xr:uid="{AE8D51DD-C1FD-4C0D-B20B-986A9B40419B}"/>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721AFF37-C90B-405C-A31A-5573D7B78C87}"/>
    <cellStyle name="Normal 8 2 2 2 6 2 2 3" xfId="25119" xr:uid="{ADA8D79E-13D9-4AAB-B911-3341A4B919E1}"/>
    <cellStyle name="Normal 8 2 2 2 6 2 3" xfId="12455" xr:uid="{FE021EFF-7A1F-4D92-BF9C-E0A4EF620590}"/>
    <cellStyle name="Normal 8 2 2 2 6 2 4" xfId="20902" xr:uid="{0D225C69-2598-49A7-9CAA-FBB8697C8A56}"/>
    <cellStyle name="Normal 8 2 2 2 6 3" xfId="6086" xr:uid="{00000000-0005-0000-0000-00003D1C0000}"/>
    <cellStyle name="Normal 8 2 2 2 6 3 2" xfId="14528" xr:uid="{DA3EF0A5-5085-4882-B988-5091E2F1E447}"/>
    <cellStyle name="Normal 8 2 2 2 6 3 3" xfId="22974" xr:uid="{49360823-C4D9-4789-8B99-41AEEDC18D4C}"/>
    <cellStyle name="Normal 8 2 2 2 6 4" xfId="10310" xr:uid="{C36099AD-8722-4649-9F3D-594D334EFC59}"/>
    <cellStyle name="Normal 8 2 2 2 6 5" xfId="18755" xr:uid="{92A41C94-F731-433F-BB54-34F75D041B15}"/>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93AC46B1-74CF-4348-AA9A-7D72C30A31F6}"/>
    <cellStyle name="Normal 8 2 2 2 7 2 2 3" xfId="25532" xr:uid="{31A870CE-59EF-401C-A359-B7AC31802E0D}"/>
    <cellStyle name="Normal 8 2 2 2 7 2 3" xfId="12868" xr:uid="{62758BFA-7A35-4F3B-947F-7788DDAB1198}"/>
    <cellStyle name="Normal 8 2 2 2 7 2 4" xfId="21315" xr:uid="{29BBDAE7-90EE-48AB-89D4-93535FAA31CE}"/>
    <cellStyle name="Normal 8 2 2 2 7 3" xfId="6499" xr:uid="{00000000-0005-0000-0000-0000411C0000}"/>
    <cellStyle name="Normal 8 2 2 2 7 3 2" xfId="14941" xr:uid="{6F099A6F-512C-40A5-8E0C-7932CE4F0283}"/>
    <cellStyle name="Normal 8 2 2 2 7 3 3" xfId="23387" xr:uid="{D413825E-1791-49E3-83C1-F6CBB17DDBA4}"/>
    <cellStyle name="Normal 8 2 2 2 7 4" xfId="10723" xr:uid="{88A7CB9A-3772-4946-9535-E798017E5E33}"/>
    <cellStyle name="Normal 8 2 2 2 7 5" xfId="19168" xr:uid="{0FF3A11E-E439-4709-9110-6B9AC06ECBC5}"/>
    <cellStyle name="Normal 8 2 2 2 8" xfId="2628" xr:uid="{00000000-0005-0000-0000-0000421C0000}"/>
    <cellStyle name="Normal 8 2 2 2 8 2" xfId="6912" xr:uid="{00000000-0005-0000-0000-0000431C0000}"/>
    <cellStyle name="Normal 8 2 2 2 8 2 2" xfId="15354" xr:uid="{ADD1B07F-1703-47A9-B130-0D9C7E9E7B99}"/>
    <cellStyle name="Normal 8 2 2 2 8 2 3" xfId="23800" xr:uid="{4F4C9EF0-3221-40ED-9EE1-89CF6DBFD64B}"/>
    <cellStyle name="Normal 8 2 2 2 8 3" xfId="11136" xr:uid="{DABF1FBE-84DF-4FA2-8C29-55D783CF12E1}"/>
    <cellStyle name="Normal 8 2 2 2 8 4" xfId="19581" xr:uid="{40A4C8F7-7CBB-4DA5-ACD9-E704CD0BC2A6}"/>
    <cellStyle name="Normal 8 2 2 2 9" xfId="4847" xr:uid="{00000000-0005-0000-0000-0000441C0000}"/>
    <cellStyle name="Normal 8 2 2 2 9 2" xfId="13289" xr:uid="{D16F5C99-0CEB-4833-86FC-8822133AFED4}"/>
    <cellStyle name="Normal 8 2 2 2 9 3" xfId="21735" xr:uid="{F4D510A7-4E83-47AC-8B27-51A4522A5D80}"/>
    <cellStyle name="Normal 8 2 2 3" xfId="485" xr:uid="{00000000-0005-0000-0000-0000451C0000}"/>
    <cellStyle name="Normal 8 2 2 3 10" xfId="17520" xr:uid="{ABE28C60-4CC7-41A1-BF6E-4323DA8B1302}"/>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235629D1-1617-4060-BBAA-3CEB5CD59A1D}"/>
    <cellStyle name="Normal 8 2 2 3 2 2 2 2 3" xfId="24298" xr:uid="{BF2CA206-DEE3-4AEE-B247-4485769E2151}"/>
    <cellStyle name="Normal 8 2 2 3 2 2 2 3" xfId="11634" xr:uid="{1DF68156-187A-4F4D-A37B-96F1E21FAF3A}"/>
    <cellStyle name="Normal 8 2 2 3 2 2 2 4" xfId="20081" xr:uid="{B24A33C0-B4F7-4B11-877E-B31597800A14}"/>
    <cellStyle name="Normal 8 2 2 3 2 2 3" xfId="5265" xr:uid="{00000000-0005-0000-0000-00004A1C0000}"/>
    <cellStyle name="Normal 8 2 2 3 2 2 3 2" xfId="13707" xr:uid="{285DFBAD-78F5-4AFE-A1A4-5B92CB990870}"/>
    <cellStyle name="Normal 8 2 2 3 2 2 3 3" xfId="22153" xr:uid="{37419618-03F9-4DE4-B910-20558FDAFF2B}"/>
    <cellStyle name="Normal 8 2 2 3 2 2 4" xfId="9489" xr:uid="{837CF9D6-DCD8-4BBB-8974-B463F99BC821}"/>
    <cellStyle name="Normal 8 2 2 3 2 2 5" xfId="17934" xr:uid="{B3949845-36A4-4A30-A5CE-49C87D1FB00C}"/>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FF882052-2AFF-48E9-81B1-AF8A99BEB859}"/>
    <cellStyle name="Normal 8 2 2 3 2 3 2 2 3" xfId="24711" xr:uid="{89541CB7-05D9-40B5-B15F-46DAED9EB35C}"/>
    <cellStyle name="Normal 8 2 2 3 2 3 2 3" xfId="12047" xr:uid="{6C171F5D-BC01-48B1-A6EC-31BF81503825}"/>
    <cellStyle name="Normal 8 2 2 3 2 3 2 4" xfId="20494" xr:uid="{B286060F-A0BC-4BBC-B60D-10FBBE0CDA40}"/>
    <cellStyle name="Normal 8 2 2 3 2 3 3" xfId="5678" xr:uid="{00000000-0005-0000-0000-00004E1C0000}"/>
    <cellStyle name="Normal 8 2 2 3 2 3 3 2" xfId="14120" xr:uid="{16E4ECBF-761F-4DEB-97C0-F96416819A23}"/>
    <cellStyle name="Normal 8 2 2 3 2 3 3 3" xfId="22566" xr:uid="{0FB6FB7C-A3E4-4C3C-98DF-73481B0D2F3B}"/>
    <cellStyle name="Normal 8 2 2 3 2 3 4" xfId="9902" xr:uid="{75FD0E56-AB29-477E-B633-65301A1F11C1}"/>
    <cellStyle name="Normal 8 2 2 3 2 3 5" xfId="18347" xr:uid="{DFC233CF-6C7E-45B6-992D-C8C82530839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DC50BCE6-B9CB-4F95-9654-CF96C336DCF2}"/>
    <cellStyle name="Normal 8 2 2 3 2 4 2 2 3" xfId="25124" xr:uid="{35B6C733-CFCA-482A-B765-9333EA3C90BB}"/>
    <cellStyle name="Normal 8 2 2 3 2 4 2 3" xfId="12460" xr:uid="{94A65662-74CE-432E-B427-91E8CD12BE64}"/>
    <cellStyle name="Normal 8 2 2 3 2 4 2 4" xfId="20907" xr:uid="{98AB5FD4-DDA0-464E-829B-BFE75D249AF9}"/>
    <cellStyle name="Normal 8 2 2 3 2 4 3" xfId="6091" xr:uid="{00000000-0005-0000-0000-0000521C0000}"/>
    <cellStyle name="Normal 8 2 2 3 2 4 3 2" xfId="14533" xr:uid="{AA722D6C-2BD7-432B-BB60-B6E0914A74D8}"/>
    <cellStyle name="Normal 8 2 2 3 2 4 3 3" xfId="22979" xr:uid="{630BFF40-0F81-4CD8-AFBF-556D2488C747}"/>
    <cellStyle name="Normal 8 2 2 3 2 4 4" xfId="10315" xr:uid="{A664F5BA-32C0-41AC-A3D3-87CAAF1DC294}"/>
    <cellStyle name="Normal 8 2 2 3 2 4 5" xfId="18760" xr:uid="{49ADAB64-656C-4949-B5BD-A653D00B3FC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3192613D-F1DD-4152-88F5-5A691577F47A}"/>
    <cellStyle name="Normal 8 2 2 3 2 5 2 2 3" xfId="25537" xr:uid="{5D4ED046-8C33-4E5B-8415-4C9A4F0AA0B4}"/>
    <cellStyle name="Normal 8 2 2 3 2 5 2 3" xfId="12873" xr:uid="{16EB7B6B-48B7-452B-9720-ACD4326CB253}"/>
    <cellStyle name="Normal 8 2 2 3 2 5 2 4" xfId="21320" xr:uid="{09F63267-61B3-4AA4-BDFB-69FF18A4132A}"/>
    <cellStyle name="Normal 8 2 2 3 2 5 3" xfId="6504" xr:uid="{00000000-0005-0000-0000-0000561C0000}"/>
    <cellStyle name="Normal 8 2 2 3 2 5 3 2" xfId="14946" xr:uid="{1DB25D88-C923-4867-83FA-33344A8031DF}"/>
    <cellStyle name="Normal 8 2 2 3 2 5 3 3" xfId="23392" xr:uid="{6862B16A-EF74-4EEF-9C8A-86ACA43493F1}"/>
    <cellStyle name="Normal 8 2 2 3 2 5 4" xfId="10728" xr:uid="{FB043AD0-285B-46BE-B903-8CD7D42773ED}"/>
    <cellStyle name="Normal 8 2 2 3 2 5 5" xfId="19173" xr:uid="{F2490C6D-A839-47BE-A95D-80B738DEF796}"/>
    <cellStyle name="Normal 8 2 2 3 2 6" xfId="2633" xr:uid="{00000000-0005-0000-0000-0000571C0000}"/>
    <cellStyle name="Normal 8 2 2 3 2 6 2" xfId="6917" xr:uid="{00000000-0005-0000-0000-0000581C0000}"/>
    <cellStyle name="Normal 8 2 2 3 2 6 2 2" xfId="15359" xr:uid="{BFC19561-50C5-455D-A140-B2437F1AA5B1}"/>
    <cellStyle name="Normal 8 2 2 3 2 6 2 3" xfId="23805" xr:uid="{5335210B-4D4C-47CA-9B66-1641CED58671}"/>
    <cellStyle name="Normal 8 2 2 3 2 6 3" xfId="11141" xr:uid="{08104CC7-6C84-4BF5-AEEE-C253A4B8D212}"/>
    <cellStyle name="Normal 8 2 2 3 2 6 4" xfId="19586" xr:uid="{AB38EC49-FA38-4478-8279-8EAC767CBCFB}"/>
    <cellStyle name="Normal 8 2 2 3 2 7" xfId="4852" xr:uid="{00000000-0005-0000-0000-0000591C0000}"/>
    <cellStyle name="Normal 8 2 2 3 2 7 2" xfId="13294" xr:uid="{87E20562-EDC1-468E-B5B1-CC4EA47A4861}"/>
    <cellStyle name="Normal 8 2 2 3 2 7 3" xfId="21740" xr:uid="{2044E211-8921-4A26-AB51-A705AE97AFB4}"/>
    <cellStyle name="Normal 8 2 2 3 2 8" xfId="9076" xr:uid="{CEC51B32-C5CE-429C-BA3B-6F58593002D8}"/>
    <cellStyle name="Normal 8 2 2 3 2 9" xfId="17521" xr:uid="{F93100A1-1787-4342-B6BB-4E913A457898}"/>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CE8D9C94-4BA5-4FF3-9024-E03748022662}"/>
    <cellStyle name="Normal 8 2 2 3 3 2 2 3" xfId="24297" xr:uid="{4F79BD04-D075-43C8-AE24-8BAD7AE0A2A2}"/>
    <cellStyle name="Normal 8 2 2 3 3 2 3" xfId="11633" xr:uid="{DA16C4D1-59B6-4FC6-9F71-C305B3EACF79}"/>
    <cellStyle name="Normal 8 2 2 3 3 2 4" xfId="20080" xr:uid="{5A64069A-EB9B-4F04-A734-5979928B88E9}"/>
    <cellStyle name="Normal 8 2 2 3 3 3" xfId="5264" xr:uid="{00000000-0005-0000-0000-00005D1C0000}"/>
    <cellStyle name="Normal 8 2 2 3 3 3 2" xfId="13706" xr:uid="{7DED7FD4-892F-4D22-8CCA-863129A2988D}"/>
    <cellStyle name="Normal 8 2 2 3 3 3 3" xfId="22152" xr:uid="{3C0596F5-C03F-4E75-9CCA-B91DCCE84476}"/>
    <cellStyle name="Normal 8 2 2 3 3 4" xfId="9488" xr:uid="{37F73AF9-3BA6-4BE8-9EE3-97F17769F33C}"/>
    <cellStyle name="Normal 8 2 2 3 3 5" xfId="17933" xr:uid="{633BAD6C-B52A-4B69-B0BB-114221C9CC3B}"/>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D956E37D-A1FE-4BAF-8E3E-2E842960EABF}"/>
    <cellStyle name="Normal 8 2 2 3 4 2 2 3" xfId="24710" xr:uid="{920BBEAA-5A61-4F0F-8F5C-26BD1CF17A2A}"/>
    <cellStyle name="Normal 8 2 2 3 4 2 3" xfId="12046" xr:uid="{A41EBEA0-0A09-4834-BBF4-79A9A6606E02}"/>
    <cellStyle name="Normal 8 2 2 3 4 2 4" xfId="20493" xr:uid="{D75F074E-5FA9-4F4E-B256-0116B7968CB7}"/>
    <cellStyle name="Normal 8 2 2 3 4 3" xfId="5677" xr:uid="{00000000-0005-0000-0000-0000611C0000}"/>
    <cellStyle name="Normal 8 2 2 3 4 3 2" xfId="14119" xr:uid="{A1AD275C-DE16-4DDF-B126-9C0118302053}"/>
    <cellStyle name="Normal 8 2 2 3 4 3 3" xfId="22565" xr:uid="{AFED1077-2AA5-4663-A6DF-C47ECDC9C261}"/>
    <cellStyle name="Normal 8 2 2 3 4 4" xfId="9901" xr:uid="{E889345A-E003-4A8C-8447-753079F467EC}"/>
    <cellStyle name="Normal 8 2 2 3 4 5" xfId="18346" xr:uid="{C699BC4F-DED2-4DF6-A01A-F562E949530C}"/>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93AD1C69-B81A-4996-8D86-73EEAAD3828F}"/>
    <cellStyle name="Normal 8 2 2 3 5 2 2 3" xfId="25123" xr:uid="{B5859689-8E31-42E4-9BBD-899E737E5789}"/>
    <cellStyle name="Normal 8 2 2 3 5 2 3" xfId="12459" xr:uid="{65B438C7-7CE9-4B95-A1EC-C8B5D0D62D37}"/>
    <cellStyle name="Normal 8 2 2 3 5 2 4" xfId="20906" xr:uid="{B782F851-55A8-4A16-B88C-CCA9A2FCF43D}"/>
    <cellStyle name="Normal 8 2 2 3 5 3" xfId="6090" xr:uid="{00000000-0005-0000-0000-0000651C0000}"/>
    <cellStyle name="Normal 8 2 2 3 5 3 2" xfId="14532" xr:uid="{21F2813A-9744-4940-8474-354B3FE543B4}"/>
    <cellStyle name="Normal 8 2 2 3 5 3 3" xfId="22978" xr:uid="{0EC4316A-C44F-4F4B-9FAC-4210C1FEBDF8}"/>
    <cellStyle name="Normal 8 2 2 3 5 4" xfId="10314" xr:uid="{EB1A7359-A428-4A0D-B815-3D278A0A850C}"/>
    <cellStyle name="Normal 8 2 2 3 5 5" xfId="18759" xr:uid="{6CFF0F0C-C06B-48E6-B82E-A6686EA25E38}"/>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E6586750-F75F-4FC2-B7DB-82C898DAD42B}"/>
    <cellStyle name="Normal 8 2 2 3 6 2 2 3" xfId="25536" xr:uid="{40D58C63-099C-4073-B520-411FE95A85A6}"/>
    <cellStyle name="Normal 8 2 2 3 6 2 3" xfId="12872" xr:uid="{FEFEFB00-9BB2-4A96-AE5E-F86C5FFCBBF4}"/>
    <cellStyle name="Normal 8 2 2 3 6 2 4" xfId="21319" xr:uid="{64C02D38-E4BA-4D5B-BB5B-12459C6DB28F}"/>
    <cellStyle name="Normal 8 2 2 3 6 3" xfId="6503" xr:uid="{00000000-0005-0000-0000-0000691C0000}"/>
    <cellStyle name="Normal 8 2 2 3 6 3 2" xfId="14945" xr:uid="{303E3BDB-8572-416A-98D3-7C15EEFEA2F6}"/>
    <cellStyle name="Normal 8 2 2 3 6 3 3" xfId="23391" xr:uid="{475755C6-A8FD-4028-83CB-9D3297C82D8C}"/>
    <cellStyle name="Normal 8 2 2 3 6 4" xfId="10727" xr:uid="{A408383C-78EC-4646-9280-BC023079AE26}"/>
    <cellStyle name="Normal 8 2 2 3 6 5" xfId="19172" xr:uid="{48A3C8A4-98E9-4E77-863D-4A2ACB20F003}"/>
    <cellStyle name="Normal 8 2 2 3 7" xfId="2632" xr:uid="{00000000-0005-0000-0000-00006A1C0000}"/>
    <cellStyle name="Normal 8 2 2 3 7 2" xfId="6916" xr:uid="{00000000-0005-0000-0000-00006B1C0000}"/>
    <cellStyle name="Normal 8 2 2 3 7 2 2" xfId="15358" xr:uid="{C5F01D05-EBDF-466C-B1FE-4D1E78F9EC11}"/>
    <cellStyle name="Normal 8 2 2 3 7 2 3" xfId="23804" xr:uid="{D0DB2B12-22C6-40DF-8A4A-767F5BA37C41}"/>
    <cellStyle name="Normal 8 2 2 3 7 3" xfId="11140" xr:uid="{94E94AAA-1E13-47D7-A85A-47F5612924C1}"/>
    <cellStyle name="Normal 8 2 2 3 7 4" xfId="19585" xr:uid="{26256A77-19D4-48E9-B770-5C9DEB2BB740}"/>
    <cellStyle name="Normal 8 2 2 3 8" xfId="4851" xr:uid="{00000000-0005-0000-0000-00006C1C0000}"/>
    <cellStyle name="Normal 8 2 2 3 8 2" xfId="13293" xr:uid="{37638581-CC99-40A5-BE21-90C25B6CFB6E}"/>
    <cellStyle name="Normal 8 2 2 3 8 3" xfId="21739" xr:uid="{792317AA-FE10-4FBE-8D00-960312314E48}"/>
    <cellStyle name="Normal 8 2 2 3 9" xfId="9075" xr:uid="{751D10F9-69BE-47C4-9DDD-1776F3138BA5}"/>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EBE5E235-42AE-42F3-A2FC-4E8E88C6976E}"/>
    <cellStyle name="Normal 8 2 2 4 2 2 2 3" xfId="24299" xr:uid="{7554A41E-ADC6-4EBB-A8B3-C93E4DF5C352}"/>
    <cellStyle name="Normal 8 2 2 4 2 2 3" xfId="11635" xr:uid="{A9357762-83A3-44D0-BA80-EAEA2FDDC528}"/>
    <cellStyle name="Normal 8 2 2 4 2 2 4" xfId="20082" xr:uid="{91A769BA-4F5C-473D-9EDB-79F1094F0FF8}"/>
    <cellStyle name="Normal 8 2 2 4 2 3" xfId="5266" xr:uid="{00000000-0005-0000-0000-0000711C0000}"/>
    <cellStyle name="Normal 8 2 2 4 2 3 2" xfId="13708" xr:uid="{6268C62E-056E-4382-8330-800FA2687930}"/>
    <cellStyle name="Normal 8 2 2 4 2 3 3" xfId="22154" xr:uid="{7E9129C7-4646-43A4-92E9-0B5D88ECD8DE}"/>
    <cellStyle name="Normal 8 2 2 4 2 4" xfId="9490" xr:uid="{59FCAA6C-0E8E-4B19-8EFB-853733052F88}"/>
    <cellStyle name="Normal 8 2 2 4 2 5" xfId="17935" xr:uid="{304D70A0-5E35-4475-9462-EE33DFE7B01C}"/>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B301A136-DC4C-4597-98DC-CFDA1E99F8CC}"/>
    <cellStyle name="Normal 8 2 2 4 3 2 2 3" xfId="24712" xr:uid="{3A2F826F-2603-4B4D-86E4-B8F217FD5A0F}"/>
    <cellStyle name="Normal 8 2 2 4 3 2 3" xfId="12048" xr:uid="{AC249594-4E70-4F32-BE4C-A87511557B67}"/>
    <cellStyle name="Normal 8 2 2 4 3 2 4" xfId="20495" xr:uid="{FFFF8CA1-2DF3-4447-A790-531E5E5A4136}"/>
    <cellStyle name="Normal 8 2 2 4 3 3" xfId="5679" xr:uid="{00000000-0005-0000-0000-0000751C0000}"/>
    <cellStyle name="Normal 8 2 2 4 3 3 2" xfId="14121" xr:uid="{9B13F095-99D3-438E-B499-2832C91248D5}"/>
    <cellStyle name="Normal 8 2 2 4 3 3 3" xfId="22567" xr:uid="{E9AFD262-9C74-40F4-8935-A7D6D4C50C68}"/>
    <cellStyle name="Normal 8 2 2 4 3 4" xfId="9903" xr:uid="{8C18E694-608B-4CEF-A708-8C8F6B2EC116}"/>
    <cellStyle name="Normal 8 2 2 4 3 5" xfId="18348" xr:uid="{5F7C2E28-9E76-43F4-BB37-B000F9BD54F2}"/>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48A8F673-67A0-4504-80B6-1B4277F481F5}"/>
    <cellStyle name="Normal 8 2 2 4 4 2 2 3" xfId="25125" xr:uid="{0CC6501A-EAA0-4103-8D6B-2BFD1E7DC62B}"/>
    <cellStyle name="Normal 8 2 2 4 4 2 3" xfId="12461" xr:uid="{AB78D418-BA2E-4E4D-95C0-C86033E7E467}"/>
    <cellStyle name="Normal 8 2 2 4 4 2 4" xfId="20908" xr:uid="{1F9C1799-321C-4A8E-8942-69909DD0B524}"/>
    <cellStyle name="Normal 8 2 2 4 4 3" xfId="6092" xr:uid="{00000000-0005-0000-0000-0000791C0000}"/>
    <cellStyle name="Normal 8 2 2 4 4 3 2" xfId="14534" xr:uid="{1C45FB67-62AB-431F-B6F1-CE07DCC2D05B}"/>
    <cellStyle name="Normal 8 2 2 4 4 3 3" xfId="22980" xr:uid="{0B1DC890-6D13-40EF-BCA3-687A8D3B65B1}"/>
    <cellStyle name="Normal 8 2 2 4 4 4" xfId="10316" xr:uid="{78FF8329-CD86-4902-9963-F510DDEDB42D}"/>
    <cellStyle name="Normal 8 2 2 4 4 5" xfId="18761" xr:uid="{6D1D2590-700D-4AC1-9DCA-8A432BAA6C79}"/>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F05BEE0B-235B-4D9A-9566-33994A0BC89F}"/>
    <cellStyle name="Normal 8 2 2 4 5 2 2 3" xfId="25538" xr:uid="{CE932591-1E83-4FDD-B56F-12AB0D7218CB}"/>
    <cellStyle name="Normal 8 2 2 4 5 2 3" xfId="12874" xr:uid="{450F9628-0425-41ED-884E-86C557F147CB}"/>
    <cellStyle name="Normal 8 2 2 4 5 2 4" xfId="21321" xr:uid="{6C8C6D82-7AC1-4BD5-9FF3-589DBF913A54}"/>
    <cellStyle name="Normal 8 2 2 4 5 3" xfId="6505" xr:uid="{00000000-0005-0000-0000-00007D1C0000}"/>
    <cellStyle name="Normal 8 2 2 4 5 3 2" xfId="14947" xr:uid="{778620CC-4AD9-4DB7-88BB-7EC5CDC3DA25}"/>
    <cellStyle name="Normal 8 2 2 4 5 3 3" xfId="23393" xr:uid="{EC70E8E7-794B-40BF-9179-F3A63C3DE8E9}"/>
    <cellStyle name="Normal 8 2 2 4 5 4" xfId="10729" xr:uid="{9564FF00-8CF5-4CCC-9B1E-F0DDF6F9A7FA}"/>
    <cellStyle name="Normal 8 2 2 4 5 5" xfId="19174" xr:uid="{896CB6BA-1644-4884-8241-3C17B0B58C36}"/>
    <cellStyle name="Normal 8 2 2 4 6" xfId="2634" xr:uid="{00000000-0005-0000-0000-00007E1C0000}"/>
    <cellStyle name="Normal 8 2 2 4 6 2" xfId="6918" xr:uid="{00000000-0005-0000-0000-00007F1C0000}"/>
    <cellStyle name="Normal 8 2 2 4 6 2 2" xfId="15360" xr:uid="{69364B90-B7C7-4C36-9498-A20D6AFDC378}"/>
    <cellStyle name="Normal 8 2 2 4 6 2 3" xfId="23806" xr:uid="{2BCC775F-3CF2-461F-BEE7-32F0863B06EB}"/>
    <cellStyle name="Normal 8 2 2 4 6 3" xfId="11142" xr:uid="{E6908607-6D5C-49C2-83DD-62D02833D97B}"/>
    <cellStyle name="Normal 8 2 2 4 6 4" xfId="19587" xr:uid="{31A18D3E-0E66-4DD0-ABB4-59280C158E6B}"/>
    <cellStyle name="Normal 8 2 2 4 7" xfId="4853" xr:uid="{00000000-0005-0000-0000-0000801C0000}"/>
    <cellStyle name="Normal 8 2 2 4 7 2" xfId="13295" xr:uid="{18E4C24B-D4A4-48E0-BDFB-D771A1887D3D}"/>
    <cellStyle name="Normal 8 2 2 4 7 3" xfId="21741" xr:uid="{3EE6CFD7-B121-43F0-A3D4-6F267B9F6E1F}"/>
    <cellStyle name="Normal 8 2 2 4 8" xfId="9077" xr:uid="{6B585070-E4F9-4E08-BDE4-E36639420C06}"/>
    <cellStyle name="Normal 8 2 2 4 9" xfId="17522" xr:uid="{4725E8D0-8BAE-4606-A5C6-14A73183AC73}"/>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5B03EC37-AD3B-4829-A198-5DEA40627D32}"/>
    <cellStyle name="Normal 8 2 2 5 2 2 3" xfId="24292" xr:uid="{0F893A6B-D257-4B95-9FBB-08FE4A40A793}"/>
    <cellStyle name="Normal 8 2 2 5 2 3" xfId="11628" xr:uid="{C1E97AC2-A588-4371-BC75-D5225E21671A}"/>
    <cellStyle name="Normal 8 2 2 5 2 4" xfId="20075" xr:uid="{34185B80-7E64-4F7C-8C85-A26FA1671FC3}"/>
    <cellStyle name="Normal 8 2 2 5 3" xfId="5259" xr:uid="{00000000-0005-0000-0000-0000841C0000}"/>
    <cellStyle name="Normal 8 2 2 5 3 2" xfId="13701" xr:uid="{8E1168B8-75D4-467F-9E86-CF0FDBD5A45C}"/>
    <cellStyle name="Normal 8 2 2 5 3 3" xfId="22147" xr:uid="{89AF7A8D-4A30-435D-B2A0-9D8FED26A940}"/>
    <cellStyle name="Normal 8 2 2 5 4" xfId="9483" xr:uid="{4F4EDADC-594B-44A2-8DF9-18FB9BB97CE9}"/>
    <cellStyle name="Normal 8 2 2 5 5" xfId="17928" xr:uid="{A98F9B30-1AE5-4116-9C68-247B9B80BE96}"/>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16DD365A-38FC-4E50-B92A-14D7B992587E}"/>
    <cellStyle name="Normal 8 2 2 6 2 2 3" xfId="24705" xr:uid="{9165E82F-166B-4A94-9B54-8E23FF95871A}"/>
    <cellStyle name="Normal 8 2 2 6 2 3" xfId="12041" xr:uid="{8E19E4C1-5810-4E31-A490-C0D293952B08}"/>
    <cellStyle name="Normal 8 2 2 6 2 4" xfId="20488" xr:uid="{12BA7EA1-B10F-429A-8C5A-F69F9FEEC7D3}"/>
    <cellStyle name="Normal 8 2 2 6 3" xfId="5672" xr:uid="{00000000-0005-0000-0000-0000881C0000}"/>
    <cellStyle name="Normal 8 2 2 6 3 2" xfId="14114" xr:uid="{2C2EE4ED-B721-4767-99F4-958E2253CE58}"/>
    <cellStyle name="Normal 8 2 2 6 3 3" xfId="22560" xr:uid="{E937DD41-E097-4210-9127-C52BA8E22114}"/>
    <cellStyle name="Normal 8 2 2 6 4" xfId="9896" xr:uid="{A33B2F22-5520-4712-8667-189A3ED03A71}"/>
    <cellStyle name="Normal 8 2 2 6 5" xfId="18341" xr:uid="{1160D4FE-19F3-4417-B493-0B5FE6605096}"/>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E4B23DB5-6809-482B-BF0C-579D666D48E1}"/>
    <cellStyle name="Normal 8 2 2 7 2 2 3" xfId="25118" xr:uid="{7D2BB5B0-AE39-407D-9E13-5B9DE4FCE1A0}"/>
    <cellStyle name="Normal 8 2 2 7 2 3" xfId="12454" xr:uid="{3F2FFE86-9852-4A2C-8CE8-5D5D4D48C4F1}"/>
    <cellStyle name="Normal 8 2 2 7 2 4" xfId="20901" xr:uid="{4CE88093-103F-45D5-AB1A-4FFE78174203}"/>
    <cellStyle name="Normal 8 2 2 7 3" xfId="6085" xr:uid="{00000000-0005-0000-0000-00008C1C0000}"/>
    <cellStyle name="Normal 8 2 2 7 3 2" xfId="14527" xr:uid="{56EFF357-A451-4064-8F58-9C7A763D3DDE}"/>
    <cellStyle name="Normal 8 2 2 7 3 3" xfId="22973" xr:uid="{01F51895-506D-4BA6-AC08-813F61E9C457}"/>
    <cellStyle name="Normal 8 2 2 7 4" xfId="10309" xr:uid="{251A1F34-D25F-4568-9C3B-4805BE14D934}"/>
    <cellStyle name="Normal 8 2 2 7 5" xfId="18754" xr:uid="{9CC97C9B-A494-4279-B378-3A5EDC7F9607}"/>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46470A95-C476-4669-A876-5BD0ED4F7DFC}"/>
    <cellStyle name="Normal 8 2 2 8 2 2 3" xfId="25531" xr:uid="{BBAFECDA-61B0-4BBE-8896-AFC86A14B1EA}"/>
    <cellStyle name="Normal 8 2 2 8 2 3" xfId="12867" xr:uid="{6BC11210-A5F9-4760-B152-21AE5761C9D8}"/>
    <cellStyle name="Normal 8 2 2 8 2 4" xfId="21314" xr:uid="{BA3194D7-6A2D-40A3-8FB7-B877AD7F045B}"/>
    <cellStyle name="Normal 8 2 2 8 3" xfId="6498" xr:uid="{00000000-0005-0000-0000-0000901C0000}"/>
    <cellStyle name="Normal 8 2 2 8 3 2" xfId="14940" xr:uid="{68D2569E-8B1C-4C19-8A1A-09AFEAA39EF2}"/>
    <cellStyle name="Normal 8 2 2 8 3 3" xfId="23386" xr:uid="{8F6B9347-49B4-4B83-A7F7-8B50EE5E71CE}"/>
    <cellStyle name="Normal 8 2 2 8 4" xfId="10722" xr:uid="{406BAB3A-238F-413B-A53C-F1721AC8721E}"/>
    <cellStyle name="Normal 8 2 2 8 5" xfId="19167" xr:uid="{466CC616-A750-4F0B-B01E-D9B569AA3E81}"/>
    <cellStyle name="Normal 8 2 2 9" xfId="2627" xr:uid="{00000000-0005-0000-0000-0000911C0000}"/>
    <cellStyle name="Normal 8 2 2 9 2" xfId="6911" xr:uid="{00000000-0005-0000-0000-0000921C0000}"/>
    <cellStyle name="Normal 8 2 2 9 2 2" xfId="15353" xr:uid="{BB4470D3-3250-4EA7-B693-CA2A234E87AB}"/>
    <cellStyle name="Normal 8 2 2 9 2 3" xfId="23799" xr:uid="{DE724C2F-907E-4702-B1EB-0F916D0262D6}"/>
    <cellStyle name="Normal 8 2 2 9 3" xfId="11135" xr:uid="{5DAED33E-C954-4348-B821-5CE163D76535}"/>
    <cellStyle name="Normal 8 2 2 9 4" xfId="19580" xr:uid="{38008D5F-B5F2-4FA0-9139-0546486D3D55}"/>
    <cellStyle name="Normal 8 2 3" xfId="488" xr:uid="{00000000-0005-0000-0000-0000931C0000}"/>
    <cellStyle name="Normal 8 2 3 10" xfId="9078" xr:uid="{B38D17E1-69F7-4F05-AEAC-1F3C84419CA3}"/>
    <cellStyle name="Normal 8 2 3 11" xfId="17523" xr:uid="{C17F0CC5-C0FA-4992-8D75-DFD24A2F7D11}"/>
    <cellStyle name="Normal 8 2 3 2" xfId="489" xr:uid="{00000000-0005-0000-0000-0000941C0000}"/>
    <cellStyle name="Normal 8 2 3 2 10" xfId="17524" xr:uid="{B3587F01-ACB3-4A7B-8024-D69726A6DF48}"/>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535EBF96-AA16-45CF-99F4-FB7C9197214A}"/>
    <cellStyle name="Normal 8 2 3 2 2 2 2 2 3" xfId="24302" xr:uid="{D933AE84-485A-4879-97B6-8F04966B5564}"/>
    <cellStyle name="Normal 8 2 3 2 2 2 2 3" xfId="11638" xr:uid="{CFC3D7C8-0011-4DD5-9AEE-4FBC42874129}"/>
    <cellStyle name="Normal 8 2 3 2 2 2 2 4" xfId="20085" xr:uid="{F782DD8F-B6C4-4DA1-A4C0-8ABACABEE02E}"/>
    <cellStyle name="Normal 8 2 3 2 2 2 3" xfId="5269" xr:uid="{00000000-0005-0000-0000-0000991C0000}"/>
    <cellStyle name="Normal 8 2 3 2 2 2 3 2" xfId="13711" xr:uid="{B9DB88B5-80DB-417A-98F3-EAA73234031B}"/>
    <cellStyle name="Normal 8 2 3 2 2 2 3 3" xfId="22157" xr:uid="{13B3C2BD-BCCE-4259-B04E-9D120BDA5DD5}"/>
    <cellStyle name="Normal 8 2 3 2 2 2 4" xfId="9493" xr:uid="{F6701D51-C547-456A-9374-F14679806E50}"/>
    <cellStyle name="Normal 8 2 3 2 2 2 5" xfId="17938" xr:uid="{0C2F4035-AB63-482F-B22F-65C9399DBFB6}"/>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AAA4CDB8-4DB0-413F-A0C8-A301ED237F55}"/>
    <cellStyle name="Normal 8 2 3 2 2 3 2 2 3" xfId="24715" xr:uid="{6F6E06D3-977F-41A3-A5AA-08C63B28D359}"/>
    <cellStyle name="Normal 8 2 3 2 2 3 2 3" xfId="12051" xr:uid="{29C92526-4A67-4335-8332-515E7B3290B1}"/>
    <cellStyle name="Normal 8 2 3 2 2 3 2 4" xfId="20498" xr:uid="{891764E4-C06D-4458-AF91-EDD5E48BA438}"/>
    <cellStyle name="Normal 8 2 3 2 2 3 3" xfId="5682" xr:uid="{00000000-0005-0000-0000-00009D1C0000}"/>
    <cellStyle name="Normal 8 2 3 2 2 3 3 2" xfId="14124" xr:uid="{82FB2DEB-74C1-4522-A74C-AA5238AC385A}"/>
    <cellStyle name="Normal 8 2 3 2 2 3 3 3" xfId="22570" xr:uid="{8C9FB236-9BA6-4547-B766-D7E9AB46F63A}"/>
    <cellStyle name="Normal 8 2 3 2 2 3 4" xfId="9906" xr:uid="{A950690D-78F6-4C8F-9979-C1C3D24823C9}"/>
    <cellStyle name="Normal 8 2 3 2 2 3 5" xfId="18351" xr:uid="{79D9AB6A-8FD7-4AC7-991E-3361FD21EA8C}"/>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41429561-DE92-45CC-967A-BB3D125217C9}"/>
    <cellStyle name="Normal 8 2 3 2 2 4 2 2 3" xfId="25128" xr:uid="{C158299D-F013-464F-AC22-C7AC00C732F3}"/>
    <cellStyle name="Normal 8 2 3 2 2 4 2 3" xfId="12464" xr:uid="{ED1114A4-F115-41B6-96DB-E171A86421D0}"/>
    <cellStyle name="Normal 8 2 3 2 2 4 2 4" xfId="20911" xr:uid="{C5401F48-1EB2-4CB8-94C6-1DE3217A590A}"/>
    <cellStyle name="Normal 8 2 3 2 2 4 3" xfId="6095" xr:uid="{00000000-0005-0000-0000-0000A11C0000}"/>
    <cellStyle name="Normal 8 2 3 2 2 4 3 2" xfId="14537" xr:uid="{19A84F94-E2F5-4167-8048-E56DE7A74894}"/>
    <cellStyle name="Normal 8 2 3 2 2 4 3 3" xfId="22983" xr:uid="{3A6C845F-D970-4357-A7C4-1605F2598ABE}"/>
    <cellStyle name="Normal 8 2 3 2 2 4 4" xfId="10319" xr:uid="{10AE7DF6-F227-4F01-9A62-92E724382409}"/>
    <cellStyle name="Normal 8 2 3 2 2 4 5" xfId="18764" xr:uid="{F2FEC8B0-3411-46E5-81D3-B061B8F05945}"/>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415FCA8A-1498-4CFC-B740-4635F40CBB75}"/>
    <cellStyle name="Normal 8 2 3 2 2 5 2 2 3" xfId="25541" xr:uid="{B653DC80-DB0E-4BEB-BB00-977CDA835A37}"/>
    <cellStyle name="Normal 8 2 3 2 2 5 2 3" xfId="12877" xr:uid="{AC9DAD93-1AEB-40FC-BEB5-937C98016BA8}"/>
    <cellStyle name="Normal 8 2 3 2 2 5 2 4" xfId="21324" xr:uid="{CCE47D3F-C2D9-42CC-949E-CE91C6773165}"/>
    <cellStyle name="Normal 8 2 3 2 2 5 3" xfId="6508" xr:uid="{00000000-0005-0000-0000-0000A51C0000}"/>
    <cellStyle name="Normal 8 2 3 2 2 5 3 2" xfId="14950" xr:uid="{24A3D74B-2503-4B89-89E1-D5A617983071}"/>
    <cellStyle name="Normal 8 2 3 2 2 5 3 3" xfId="23396" xr:uid="{AB043D02-4744-4B30-A5E4-7AEDE693817E}"/>
    <cellStyle name="Normal 8 2 3 2 2 5 4" xfId="10732" xr:uid="{2B52346F-A8F2-4FA6-94BE-C57C1F847E10}"/>
    <cellStyle name="Normal 8 2 3 2 2 5 5" xfId="19177" xr:uid="{B9CD36EB-3F86-4E3E-B3A9-9E94CA73E911}"/>
    <cellStyle name="Normal 8 2 3 2 2 6" xfId="2637" xr:uid="{00000000-0005-0000-0000-0000A61C0000}"/>
    <cellStyle name="Normal 8 2 3 2 2 6 2" xfId="6921" xr:uid="{00000000-0005-0000-0000-0000A71C0000}"/>
    <cellStyle name="Normal 8 2 3 2 2 6 2 2" xfId="15363" xr:uid="{6F0FB86B-F9B8-467F-BF87-B1DFC56784E4}"/>
    <cellStyle name="Normal 8 2 3 2 2 6 2 3" xfId="23809" xr:uid="{55F884BB-2EAC-43FE-8DC4-31EADA03BDD6}"/>
    <cellStyle name="Normal 8 2 3 2 2 6 3" xfId="11145" xr:uid="{FC694F18-078E-4A90-BA29-271ED7E066DE}"/>
    <cellStyle name="Normal 8 2 3 2 2 6 4" xfId="19590" xr:uid="{5F913FEC-F5CD-483F-8139-2B372871AB14}"/>
    <cellStyle name="Normal 8 2 3 2 2 7" xfId="4856" xr:uid="{00000000-0005-0000-0000-0000A81C0000}"/>
    <cellStyle name="Normal 8 2 3 2 2 7 2" xfId="13298" xr:uid="{FE2C7A2B-E5BA-48E3-BA18-91E49F1231E2}"/>
    <cellStyle name="Normal 8 2 3 2 2 7 3" xfId="21744" xr:uid="{48F73D7C-91E5-434F-80F5-E866215968F1}"/>
    <cellStyle name="Normal 8 2 3 2 2 8" xfId="9080" xr:uid="{E5943426-D4B4-42A7-AEDA-78944D9261F1}"/>
    <cellStyle name="Normal 8 2 3 2 2 9" xfId="17525" xr:uid="{CF3DE325-C48F-4732-A2DB-3F65AE8BFC4D}"/>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194DFDF7-8A7E-43A2-809C-AA6255AA16A1}"/>
    <cellStyle name="Normal 8 2 3 2 3 2 2 3" xfId="24301" xr:uid="{FEBB9C13-F5DF-4B7D-BF28-1F526F222F95}"/>
    <cellStyle name="Normal 8 2 3 2 3 2 3" xfId="11637" xr:uid="{C4DE3567-CF6D-43C5-A29A-38CD59743DB7}"/>
    <cellStyle name="Normal 8 2 3 2 3 2 4" xfId="20084" xr:uid="{ACE21A04-1EC7-4698-95E4-E3C902BF0565}"/>
    <cellStyle name="Normal 8 2 3 2 3 3" xfId="5268" xr:uid="{00000000-0005-0000-0000-0000AC1C0000}"/>
    <cellStyle name="Normal 8 2 3 2 3 3 2" xfId="13710" xr:uid="{EDDD7F31-1E53-4CBF-8220-975EC98386D5}"/>
    <cellStyle name="Normal 8 2 3 2 3 3 3" xfId="22156" xr:uid="{AB0CFD1B-C244-420F-BACE-D3F374126281}"/>
    <cellStyle name="Normal 8 2 3 2 3 4" xfId="9492" xr:uid="{554D5C0B-6384-45C8-8FC3-2EB51C77FC19}"/>
    <cellStyle name="Normal 8 2 3 2 3 5" xfId="17937" xr:uid="{42E89272-16DF-4CC2-9C1F-5EB37CD43077}"/>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5FFF74CF-3DDB-482A-9CAA-D2F91DE77231}"/>
    <cellStyle name="Normal 8 2 3 2 4 2 2 3" xfId="24714" xr:uid="{1636BE1D-A622-47D7-A557-DE74688F3D8C}"/>
    <cellStyle name="Normal 8 2 3 2 4 2 3" xfId="12050" xr:uid="{D4539702-72E0-4990-A21E-432FB1F83D2E}"/>
    <cellStyle name="Normal 8 2 3 2 4 2 4" xfId="20497" xr:uid="{EA869BC6-6CE5-4B1D-A967-A3DACEF0A4FE}"/>
    <cellStyle name="Normal 8 2 3 2 4 3" xfId="5681" xr:uid="{00000000-0005-0000-0000-0000B01C0000}"/>
    <cellStyle name="Normal 8 2 3 2 4 3 2" xfId="14123" xr:uid="{2426B263-A946-439C-A2F7-3EFA6E5F3913}"/>
    <cellStyle name="Normal 8 2 3 2 4 3 3" xfId="22569" xr:uid="{87A61C7A-05DE-4510-904D-EBDEF879D5DF}"/>
    <cellStyle name="Normal 8 2 3 2 4 4" xfId="9905" xr:uid="{86E8F5AD-6EA3-48C2-AF1C-500230B67F0A}"/>
    <cellStyle name="Normal 8 2 3 2 4 5" xfId="18350" xr:uid="{9FBFDFB0-410E-4032-91A1-7889E7BE8AA3}"/>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F1983ABD-CC1D-4F49-BD66-E0E450ED3750}"/>
    <cellStyle name="Normal 8 2 3 2 5 2 2 3" xfId="25127" xr:uid="{4F11DF5C-C89C-4E80-94BC-F28B37F0C210}"/>
    <cellStyle name="Normal 8 2 3 2 5 2 3" xfId="12463" xr:uid="{C4BDCA98-97EC-4065-8056-FCD3F92814C6}"/>
    <cellStyle name="Normal 8 2 3 2 5 2 4" xfId="20910" xr:uid="{CCF4CD1C-2064-44AD-8E88-775273C78DAA}"/>
    <cellStyle name="Normal 8 2 3 2 5 3" xfId="6094" xr:uid="{00000000-0005-0000-0000-0000B41C0000}"/>
    <cellStyle name="Normal 8 2 3 2 5 3 2" xfId="14536" xr:uid="{F4B05E52-D305-4B1E-820C-946498978EC1}"/>
    <cellStyle name="Normal 8 2 3 2 5 3 3" xfId="22982" xr:uid="{AA82057F-B7DD-4FFC-9B95-E92D5B37342A}"/>
    <cellStyle name="Normal 8 2 3 2 5 4" xfId="10318" xr:uid="{BFE4CE3B-761A-4BDD-A606-C9721029F011}"/>
    <cellStyle name="Normal 8 2 3 2 5 5" xfId="18763" xr:uid="{3873D2DD-CFE3-4938-A3C4-E219091D805C}"/>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26203924-2A34-432A-8C30-B14628058ED0}"/>
    <cellStyle name="Normal 8 2 3 2 6 2 2 3" xfId="25540" xr:uid="{3FF7B004-CF6D-4795-8A62-18E07858BC8F}"/>
    <cellStyle name="Normal 8 2 3 2 6 2 3" xfId="12876" xr:uid="{AB0DAB46-696C-426D-A39B-7BBC84A81123}"/>
    <cellStyle name="Normal 8 2 3 2 6 2 4" xfId="21323" xr:uid="{8A37782E-1CDA-4D9F-B96C-D01906EFDAE6}"/>
    <cellStyle name="Normal 8 2 3 2 6 3" xfId="6507" xr:uid="{00000000-0005-0000-0000-0000B81C0000}"/>
    <cellStyle name="Normal 8 2 3 2 6 3 2" xfId="14949" xr:uid="{E34036C1-FDEB-43A9-997E-5C70E94F475C}"/>
    <cellStyle name="Normal 8 2 3 2 6 3 3" xfId="23395" xr:uid="{9A65F59B-3D90-4C17-A2E6-0E0ECBEA4079}"/>
    <cellStyle name="Normal 8 2 3 2 6 4" xfId="10731" xr:uid="{6495D0DB-A0FB-4737-B05B-A957EC6D3925}"/>
    <cellStyle name="Normal 8 2 3 2 6 5" xfId="19176" xr:uid="{FF125F89-DBA2-40DF-ADE8-E54EFDB188EF}"/>
    <cellStyle name="Normal 8 2 3 2 7" xfId="2636" xr:uid="{00000000-0005-0000-0000-0000B91C0000}"/>
    <cellStyle name="Normal 8 2 3 2 7 2" xfId="6920" xr:uid="{00000000-0005-0000-0000-0000BA1C0000}"/>
    <cellStyle name="Normal 8 2 3 2 7 2 2" xfId="15362" xr:uid="{2D57BCB2-2656-4C09-B15B-C3D4993D0F12}"/>
    <cellStyle name="Normal 8 2 3 2 7 2 3" xfId="23808" xr:uid="{BA7887EF-C6C4-41F8-96AC-7A5B45E3B37E}"/>
    <cellStyle name="Normal 8 2 3 2 7 3" xfId="11144" xr:uid="{5E06A670-D7E5-4C62-A0B5-94DFE3B7A793}"/>
    <cellStyle name="Normal 8 2 3 2 7 4" xfId="19589" xr:uid="{F8684F99-48FB-4FF6-8D8B-78658BC99551}"/>
    <cellStyle name="Normal 8 2 3 2 8" xfId="4855" xr:uid="{00000000-0005-0000-0000-0000BB1C0000}"/>
    <cellStyle name="Normal 8 2 3 2 8 2" xfId="13297" xr:uid="{9835AFAA-F5AC-4270-9F6E-E128AFA14BAE}"/>
    <cellStyle name="Normal 8 2 3 2 8 3" xfId="21743" xr:uid="{4C756444-1CE7-498C-91AB-3FC524C1E0C0}"/>
    <cellStyle name="Normal 8 2 3 2 9" xfId="9079" xr:uid="{636DBCBB-5ADA-442C-A421-CE537B619395}"/>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F7802BC7-A693-4F7A-9EE5-9D7BE0F82916}"/>
    <cellStyle name="Normal 8 2 3 3 2 2 2 3" xfId="24303" xr:uid="{4A47A275-0FC4-4675-A7A0-C00532AD4128}"/>
    <cellStyle name="Normal 8 2 3 3 2 2 3" xfId="11639" xr:uid="{481C6085-C187-4CC0-A84C-515A86C85687}"/>
    <cellStyle name="Normal 8 2 3 3 2 2 4" xfId="20086" xr:uid="{0960C3A0-E25E-426F-846C-8F27B162A3A0}"/>
    <cellStyle name="Normal 8 2 3 3 2 3" xfId="5270" xr:uid="{00000000-0005-0000-0000-0000C01C0000}"/>
    <cellStyle name="Normal 8 2 3 3 2 3 2" xfId="13712" xr:uid="{05FDFD10-CEEF-4E4A-B27D-0E85F3F3C8FE}"/>
    <cellStyle name="Normal 8 2 3 3 2 3 3" xfId="22158" xr:uid="{AC00196E-6C2E-472D-92A1-C3ECE265D077}"/>
    <cellStyle name="Normal 8 2 3 3 2 4" xfId="9494" xr:uid="{A2355608-27D6-4EB7-B3B0-C81CB50D6817}"/>
    <cellStyle name="Normal 8 2 3 3 2 5" xfId="17939" xr:uid="{E6F09517-ACC8-4E15-A558-6AC6AF119C36}"/>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2538EF17-DC33-4C57-A5C6-0BD2D258345C}"/>
    <cellStyle name="Normal 8 2 3 3 3 2 2 3" xfId="24716" xr:uid="{811E1A72-D0BC-4822-805C-65E6D86A952B}"/>
    <cellStyle name="Normal 8 2 3 3 3 2 3" xfId="12052" xr:uid="{F5A87302-41BE-4EDB-9DB6-82FD6754364F}"/>
    <cellStyle name="Normal 8 2 3 3 3 2 4" xfId="20499" xr:uid="{39D54396-B8FE-42FC-BBDE-E59CE99951DA}"/>
    <cellStyle name="Normal 8 2 3 3 3 3" xfId="5683" xr:uid="{00000000-0005-0000-0000-0000C41C0000}"/>
    <cellStyle name="Normal 8 2 3 3 3 3 2" xfId="14125" xr:uid="{490CE2D7-5CAF-44A8-862C-755B0E855E01}"/>
    <cellStyle name="Normal 8 2 3 3 3 3 3" xfId="22571" xr:uid="{58E03321-1712-4E05-8831-6D1F4FAF9FBE}"/>
    <cellStyle name="Normal 8 2 3 3 3 4" xfId="9907" xr:uid="{BF6F43D1-A2AC-4389-BE6C-AF41C65F8340}"/>
    <cellStyle name="Normal 8 2 3 3 3 5" xfId="18352" xr:uid="{B0F0664E-4F16-4FF3-966A-12C0BF7AAFFA}"/>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52BC7CA4-7226-4D11-A8AA-AFFD64FF54F2}"/>
    <cellStyle name="Normal 8 2 3 3 4 2 2 3" xfId="25129" xr:uid="{BA8BBA75-4CAC-4143-8D05-76AF26AD47E2}"/>
    <cellStyle name="Normal 8 2 3 3 4 2 3" xfId="12465" xr:uid="{434300F9-785D-455D-A39C-6B1FE15D7CB1}"/>
    <cellStyle name="Normal 8 2 3 3 4 2 4" xfId="20912" xr:uid="{3FE9B703-FCF7-47D9-AC12-3647C1EA2970}"/>
    <cellStyle name="Normal 8 2 3 3 4 3" xfId="6096" xr:uid="{00000000-0005-0000-0000-0000C81C0000}"/>
    <cellStyle name="Normal 8 2 3 3 4 3 2" xfId="14538" xr:uid="{7573A07F-BFC6-41CC-916C-99361AB68ACF}"/>
    <cellStyle name="Normal 8 2 3 3 4 3 3" xfId="22984" xr:uid="{E6BE6BF9-E357-4F53-93C5-A626393EE82C}"/>
    <cellStyle name="Normal 8 2 3 3 4 4" xfId="10320" xr:uid="{DE0AA03C-AFC1-44B2-8099-6DDE800F1CE9}"/>
    <cellStyle name="Normal 8 2 3 3 4 5" xfId="18765" xr:uid="{FC8D9AFB-0A7A-46C1-B060-A1B477D2E740}"/>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2AFDB66B-D491-4DDA-A33C-6880C74D4CD6}"/>
    <cellStyle name="Normal 8 2 3 3 5 2 2 3" xfId="25542" xr:uid="{0F03E062-227F-4502-8DEF-01E1EA0C1D8F}"/>
    <cellStyle name="Normal 8 2 3 3 5 2 3" xfId="12878" xr:uid="{C9DCA7F6-076D-4360-88F9-58146EA431C2}"/>
    <cellStyle name="Normal 8 2 3 3 5 2 4" xfId="21325" xr:uid="{BC4A0A0F-8E35-48E1-9D44-D5A4E6D8F791}"/>
    <cellStyle name="Normal 8 2 3 3 5 3" xfId="6509" xr:uid="{00000000-0005-0000-0000-0000CC1C0000}"/>
    <cellStyle name="Normal 8 2 3 3 5 3 2" xfId="14951" xr:uid="{DDC4CD92-4C6D-4547-9BA7-1565F4FA02B9}"/>
    <cellStyle name="Normal 8 2 3 3 5 3 3" xfId="23397" xr:uid="{3BFAB1A2-CF16-434D-A37C-32F0A9DDBB7C}"/>
    <cellStyle name="Normal 8 2 3 3 5 4" xfId="10733" xr:uid="{58E4BE5C-B8A3-42EB-B5D6-C901757348CE}"/>
    <cellStyle name="Normal 8 2 3 3 5 5" xfId="19178" xr:uid="{20047ED0-A550-424E-9B61-D43561C9B68D}"/>
    <cellStyle name="Normal 8 2 3 3 6" xfId="2638" xr:uid="{00000000-0005-0000-0000-0000CD1C0000}"/>
    <cellStyle name="Normal 8 2 3 3 6 2" xfId="6922" xr:uid="{00000000-0005-0000-0000-0000CE1C0000}"/>
    <cellStyle name="Normal 8 2 3 3 6 2 2" xfId="15364" xr:uid="{ABBC163E-2071-42C0-891B-8F0A3B7A4811}"/>
    <cellStyle name="Normal 8 2 3 3 6 2 3" xfId="23810" xr:uid="{1D484B4F-D663-4C23-A297-63EBC1AF4D52}"/>
    <cellStyle name="Normal 8 2 3 3 6 3" xfId="11146" xr:uid="{3B9E1AF1-F42E-4A7E-A41B-8BD17D407D78}"/>
    <cellStyle name="Normal 8 2 3 3 6 4" xfId="19591" xr:uid="{691823D2-30CF-45F6-ADA3-F4C12E3BFC85}"/>
    <cellStyle name="Normal 8 2 3 3 7" xfId="4857" xr:uid="{00000000-0005-0000-0000-0000CF1C0000}"/>
    <cellStyle name="Normal 8 2 3 3 7 2" xfId="13299" xr:uid="{CCFFCBEA-F68A-4480-8D8B-43C34B82876A}"/>
    <cellStyle name="Normal 8 2 3 3 7 3" xfId="21745" xr:uid="{B301ED1F-051C-4637-868D-6CA03A6653B4}"/>
    <cellStyle name="Normal 8 2 3 3 8" xfId="9081" xr:uid="{2F5C447A-FEBB-45D9-9C80-B4CEA5215DB1}"/>
    <cellStyle name="Normal 8 2 3 3 9" xfId="17526" xr:uid="{B1A3536B-D506-40F5-9227-8D6737632B13}"/>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46D3AC38-F543-4D52-B285-4A1440F82E33}"/>
    <cellStyle name="Normal 8 2 3 4 2 2 3" xfId="24300" xr:uid="{24884F0D-BADE-434A-8986-689AF383B73B}"/>
    <cellStyle name="Normal 8 2 3 4 2 3" xfId="11636" xr:uid="{AD293BB0-774E-4809-8A91-2881597C247C}"/>
    <cellStyle name="Normal 8 2 3 4 2 4" xfId="20083" xr:uid="{22CCFD06-FE35-4FD9-8DA5-296CA5134A04}"/>
    <cellStyle name="Normal 8 2 3 4 3" xfId="5267" xr:uid="{00000000-0005-0000-0000-0000D31C0000}"/>
    <cellStyle name="Normal 8 2 3 4 3 2" xfId="13709" xr:uid="{FEB7129B-75D4-459A-9286-9327031BB1B4}"/>
    <cellStyle name="Normal 8 2 3 4 3 3" xfId="22155" xr:uid="{BD36EBDC-B5CF-49C8-84F1-53095CFE1A21}"/>
    <cellStyle name="Normal 8 2 3 4 4" xfId="9491" xr:uid="{7E0FA343-7830-4815-B282-1641DFD9618E}"/>
    <cellStyle name="Normal 8 2 3 4 5" xfId="17936" xr:uid="{59C3CE77-BB5C-4448-B502-CF77C082BBA1}"/>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6339D1ED-7528-4D36-8EA6-6DB3B7AEAC97}"/>
    <cellStyle name="Normal 8 2 3 5 2 2 3" xfId="24713" xr:uid="{CE979CFC-A0D8-4A00-B062-1F446B1C3054}"/>
    <cellStyle name="Normal 8 2 3 5 2 3" xfId="12049" xr:uid="{951BC39A-54C9-4CB9-8F3C-FC20684DDE01}"/>
    <cellStyle name="Normal 8 2 3 5 2 4" xfId="20496" xr:uid="{E969997D-435D-4CE4-87D2-5BB261F0D153}"/>
    <cellStyle name="Normal 8 2 3 5 3" xfId="5680" xr:uid="{00000000-0005-0000-0000-0000D71C0000}"/>
    <cellStyle name="Normal 8 2 3 5 3 2" xfId="14122" xr:uid="{9D0BA7C4-C523-473C-8408-C590CFD42A34}"/>
    <cellStyle name="Normal 8 2 3 5 3 3" xfId="22568" xr:uid="{9277AE98-7DBA-4B3D-8470-412B7C9762AB}"/>
    <cellStyle name="Normal 8 2 3 5 4" xfId="9904" xr:uid="{A3A8042D-C9B9-472E-B549-BF2E8FD3546B}"/>
    <cellStyle name="Normal 8 2 3 5 5" xfId="18349" xr:uid="{777F901C-B837-4BEB-8C54-9EB05EEDBC60}"/>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6C06895B-B915-40E6-96EE-CDF8DD7AC23A}"/>
    <cellStyle name="Normal 8 2 3 6 2 2 3" xfId="25126" xr:uid="{7E52B915-A20B-4007-920A-FFF6B10B32B1}"/>
    <cellStyle name="Normal 8 2 3 6 2 3" xfId="12462" xr:uid="{78CAF245-5246-4D86-80BD-ECE355FB67D0}"/>
    <cellStyle name="Normal 8 2 3 6 2 4" xfId="20909" xr:uid="{77F23E6A-988A-47AE-B3F4-355F58D3B93B}"/>
    <cellStyle name="Normal 8 2 3 6 3" xfId="6093" xr:uid="{00000000-0005-0000-0000-0000DB1C0000}"/>
    <cellStyle name="Normal 8 2 3 6 3 2" xfId="14535" xr:uid="{C810107D-CA17-420F-9F06-63D90D7138CF}"/>
    <cellStyle name="Normal 8 2 3 6 3 3" xfId="22981" xr:uid="{18F9630B-FA6C-441E-8714-097BD18EEF4E}"/>
    <cellStyle name="Normal 8 2 3 6 4" xfId="10317" xr:uid="{74B37B7B-D818-4B74-BD44-EBB8DDFC224C}"/>
    <cellStyle name="Normal 8 2 3 6 5" xfId="18762" xr:uid="{F660CF56-764A-4255-8806-3211231CD62A}"/>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D59AD505-0688-44FC-831E-3BE76B213034}"/>
    <cellStyle name="Normal 8 2 3 7 2 2 3" xfId="25539" xr:uid="{C1D20BD5-92FD-4A03-B81C-FD877CC92DB4}"/>
    <cellStyle name="Normal 8 2 3 7 2 3" xfId="12875" xr:uid="{3E47DBCF-D268-4412-887F-0DFB897731F5}"/>
    <cellStyle name="Normal 8 2 3 7 2 4" xfId="21322" xr:uid="{C3CB6399-C734-4D40-8A9C-2917632E091B}"/>
    <cellStyle name="Normal 8 2 3 7 3" xfId="6506" xr:uid="{00000000-0005-0000-0000-0000DF1C0000}"/>
    <cellStyle name="Normal 8 2 3 7 3 2" xfId="14948" xr:uid="{44ECDB90-B219-4D81-B109-4B523C0C87DC}"/>
    <cellStyle name="Normal 8 2 3 7 3 3" xfId="23394" xr:uid="{69244BAD-3D07-4B14-A604-E3B454552685}"/>
    <cellStyle name="Normal 8 2 3 7 4" xfId="10730" xr:uid="{D2D45952-E186-451E-A26C-07492825EA77}"/>
    <cellStyle name="Normal 8 2 3 7 5" xfId="19175" xr:uid="{CD2D9993-38D8-4695-B8AD-F0A9800E23AA}"/>
    <cellStyle name="Normal 8 2 3 8" xfId="2635" xr:uid="{00000000-0005-0000-0000-0000E01C0000}"/>
    <cellStyle name="Normal 8 2 3 8 2" xfId="6919" xr:uid="{00000000-0005-0000-0000-0000E11C0000}"/>
    <cellStyle name="Normal 8 2 3 8 2 2" xfId="15361" xr:uid="{39C47164-A836-4846-A0B9-F572DE7FFD36}"/>
    <cellStyle name="Normal 8 2 3 8 2 3" xfId="23807" xr:uid="{112121D6-ABB9-4DB5-8806-791FC983B437}"/>
    <cellStyle name="Normal 8 2 3 8 3" xfId="11143" xr:uid="{CBFF9762-F0C0-4320-BECB-7CAA69CB745F}"/>
    <cellStyle name="Normal 8 2 3 8 4" xfId="19588" xr:uid="{A5AFBFF4-BE6C-4D17-B00A-1ECE8CEE6FE4}"/>
    <cellStyle name="Normal 8 2 3 9" xfId="4854" xr:uid="{00000000-0005-0000-0000-0000E21C0000}"/>
    <cellStyle name="Normal 8 2 3 9 2" xfId="13296" xr:uid="{570E88D1-CB3A-46B1-8A65-C91F2B5C493A}"/>
    <cellStyle name="Normal 8 2 3 9 3" xfId="21742" xr:uid="{9A4400AB-9F14-4DC5-9C22-695F2F97EF6F}"/>
    <cellStyle name="Normal 8 2 4" xfId="492" xr:uid="{00000000-0005-0000-0000-0000E31C0000}"/>
    <cellStyle name="Normal 8 2 4 10" xfId="17527" xr:uid="{1A0A7463-FAD4-4930-A33E-FFFA9C22A973}"/>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86E01198-16B8-44A0-A510-88E8CB46187B}"/>
    <cellStyle name="Normal 8 2 4 2 2 2 2 3" xfId="24305" xr:uid="{C89B4B58-5D49-4582-B0C5-0D3C6E1A65B3}"/>
    <cellStyle name="Normal 8 2 4 2 2 2 3" xfId="11641" xr:uid="{0293A84B-E6EF-4A30-ADDC-9BC065170894}"/>
    <cellStyle name="Normal 8 2 4 2 2 2 4" xfId="20088" xr:uid="{A3EEAD13-AD65-4053-B981-29F8465927EC}"/>
    <cellStyle name="Normal 8 2 4 2 2 3" xfId="5272" xr:uid="{00000000-0005-0000-0000-0000E81C0000}"/>
    <cellStyle name="Normal 8 2 4 2 2 3 2" xfId="13714" xr:uid="{8698C219-3537-4EFF-8E1C-8196B24082CA}"/>
    <cellStyle name="Normal 8 2 4 2 2 3 3" xfId="22160" xr:uid="{460DD6AF-410F-4D67-8306-FF135A5B8EAE}"/>
    <cellStyle name="Normal 8 2 4 2 2 4" xfId="9496" xr:uid="{5270894F-6C86-4623-A71D-F62020C1A752}"/>
    <cellStyle name="Normal 8 2 4 2 2 5" xfId="17941" xr:uid="{99219E36-5624-48AA-A78D-3B649D2AE3E0}"/>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2643FA80-52C0-4FE4-9AF5-7FC3BC518E4B}"/>
    <cellStyle name="Normal 8 2 4 2 3 2 2 3" xfId="24718" xr:uid="{880E48A1-2C06-4C5F-87F5-9D0A103001C2}"/>
    <cellStyle name="Normal 8 2 4 2 3 2 3" xfId="12054" xr:uid="{610ABD65-555F-49C3-85B2-F08DEB541F33}"/>
    <cellStyle name="Normal 8 2 4 2 3 2 4" xfId="20501" xr:uid="{58FB3B15-56B6-4356-B2B1-160C2AC1FDF6}"/>
    <cellStyle name="Normal 8 2 4 2 3 3" xfId="5685" xr:uid="{00000000-0005-0000-0000-0000EC1C0000}"/>
    <cellStyle name="Normal 8 2 4 2 3 3 2" xfId="14127" xr:uid="{C46FC77F-3949-472C-9680-528DDA2F1414}"/>
    <cellStyle name="Normal 8 2 4 2 3 3 3" xfId="22573" xr:uid="{7671A03B-FCA6-438F-A7FD-F33198B93028}"/>
    <cellStyle name="Normal 8 2 4 2 3 4" xfId="9909" xr:uid="{0FE6144B-D5D0-44EF-B5DE-91C91083656E}"/>
    <cellStyle name="Normal 8 2 4 2 3 5" xfId="18354" xr:uid="{9D0FB1C8-46C7-484B-9AFE-1B520A0B712D}"/>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5297C330-59DA-4F44-BF2D-DFE2ED76BD02}"/>
    <cellStyle name="Normal 8 2 4 2 4 2 2 3" xfId="25131" xr:uid="{386DA600-B463-4693-9901-471E291AD5A6}"/>
    <cellStyle name="Normal 8 2 4 2 4 2 3" xfId="12467" xr:uid="{20119160-075C-4703-88CF-DC5F5759C2CC}"/>
    <cellStyle name="Normal 8 2 4 2 4 2 4" xfId="20914" xr:uid="{73D4B5F2-1CD5-40A1-9AE2-2822A5C85D57}"/>
    <cellStyle name="Normal 8 2 4 2 4 3" xfId="6098" xr:uid="{00000000-0005-0000-0000-0000F01C0000}"/>
    <cellStyle name="Normal 8 2 4 2 4 3 2" xfId="14540" xr:uid="{FD9E0AE6-B73A-46EF-B0A5-A747A7A0DBB7}"/>
    <cellStyle name="Normal 8 2 4 2 4 3 3" xfId="22986" xr:uid="{3C0955D5-46EF-4740-8D38-B3824F5CAC8D}"/>
    <cellStyle name="Normal 8 2 4 2 4 4" xfId="10322" xr:uid="{CDD22DAA-B212-451C-ADD4-266727C6C066}"/>
    <cellStyle name="Normal 8 2 4 2 4 5" xfId="18767" xr:uid="{90756388-FE6B-4DCC-975B-2D9C7D1AB55B}"/>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69531FB8-9FEA-4EFB-867C-CBF20428AFCF}"/>
    <cellStyle name="Normal 8 2 4 2 5 2 2 3" xfId="25544" xr:uid="{DDA5F4E4-7B17-4AA4-9EAF-2CE6C37A47AD}"/>
    <cellStyle name="Normal 8 2 4 2 5 2 3" xfId="12880" xr:uid="{AE46D25D-43D7-4DF8-B148-211A7C45BEB0}"/>
    <cellStyle name="Normal 8 2 4 2 5 2 4" xfId="21327" xr:uid="{98F8B9C0-B4EA-4B27-B44D-DE5CDE7A278E}"/>
    <cellStyle name="Normal 8 2 4 2 5 3" xfId="6511" xr:uid="{00000000-0005-0000-0000-0000F41C0000}"/>
    <cellStyle name="Normal 8 2 4 2 5 3 2" xfId="14953" xr:uid="{08B0B6D0-6855-43E1-8BC5-3B7720C81F47}"/>
    <cellStyle name="Normal 8 2 4 2 5 3 3" xfId="23399" xr:uid="{6593A975-9D95-4517-81C5-9514B22463BC}"/>
    <cellStyle name="Normal 8 2 4 2 5 4" xfId="10735" xr:uid="{765A8058-00EE-4DB2-8E2E-E162F115F52E}"/>
    <cellStyle name="Normal 8 2 4 2 5 5" xfId="19180" xr:uid="{2DC5899B-F121-4E6C-ABD7-A91571C702F0}"/>
    <cellStyle name="Normal 8 2 4 2 6" xfId="2640" xr:uid="{00000000-0005-0000-0000-0000F51C0000}"/>
    <cellStyle name="Normal 8 2 4 2 6 2" xfId="6924" xr:uid="{00000000-0005-0000-0000-0000F61C0000}"/>
    <cellStyle name="Normal 8 2 4 2 6 2 2" xfId="15366" xr:uid="{4BEB2CCB-BBDB-43F8-85D9-47E1D07E53F5}"/>
    <cellStyle name="Normal 8 2 4 2 6 2 3" xfId="23812" xr:uid="{A8B21516-4081-4A8E-B062-C8E0A34AA526}"/>
    <cellStyle name="Normal 8 2 4 2 6 3" xfId="11148" xr:uid="{D65B1F82-8A4C-44F7-AA30-9936E7E3425B}"/>
    <cellStyle name="Normal 8 2 4 2 6 4" xfId="19593" xr:uid="{EE4B1241-0CEB-4720-AF90-C1AE52C46886}"/>
    <cellStyle name="Normal 8 2 4 2 7" xfId="4859" xr:uid="{00000000-0005-0000-0000-0000F71C0000}"/>
    <cellStyle name="Normal 8 2 4 2 7 2" xfId="13301" xr:uid="{80F5ADE6-0D04-477B-8160-5B256C1871D1}"/>
    <cellStyle name="Normal 8 2 4 2 7 3" xfId="21747" xr:uid="{2C16FAEC-9622-4060-950D-ABE1FE08C031}"/>
    <cellStyle name="Normal 8 2 4 2 8" xfId="9083" xr:uid="{0F74718A-EFFA-4D5E-90FE-DC05ECF6AFF2}"/>
    <cellStyle name="Normal 8 2 4 2 9" xfId="17528" xr:uid="{2A01CD57-D37A-485C-82AC-EBC41FFB15EF}"/>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FF64D293-B49B-4443-9C79-CF0451DE8193}"/>
    <cellStyle name="Normal 8 2 4 3 2 2 3" xfId="24304" xr:uid="{9C5FB8AE-9EC7-4D49-B8D4-FCBCBC3E7D03}"/>
    <cellStyle name="Normal 8 2 4 3 2 3" xfId="11640" xr:uid="{B8E2473A-B837-4C7D-B5FC-6DA6700BFF5E}"/>
    <cellStyle name="Normal 8 2 4 3 2 4" xfId="20087" xr:uid="{8AA27184-0D5D-4C71-97BB-4BE3BD886D2D}"/>
    <cellStyle name="Normal 8 2 4 3 3" xfId="5271" xr:uid="{00000000-0005-0000-0000-0000FB1C0000}"/>
    <cellStyle name="Normal 8 2 4 3 3 2" xfId="13713" xr:uid="{5882CF8A-7EF7-482F-A2D3-8991B2C0444F}"/>
    <cellStyle name="Normal 8 2 4 3 3 3" xfId="22159" xr:uid="{67891849-594F-4F60-9234-35277D938155}"/>
    <cellStyle name="Normal 8 2 4 3 4" xfId="9495" xr:uid="{450E69E5-6DC7-48FF-AE7C-3C920795FEA3}"/>
    <cellStyle name="Normal 8 2 4 3 5" xfId="17940" xr:uid="{10463775-20C4-415F-B584-48EC4D80B5BD}"/>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5F183CD5-B9C0-4F5B-8066-4B9B4181794C}"/>
    <cellStyle name="Normal 8 2 4 4 2 2 3" xfId="24717" xr:uid="{431E3F4F-8861-4C5D-835C-E14F8FCF13F5}"/>
    <cellStyle name="Normal 8 2 4 4 2 3" xfId="12053" xr:uid="{8F077A96-347D-4C77-B804-C24B3517C9AE}"/>
    <cellStyle name="Normal 8 2 4 4 2 4" xfId="20500" xr:uid="{B1CB0A05-340B-4FA6-A6A3-6588C8690D5D}"/>
    <cellStyle name="Normal 8 2 4 4 3" xfId="5684" xr:uid="{00000000-0005-0000-0000-0000FF1C0000}"/>
    <cellStyle name="Normal 8 2 4 4 3 2" xfId="14126" xr:uid="{839A8EE3-D1D2-4FA1-B447-11A7555D2E48}"/>
    <cellStyle name="Normal 8 2 4 4 3 3" xfId="22572" xr:uid="{6689431B-E727-4B8F-9E83-E6674C162522}"/>
    <cellStyle name="Normal 8 2 4 4 4" xfId="9908" xr:uid="{54C6309A-0FB7-4D2F-9AFA-D421FBF7A039}"/>
    <cellStyle name="Normal 8 2 4 4 5" xfId="18353" xr:uid="{C235137B-2A8F-43C1-9891-79A805EC197E}"/>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2275ACCC-90C0-4467-BE13-606A065ABBC7}"/>
    <cellStyle name="Normal 8 2 4 5 2 2 3" xfId="25130" xr:uid="{32F4BB6C-3472-469C-9C89-E3A91549846A}"/>
    <cellStyle name="Normal 8 2 4 5 2 3" xfId="12466" xr:uid="{DED2EE4B-3863-4D21-B3E0-106E4F9F5EC4}"/>
    <cellStyle name="Normal 8 2 4 5 2 4" xfId="20913" xr:uid="{D7818424-97FB-4BB2-8EB5-6904E2B9E388}"/>
    <cellStyle name="Normal 8 2 4 5 3" xfId="6097" xr:uid="{00000000-0005-0000-0000-0000031D0000}"/>
    <cellStyle name="Normal 8 2 4 5 3 2" xfId="14539" xr:uid="{0B1F3D00-7C13-4BBE-9D16-802C96B96EDF}"/>
    <cellStyle name="Normal 8 2 4 5 3 3" xfId="22985" xr:uid="{5E7F4D52-B436-4878-A07B-BF54F8AAFD93}"/>
    <cellStyle name="Normal 8 2 4 5 4" xfId="10321" xr:uid="{B3400F4C-7C8C-4258-B36F-1A8C33BCC04A}"/>
    <cellStyle name="Normal 8 2 4 5 5" xfId="18766" xr:uid="{90865524-21DD-48EC-AD43-E9AF16BA7614}"/>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DF55B94E-AD7A-4E38-B92D-C10BFBBAC0FB}"/>
    <cellStyle name="Normal 8 2 4 6 2 2 3" xfId="25543" xr:uid="{E35DBEB5-3C4B-43A9-8192-ACEAD96A6C76}"/>
    <cellStyle name="Normal 8 2 4 6 2 3" xfId="12879" xr:uid="{51C8D4F1-DEB3-4004-AAF3-9FC09244C64A}"/>
    <cellStyle name="Normal 8 2 4 6 2 4" xfId="21326" xr:uid="{F46F3400-CC94-4982-89BF-D7650D481F78}"/>
    <cellStyle name="Normal 8 2 4 6 3" xfId="6510" xr:uid="{00000000-0005-0000-0000-0000071D0000}"/>
    <cellStyle name="Normal 8 2 4 6 3 2" xfId="14952" xr:uid="{478968C5-2589-4A88-AF11-EC8207E79002}"/>
    <cellStyle name="Normal 8 2 4 6 3 3" xfId="23398" xr:uid="{3E92B271-471E-4BE2-B75D-50B045CAB72B}"/>
    <cellStyle name="Normal 8 2 4 6 4" xfId="10734" xr:uid="{F6700C1F-49FA-44A0-9524-35B859B7B5FC}"/>
    <cellStyle name="Normal 8 2 4 6 5" xfId="19179" xr:uid="{8CA28255-E59E-4971-BA58-C84B24C31F6F}"/>
    <cellStyle name="Normal 8 2 4 7" xfId="2639" xr:uid="{00000000-0005-0000-0000-0000081D0000}"/>
    <cellStyle name="Normal 8 2 4 7 2" xfId="6923" xr:uid="{00000000-0005-0000-0000-0000091D0000}"/>
    <cellStyle name="Normal 8 2 4 7 2 2" xfId="15365" xr:uid="{79AB1545-3E40-446F-B8F0-D5D233C32C7C}"/>
    <cellStyle name="Normal 8 2 4 7 2 3" xfId="23811" xr:uid="{520E1402-3790-4416-8771-451532B68059}"/>
    <cellStyle name="Normal 8 2 4 7 3" xfId="11147" xr:uid="{800D0C9F-D322-471E-AA1A-DBD501BFCD3B}"/>
    <cellStyle name="Normal 8 2 4 7 4" xfId="19592" xr:uid="{EE73346E-7528-420D-88FF-ECF5DE48312F}"/>
    <cellStyle name="Normal 8 2 4 8" xfId="4858" xr:uid="{00000000-0005-0000-0000-00000A1D0000}"/>
    <cellStyle name="Normal 8 2 4 8 2" xfId="13300" xr:uid="{01943738-3DED-4ECB-B0EA-E87667041728}"/>
    <cellStyle name="Normal 8 2 4 8 3" xfId="21746" xr:uid="{2FEBDD41-0A43-428E-8B44-844EE667EA34}"/>
    <cellStyle name="Normal 8 2 4 9" xfId="9082" xr:uid="{2C13E7EA-F768-4C50-B173-645BA052F546}"/>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07959EAE-A2E5-4663-9D9F-DB39C8497149}"/>
    <cellStyle name="Normal 8 2 5 2 2 2 3" xfId="24306" xr:uid="{E7E8F80B-F8B3-4776-B869-3B28304BB5F2}"/>
    <cellStyle name="Normal 8 2 5 2 2 3" xfId="11642" xr:uid="{EB3864D4-0579-4BC5-B61C-EBA7626226D6}"/>
    <cellStyle name="Normal 8 2 5 2 2 4" xfId="20089" xr:uid="{1A287554-DB5D-4430-9528-FFDC881D08F4}"/>
    <cellStyle name="Normal 8 2 5 2 3" xfId="5273" xr:uid="{00000000-0005-0000-0000-00000F1D0000}"/>
    <cellStyle name="Normal 8 2 5 2 3 2" xfId="13715" xr:uid="{291C9B54-427A-471F-9784-ED075D258AD3}"/>
    <cellStyle name="Normal 8 2 5 2 3 3" xfId="22161" xr:uid="{E0F14BF6-4BA3-4EF7-A8D0-0C193780C803}"/>
    <cellStyle name="Normal 8 2 5 2 4" xfId="9497" xr:uid="{926D67F9-479C-45BB-94EF-390CFB4242F8}"/>
    <cellStyle name="Normal 8 2 5 2 5" xfId="17942" xr:uid="{36C327EF-8538-42D7-9255-80DD61A2654E}"/>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3408AF36-84BB-49ED-817A-120F8F5DBBB7}"/>
    <cellStyle name="Normal 8 2 5 3 2 2 3" xfId="24719" xr:uid="{72752261-0F4C-4ED8-877A-15A00277ED71}"/>
    <cellStyle name="Normal 8 2 5 3 2 3" xfId="12055" xr:uid="{1F57D7A9-E9A4-4997-B87B-01047820BF08}"/>
    <cellStyle name="Normal 8 2 5 3 2 4" xfId="20502" xr:uid="{3719451A-90A0-4673-A8C9-57DC37C7FBEF}"/>
    <cellStyle name="Normal 8 2 5 3 3" xfId="5686" xr:uid="{00000000-0005-0000-0000-0000131D0000}"/>
    <cellStyle name="Normal 8 2 5 3 3 2" xfId="14128" xr:uid="{E4CC4C36-8C69-4ADD-A736-150360C1E823}"/>
    <cellStyle name="Normal 8 2 5 3 3 3" xfId="22574" xr:uid="{5282A09A-6F6E-48A2-B411-552AAA21995A}"/>
    <cellStyle name="Normal 8 2 5 3 4" xfId="9910" xr:uid="{E19B9327-73F0-4E54-8612-51D29D6D9BE6}"/>
    <cellStyle name="Normal 8 2 5 3 5" xfId="18355" xr:uid="{638E4E6D-F298-4244-8105-A3F861C955EB}"/>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25B0E89A-C0C8-4794-BE70-2DFE18A1A2BA}"/>
    <cellStyle name="Normal 8 2 5 4 2 2 3" xfId="25132" xr:uid="{C6BC988D-B537-4EC5-A57E-F7CDD0628564}"/>
    <cellStyle name="Normal 8 2 5 4 2 3" xfId="12468" xr:uid="{5944BC6E-9690-4AA6-AD0D-FBDE84508C25}"/>
    <cellStyle name="Normal 8 2 5 4 2 4" xfId="20915" xr:uid="{C8CAAC47-9F41-4CB8-90DA-329D794C328E}"/>
    <cellStyle name="Normal 8 2 5 4 3" xfId="6099" xr:uid="{00000000-0005-0000-0000-0000171D0000}"/>
    <cellStyle name="Normal 8 2 5 4 3 2" xfId="14541" xr:uid="{E3E01E10-F6BD-41F3-AB43-9DE964547504}"/>
    <cellStyle name="Normal 8 2 5 4 3 3" xfId="22987" xr:uid="{2BC752BB-8ED1-4416-9696-D999195F0D6E}"/>
    <cellStyle name="Normal 8 2 5 4 4" xfId="10323" xr:uid="{19592C5E-1DC7-4CA8-896B-22B9F57EFA2E}"/>
    <cellStyle name="Normal 8 2 5 4 5" xfId="18768" xr:uid="{06AF4625-B0C1-4A50-9CEE-78DCACFFBB34}"/>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3DA5E6EA-3B4F-4E9C-809B-AD091A73989D}"/>
    <cellStyle name="Normal 8 2 5 5 2 2 3" xfId="25545" xr:uid="{FBB19ABA-1ECD-4B99-B4C4-6D8B1F93C1C4}"/>
    <cellStyle name="Normal 8 2 5 5 2 3" xfId="12881" xr:uid="{2F115242-D504-4B89-9BB5-111893C03311}"/>
    <cellStyle name="Normal 8 2 5 5 2 4" xfId="21328" xr:uid="{235EC7D5-E46C-4549-85A8-ADC16C75F377}"/>
    <cellStyle name="Normal 8 2 5 5 3" xfId="6512" xr:uid="{00000000-0005-0000-0000-00001B1D0000}"/>
    <cellStyle name="Normal 8 2 5 5 3 2" xfId="14954" xr:uid="{1522C8FC-94AD-4F40-95A8-D6298D1A45C7}"/>
    <cellStyle name="Normal 8 2 5 5 3 3" xfId="23400" xr:uid="{AC37C3DB-E851-4FE5-A5ED-C2ABED73CA70}"/>
    <cellStyle name="Normal 8 2 5 5 4" xfId="10736" xr:uid="{4A2060D9-BC62-4672-982F-4DECC481298B}"/>
    <cellStyle name="Normal 8 2 5 5 5" xfId="19181" xr:uid="{F469BD06-038E-4BE5-B258-AE6D8F8A114F}"/>
    <cellStyle name="Normal 8 2 5 6" xfId="2641" xr:uid="{00000000-0005-0000-0000-00001C1D0000}"/>
    <cellStyle name="Normal 8 2 5 6 2" xfId="6925" xr:uid="{00000000-0005-0000-0000-00001D1D0000}"/>
    <cellStyle name="Normal 8 2 5 6 2 2" xfId="15367" xr:uid="{EC24E547-8B09-4926-8E30-EB48D3BF7653}"/>
    <cellStyle name="Normal 8 2 5 6 2 3" xfId="23813" xr:uid="{E3748C06-1DF6-4CCF-8CAA-2DCEB2D7C5DC}"/>
    <cellStyle name="Normal 8 2 5 6 3" xfId="11149" xr:uid="{1E414009-47BE-4C08-A079-DFE32C3D6BEE}"/>
    <cellStyle name="Normal 8 2 5 6 4" xfId="19594" xr:uid="{E2121780-5884-44C1-A0EF-C2AEE46ABB4A}"/>
    <cellStyle name="Normal 8 2 5 7" xfId="4860" xr:uid="{00000000-0005-0000-0000-00001E1D0000}"/>
    <cellStyle name="Normal 8 2 5 7 2" xfId="13302" xr:uid="{A5932A14-2AC1-48F5-91FA-231599A4855F}"/>
    <cellStyle name="Normal 8 2 5 7 3" xfId="21748" xr:uid="{6AB33881-96B1-4586-8795-D77F8A347D08}"/>
    <cellStyle name="Normal 8 2 5 8" xfId="9084" xr:uid="{BE1E49E1-E692-4B10-8B6C-A0514BA84017}"/>
    <cellStyle name="Normal 8 2 5 9" xfId="17529" xr:uid="{63BAF363-3C83-4643-A212-AF240E7AB94F}"/>
    <cellStyle name="Normal 8 2 6" xfId="946" xr:uid="{00000000-0005-0000-0000-00001F1D0000}"/>
    <cellStyle name="Normal 8 2 6 2" xfId="3180" xr:uid="{00000000-0005-0000-0000-0000201D0000}"/>
    <cellStyle name="Normal 8 2 6 2 2" xfId="7403" xr:uid="{00000000-0005-0000-0000-0000211D0000}"/>
    <cellStyle name="Normal 8 2 6 2 2 2" xfId="15845" xr:uid="{5F81D103-847D-44EE-9189-F58940D5F558}"/>
    <cellStyle name="Normal 8 2 6 2 2 3" xfId="24291" xr:uid="{D747EB5C-7A09-4ED0-81C1-C757BB8D24F1}"/>
    <cellStyle name="Normal 8 2 6 2 3" xfId="11627" xr:uid="{74AFC03A-00CB-4B0E-A194-2813B152423B}"/>
    <cellStyle name="Normal 8 2 6 2 4" xfId="20074" xr:uid="{21173133-C8FD-47E8-82AD-7B9E17D9FAEB}"/>
    <cellStyle name="Normal 8 2 6 3" xfId="5258" xr:uid="{00000000-0005-0000-0000-0000221D0000}"/>
    <cellStyle name="Normal 8 2 6 3 2" xfId="13700" xr:uid="{94A58DD7-5F2A-4078-B9AD-0985A2D38E3C}"/>
    <cellStyle name="Normal 8 2 6 3 3" xfId="22146" xr:uid="{035CC28D-F0A7-469C-B861-CA4C6B8FCD94}"/>
    <cellStyle name="Normal 8 2 6 4" xfId="9482" xr:uid="{27B3B028-EBF6-4F52-B2D2-22FD55E37BB8}"/>
    <cellStyle name="Normal 8 2 6 5" xfId="17927" xr:uid="{C99E0378-EF78-4BBD-9B67-3322EB449085}"/>
    <cellStyle name="Normal 8 2 7" xfId="1363" xr:uid="{00000000-0005-0000-0000-0000231D0000}"/>
    <cellStyle name="Normal 8 2 7 2" xfId="3593" xr:uid="{00000000-0005-0000-0000-0000241D0000}"/>
    <cellStyle name="Normal 8 2 7 2 2" xfId="7816" xr:uid="{00000000-0005-0000-0000-0000251D0000}"/>
    <cellStyle name="Normal 8 2 7 2 2 2" xfId="16258" xr:uid="{11649575-B45A-4E1F-A669-4B188B100D76}"/>
    <cellStyle name="Normal 8 2 7 2 2 3" xfId="24704" xr:uid="{C990BC20-3B66-4365-8162-0D18B847385C}"/>
    <cellStyle name="Normal 8 2 7 2 3" xfId="12040" xr:uid="{AB601835-F79A-474E-898A-6D5690248E79}"/>
    <cellStyle name="Normal 8 2 7 2 4" xfId="20487" xr:uid="{CC9D910F-D2D8-4D76-8FC3-75480AF22970}"/>
    <cellStyle name="Normal 8 2 7 3" xfId="5671" xr:uid="{00000000-0005-0000-0000-0000261D0000}"/>
    <cellStyle name="Normal 8 2 7 3 2" xfId="14113" xr:uid="{69A38895-2FB9-45D5-9A6B-D2DE28B18DD3}"/>
    <cellStyle name="Normal 8 2 7 3 3" xfId="22559" xr:uid="{8A420234-BA62-467B-8625-BF1CD59F8A61}"/>
    <cellStyle name="Normal 8 2 7 4" xfId="9895" xr:uid="{02775684-AD37-4A84-81C5-7DD83653ED4C}"/>
    <cellStyle name="Normal 8 2 7 5" xfId="18340" xr:uid="{03079AF9-52E9-4B1A-BBE1-E84729EE2FCD}"/>
    <cellStyle name="Normal 8 2 8" xfId="1776" xr:uid="{00000000-0005-0000-0000-0000271D0000}"/>
    <cellStyle name="Normal 8 2 8 2" xfId="4006" xr:uid="{00000000-0005-0000-0000-0000281D0000}"/>
    <cellStyle name="Normal 8 2 8 2 2" xfId="8229" xr:uid="{00000000-0005-0000-0000-0000291D0000}"/>
    <cellStyle name="Normal 8 2 8 2 2 2" xfId="16671" xr:uid="{A563ABBA-AFE6-46E7-AB54-8EF32B5FFACB}"/>
    <cellStyle name="Normal 8 2 8 2 2 3" xfId="25117" xr:uid="{34E4B7F5-80DA-41EF-A6DB-AB66DACEB156}"/>
    <cellStyle name="Normal 8 2 8 2 3" xfId="12453" xr:uid="{1383DC19-F127-436A-A0FF-C25844B86393}"/>
    <cellStyle name="Normal 8 2 8 2 4" xfId="20900" xr:uid="{CC30A3C3-5449-45C2-BB69-FC5E99D41FC9}"/>
    <cellStyle name="Normal 8 2 8 3" xfId="6084" xr:uid="{00000000-0005-0000-0000-00002A1D0000}"/>
    <cellStyle name="Normal 8 2 8 3 2" xfId="14526" xr:uid="{9D0D728D-BF14-48DB-B2F4-0F0F6027912C}"/>
    <cellStyle name="Normal 8 2 8 3 3" xfId="22972" xr:uid="{33D7D762-6E5F-44C4-87DD-31CC952A6031}"/>
    <cellStyle name="Normal 8 2 8 4" xfId="10308" xr:uid="{D0B41523-94DC-49A0-88D6-F821A45EF066}"/>
    <cellStyle name="Normal 8 2 8 5" xfId="18753" xr:uid="{254B2FBE-B277-44AB-B3A2-1869920B840C}"/>
    <cellStyle name="Normal 8 2 9" xfId="2190" xr:uid="{00000000-0005-0000-0000-00002B1D0000}"/>
    <cellStyle name="Normal 8 2 9 2" xfId="4419" xr:uid="{00000000-0005-0000-0000-00002C1D0000}"/>
    <cellStyle name="Normal 8 2 9 2 2" xfId="8642" xr:uid="{00000000-0005-0000-0000-00002D1D0000}"/>
    <cellStyle name="Normal 8 2 9 2 2 2" xfId="17084" xr:uid="{8E48DCAE-E302-4B7A-AE60-6DBF9260628A}"/>
    <cellStyle name="Normal 8 2 9 2 2 3" xfId="25530" xr:uid="{EB10DEE8-E6DF-4057-A4CB-5E3F63AE62D5}"/>
    <cellStyle name="Normal 8 2 9 2 3" xfId="12866" xr:uid="{8A692289-64C4-47BC-B064-B5B0473B3445}"/>
    <cellStyle name="Normal 8 2 9 2 4" xfId="21313" xr:uid="{D264B6D5-101D-4C9B-86C9-ECCF3BD030AA}"/>
    <cellStyle name="Normal 8 2 9 3" xfId="6497" xr:uid="{00000000-0005-0000-0000-00002E1D0000}"/>
    <cellStyle name="Normal 8 2 9 3 2" xfId="14939" xr:uid="{680538FB-677C-43CC-A416-3740E7D29756}"/>
    <cellStyle name="Normal 8 2 9 3 3" xfId="23385" xr:uid="{CA83A481-C84D-4763-AEB7-4848F7E084C9}"/>
    <cellStyle name="Normal 8 2 9 4" xfId="10721" xr:uid="{1E33140F-07F3-4053-A812-03748892152C}"/>
    <cellStyle name="Normal 8 2 9 5" xfId="19166" xr:uid="{F9D40736-246D-4BD1-86AF-83012E0D706A}"/>
    <cellStyle name="Normal 8 3" xfId="495" xr:uid="{00000000-0005-0000-0000-00002F1D0000}"/>
    <cellStyle name="Normal 8 3 10" xfId="4861" xr:uid="{00000000-0005-0000-0000-0000301D0000}"/>
    <cellStyle name="Normal 8 3 10 2" xfId="13303" xr:uid="{7EF0C0BC-45AE-4B6C-A05E-D860B8B54040}"/>
    <cellStyle name="Normal 8 3 10 3" xfId="21749" xr:uid="{F15D70DA-EDE3-4515-AE76-B18D6CBDC48B}"/>
    <cellStyle name="Normal 8 3 11" xfId="9085" xr:uid="{4AA7A33D-F80C-440B-89A1-FCD40E34DD95}"/>
    <cellStyle name="Normal 8 3 12" xfId="17530" xr:uid="{7FE7584A-F9CD-4A1E-BE4A-11793115E428}"/>
    <cellStyle name="Normal 8 3 13" xfId="25773" xr:uid="{D9A20943-C0DA-4BCD-AE61-8AE09D8D3B4D}"/>
    <cellStyle name="Normal 8 3 2" xfId="496" xr:uid="{00000000-0005-0000-0000-0000311D0000}"/>
    <cellStyle name="Normal 8 3 2 10" xfId="9086" xr:uid="{5DB2B67B-716D-4717-9942-B54A702AE342}"/>
    <cellStyle name="Normal 8 3 2 11" xfId="17531" xr:uid="{0FC67351-4D71-4F70-AE1D-0B33D955473A}"/>
    <cellStyle name="Normal 8 3 2 2" xfId="497" xr:uid="{00000000-0005-0000-0000-0000321D0000}"/>
    <cellStyle name="Normal 8 3 2 2 10" xfId="17532" xr:uid="{65324282-EB24-4C45-977C-85C4F0B2D86B}"/>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3C3B465F-317A-46E9-A3D1-C8F3C81AC520}"/>
    <cellStyle name="Normal 8 3 2 2 2 2 2 2 3" xfId="24310" xr:uid="{FDF1F1CE-44B4-4896-9167-76C8D18F947A}"/>
    <cellStyle name="Normal 8 3 2 2 2 2 2 3" xfId="11646" xr:uid="{A5D155EE-0656-4363-8522-2BD39075C182}"/>
    <cellStyle name="Normal 8 3 2 2 2 2 2 4" xfId="20093" xr:uid="{AFD2E5FC-0ADD-479D-9359-2CCE5E157CB1}"/>
    <cellStyle name="Normal 8 3 2 2 2 2 3" xfId="5277" xr:uid="{00000000-0005-0000-0000-0000371D0000}"/>
    <cellStyle name="Normal 8 3 2 2 2 2 3 2" xfId="13719" xr:uid="{83FD1FD2-7091-4E4F-AE7A-F65769439C9C}"/>
    <cellStyle name="Normal 8 3 2 2 2 2 3 3" xfId="22165" xr:uid="{FEF80F91-0A15-4D0A-BDE0-CEF9CB116CB6}"/>
    <cellStyle name="Normal 8 3 2 2 2 2 4" xfId="9501" xr:uid="{84510623-454D-44D1-B543-A032FFF64C89}"/>
    <cellStyle name="Normal 8 3 2 2 2 2 5" xfId="17946" xr:uid="{421249D2-95FA-4BAA-9014-E4ACF68E1CFF}"/>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8BAB2953-4B52-4935-ABAB-1755CD66EBEC}"/>
    <cellStyle name="Normal 8 3 2 2 2 3 2 2 3" xfId="24723" xr:uid="{3150DF52-5A94-43EA-9EB3-043DEAB1812A}"/>
    <cellStyle name="Normal 8 3 2 2 2 3 2 3" xfId="12059" xr:uid="{70B6A605-B833-4426-861B-9E5854BD7E3D}"/>
    <cellStyle name="Normal 8 3 2 2 2 3 2 4" xfId="20506" xr:uid="{2981C9B3-8CB3-4ECA-A19D-EBF7CD526050}"/>
    <cellStyle name="Normal 8 3 2 2 2 3 3" xfId="5690" xr:uid="{00000000-0005-0000-0000-00003B1D0000}"/>
    <cellStyle name="Normal 8 3 2 2 2 3 3 2" xfId="14132" xr:uid="{2754575D-9700-49FA-992B-EBA9658DD594}"/>
    <cellStyle name="Normal 8 3 2 2 2 3 3 3" xfId="22578" xr:uid="{C9C7439E-9D87-475E-8433-909BCF8C461E}"/>
    <cellStyle name="Normal 8 3 2 2 2 3 4" xfId="9914" xr:uid="{956F1F53-CD85-4F9C-B26B-0D9D0B863A5E}"/>
    <cellStyle name="Normal 8 3 2 2 2 3 5" xfId="18359" xr:uid="{70C30218-3F57-45BD-A0B3-1BC4C899C9E9}"/>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F81F7E0E-694B-4549-ACD7-A17507DDDC14}"/>
    <cellStyle name="Normal 8 3 2 2 2 4 2 2 3" xfId="25136" xr:uid="{238368A9-8D7C-472A-B219-F8038589871E}"/>
    <cellStyle name="Normal 8 3 2 2 2 4 2 3" xfId="12472" xr:uid="{A44FE795-4A61-49D9-A129-6F84202F6666}"/>
    <cellStyle name="Normal 8 3 2 2 2 4 2 4" xfId="20919" xr:uid="{F3321A36-0871-4CCC-BF7F-33337F8734FB}"/>
    <cellStyle name="Normal 8 3 2 2 2 4 3" xfId="6103" xr:uid="{00000000-0005-0000-0000-00003F1D0000}"/>
    <cellStyle name="Normal 8 3 2 2 2 4 3 2" xfId="14545" xr:uid="{BF1E5559-C578-4912-A531-661AC19563B1}"/>
    <cellStyle name="Normal 8 3 2 2 2 4 3 3" xfId="22991" xr:uid="{495F4D22-F771-450E-B3F4-E304B9CD8C7F}"/>
    <cellStyle name="Normal 8 3 2 2 2 4 4" xfId="10327" xr:uid="{B8D83AC4-D90A-4C43-B8FE-F8DCA09E5639}"/>
    <cellStyle name="Normal 8 3 2 2 2 4 5" xfId="18772" xr:uid="{6162D3BA-FA9D-4257-881A-FAE4BE8D8262}"/>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9C2D7D85-2FD5-4191-8EEC-099C99026A75}"/>
    <cellStyle name="Normal 8 3 2 2 2 5 2 2 3" xfId="25549" xr:uid="{A02E0149-1788-4690-B010-64F8C14AE51C}"/>
    <cellStyle name="Normal 8 3 2 2 2 5 2 3" xfId="12885" xr:uid="{BD37E0EF-697A-4D08-A0A7-6063DC51E600}"/>
    <cellStyle name="Normal 8 3 2 2 2 5 2 4" xfId="21332" xr:uid="{F7B162FD-DBAD-4504-A4D2-475483A9CE12}"/>
    <cellStyle name="Normal 8 3 2 2 2 5 3" xfId="6516" xr:uid="{00000000-0005-0000-0000-0000431D0000}"/>
    <cellStyle name="Normal 8 3 2 2 2 5 3 2" xfId="14958" xr:uid="{61348238-6979-4AF9-9754-DA2868CAFF6E}"/>
    <cellStyle name="Normal 8 3 2 2 2 5 3 3" xfId="23404" xr:uid="{147EEA8F-563D-47F6-BF6A-A788BCD3B75A}"/>
    <cellStyle name="Normal 8 3 2 2 2 5 4" xfId="10740" xr:uid="{4937F3CD-4CAE-4E12-BFF7-6C64E50D0200}"/>
    <cellStyle name="Normal 8 3 2 2 2 5 5" xfId="19185" xr:uid="{43B6D84E-063C-4363-9C09-04239A78114D}"/>
    <cellStyle name="Normal 8 3 2 2 2 6" xfId="2645" xr:uid="{00000000-0005-0000-0000-0000441D0000}"/>
    <cellStyle name="Normal 8 3 2 2 2 6 2" xfId="6929" xr:uid="{00000000-0005-0000-0000-0000451D0000}"/>
    <cellStyle name="Normal 8 3 2 2 2 6 2 2" xfId="15371" xr:uid="{D6E8B995-2557-4A7C-BBF5-EB0963497E48}"/>
    <cellStyle name="Normal 8 3 2 2 2 6 2 3" xfId="23817" xr:uid="{7FD53C58-DD65-4DFD-BD2F-4A120C52C074}"/>
    <cellStyle name="Normal 8 3 2 2 2 6 3" xfId="11153" xr:uid="{0153E64D-AB94-402B-AD13-FDD8CE65BB06}"/>
    <cellStyle name="Normal 8 3 2 2 2 6 4" xfId="19598" xr:uid="{344E1ACF-3624-4FB7-AED9-8F19AE67D9E9}"/>
    <cellStyle name="Normal 8 3 2 2 2 7" xfId="4864" xr:uid="{00000000-0005-0000-0000-0000461D0000}"/>
    <cellStyle name="Normal 8 3 2 2 2 7 2" xfId="13306" xr:uid="{EE334471-E3BE-4C47-89CC-45F3D849AD6F}"/>
    <cellStyle name="Normal 8 3 2 2 2 7 3" xfId="21752" xr:uid="{E8D05D47-88C3-4792-A633-72B884BC9E6D}"/>
    <cellStyle name="Normal 8 3 2 2 2 8" xfId="9088" xr:uid="{3C98D1FA-0E65-43B9-9B1E-8F90C1740B05}"/>
    <cellStyle name="Normal 8 3 2 2 2 9" xfId="17533" xr:uid="{C4CF0737-C0AE-4CF6-A5C5-B37561C224E5}"/>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D312CF08-CB73-4836-B9B2-5FD711C3E416}"/>
    <cellStyle name="Normal 8 3 2 2 3 2 2 3" xfId="24309" xr:uid="{3AE78B9E-5895-43D2-9CC6-5316227F7D11}"/>
    <cellStyle name="Normal 8 3 2 2 3 2 3" xfId="11645" xr:uid="{BEC73A08-226D-4AF0-A7EC-D5E09E19746D}"/>
    <cellStyle name="Normal 8 3 2 2 3 2 4" xfId="20092" xr:uid="{862DFCD6-DB3E-4857-83C7-F068FEB17220}"/>
    <cellStyle name="Normal 8 3 2 2 3 3" xfId="5276" xr:uid="{00000000-0005-0000-0000-00004A1D0000}"/>
    <cellStyle name="Normal 8 3 2 2 3 3 2" xfId="13718" xr:uid="{643DB26C-D758-45F1-8BA4-1C57185A6E3C}"/>
    <cellStyle name="Normal 8 3 2 2 3 3 3" xfId="22164" xr:uid="{83AE2053-78B5-4BFB-A0B9-713DCE284A4F}"/>
    <cellStyle name="Normal 8 3 2 2 3 4" xfId="9500" xr:uid="{B7B04086-1247-44E9-A06D-B34D59CB7487}"/>
    <cellStyle name="Normal 8 3 2 2 3 5" xfId="17945" xr:uid="{5F29977D-C09D-4078-9875-ECDB7F9ED73F}"/>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46942818-0384-4028-A97F-BC0C6E448F33}"/>
    <cellStyle name="Normal 8 3 2 2 4 2 2 3" xfId="24722" xr:uid="{753B791C-9F8C-47E5-9B02-AC2BF414A23A}"/>
    <cellStyle name="Normal 8 3 2 2 4 2 3" xfId="12058" xr:uid="{34E3CAF6-066A-405D-BF03-7E9BE021C293}"/>
    <cellStyle name="Normal 8 3 2 2 4 2 4" xfId="20505" xr:uid="{F7DD853C-D270-4CB8-9766-E9506EB71215}"/>
    <cellStyle name="Normal 8 3 2 2 4 3" xfId="5689" xr:uid="{00000000-0005-0000-0000-00004E1D0000}"/>
    <cellStyle name="Normal 8 3 2 2 4 3 2" xfId="14131" xr:uid="{590624DF-64A8-4669-A1A8-CF8CE6131C54}"/>
    <cellStyle name="Normal 8 3 2 2 4 3 3" xfId="22577" xr:uid="{7161E626-2328-42D4-909B-62532500D6B1}"/>
    <cellStyle name="Normal 8 3 2 2 4 4" xfId="9913" xr:uid="{1915A805-649E-4E45-9FA5-6810CDBE82D6}"/>
    <cellStyle name="Normal 8 3 2 2 4 5" xfId="18358" xr:uid="{E77264B3-25AF-41ED-9AF8-EC9139FFD696}"/>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31579967-045B-4E37-B83C-BD4C67345849}"/>
    <cellStyle name="Normal 8 3 2 2 5 2 2 3" xfId="25135" xr:uid="{9201F4AB-2CED-4B82-AED1-63677BA89743}"/>
    <cellStyle name="Normal 8 3 2 2 5 2 3" xfId="12471" xr:uid="{39D3E988-E2A0-436C-9F1C-CD00D4819CCA}"/>
    <cellStyle name="Normal 8 3 2 2 5 2 4" xfId="20918" xr:uid="{9D78985E-EB6F-47A7-8E38-D9958460D6CB}"/>
    <cellStyle name="Normal 8 3 2 2 5 3" xfId="6102" xr:uid="{00000000-0005-0000-0000-0000521D0000}"/>
    <cellStyle name="Normal 8 3 2 2 5 3 2" xfId="14544" xr:uid="{E9036D78-CB04-4442-A9A6-ED4045A27460}"/>
    <cellStyle name="Normal 8 3 2 2 5 3 3" xfId="22990" xr:uid="{BDFE3511-F26E-4C4F-9330-4E65A1055B06}"/>
    <cellStyle name="Normal 8 3 2 2 5 4" xfId="10326" xr:uid="{85529EDB-0DD4-42D9-969D-0CAE874DF866}"/>
    <cellStyle name="Normal 8 3 2 2 5 5" xfId="18771" xr:uid="{3AEFF927-9B2A-47D2-840B-096A09E13D33}"/>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BB030055-15EF-473E-97AB-2D946E0EEBF9}"/>
    <cellStyle name="Normal 8 3 2 2 6 2 2 3" xfId="25548" xr:uid="{3A4E358F-D44D-4128-B894-BB61B0980F0D}"/>
    <cellStyle name="Normal 8 3 2 2 6 2 3" xfId="12884" xr:uid="{3EAABDDF-B493-4CF5-90CE-D00CA7B06A16}"/>
    <cellStyle name="Normal 8 3 2 2 6 2 4" xfId="21331" xr:uid="{646C6A05-C9CA-416F-A065-8A97AA4F47BB}"/>
    <cellStyle name="Normal 8 3 2 2 6 3" xfId="6515" xr:uid="{00000000-0005-0000-0000-0000561D0000}"/>
    <cellStyle name="Normal 8 3 2 2 6 3 2" xfId="14957" xr:uid="{39D71A3D-75EB-4213-9531-EABC16DA2DC2}"/>
    <cellStyle name="Normal 8 3 2 2 6 3 3" xfId="23403" xr:uid="{6BA5832F-3062-46AC-97AB-FE9C0664BE4C}"/>
    <cellStyle name="Normal 8 3 2 2 6 4" xfId="10739" xr:uid="{4737007F-2C1F-4E29-846E-44B520AF6DDB}"/>
    <cellStyle name="Normal 8 3 2 2 6 5" xfId="19184" xr:uid="{EBF930B3-F735-43FE-A123-ADA55A51819E}"/>
    <cellStyle name="Normal 8 3 2 2 7" xfId="2644" xr:uid="{00000000-0005-0000-0000-0000571D0000}"/>
    <cellStyle name="Normal 8 3 2 2 7 2" xfId="6928" xr:uid="{00000000-0005-0000-0000-0000581D0000}"/>
    <cellStyle name="Normal 8 3 2 2 7 2 2" xfId="15370" xr:uid="{5A9F4C73-C83C-41A1-8B8E-3F42B86FC5D1}"/>
    <cellStyle name="Normal 8 3 2 2 7 2 3" xfId="23816" xr:uid="{D0DD310C-CE63-483D-BF44-BFA5E7903902}"/>
    <cellStyle name="Normal 8 3 2 2 7 3" xfId="11152" xr:uid="{DCD2EF4A-460A-498E-B61C-A73E0324CADC}"/>
    <cellStyle name="Normal 8 3 2 2 7 4" xfId="19597" xr:uid="{A6497853-977F-482E-9543-F2E1CE6EBDF7}"/>
    <cellStyle name="Normal 8 3 2 2 8" xfId="4863" xr:uid="{00000000-0005-0000-0000-0000591D0000}"/>
    <cellStyle name="Normal 8 3 2 2 8 2" xfId="13305" xr:uid="{95B57C97-C2A2-482D-B963-19D13D94A9EC}"/>
    <cellStyle name="Normal 8 3 2 2 8 3" xfId="21751" xr:uid="{3D5ABF8E-912F-42FE-A1F4-B7699794248D}"/>
    <cellStyle name="Normal 8 3 2 2 9" xfId="9087" xr:uid="{9B96BED6-4D6C-4B7B-81AC-B0E97AC5EC4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57F055F3-B318-4B58-B0A8-E28B9FBDD08D}"/>
    <cellStyle name="Normal 8 3 2 3 2 2 2 3" xfId="24311" xr:uid="{32028686-9356-4295-8365-BA42024D677D}"/>
    <cellStyle name="Normal 8 3 2 3 2 2 3" xfId="11647" xr:uid="{8B4CE192-8A52-424B-A94B-DD7607C25E46}"/>
    <cellStyle name="Normal 8 3 2 3 2 2 4" xfId="20094" xr:uid="{30424AD4-465E-49F9-AD74-C0281C1696F6}"/>
    <cellStyle name="Normal 8 3 2 3 2 3" xfId="5278" xr:uid="{00000000-0005-0000-0000-00005E1D0000}"/>
    <cellStyle name="Normal 8 3 2 3 2 3 2" xfId="13720" xr:uid="{FBC347D1-F44D-4A2B-9F89-503CCA588A1D}"/>
    <cellStyle name="Normal 8 3 2 3 2 3 3" xfId="22166" xr:uid="{FE5E15FC-B512-4E9F-A372-2F45CEFC00F6}"/>
    <cellStyle name="Normal 8 3 2 3 2 4" xfId="9502" xr:uid="{E126727D-2E20-4D67-B326-BADAF8C53B44}"/>
    <cellStyle name="Normal 8 3 2 3 2 5" xfId="17947" xr:uid="{254FB24A-4753-4B85-AE44-5EF175FE55E5}"/>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209B088A-784C-493F-B1B3-CF1B01FC18D0}"/>
    <cellStyle name="Normal 8 3 2 3 3 2 2 3" xfId="24724" xr:uid="{0225102C-3BF2-4742-9EC6-223E0C6CC0B4}"/>
    <cellStyle name="Normal 8 3 2 3 3 2 3" xfId="12060" xr:uid="{5956DC70-AB7B-4B7C-A454-66CC53966817}"/>
    <cellStyle name="Normal 8 3 2 3 3 2 4" xfId="20507" xr:uid="{D0D859E5-2496-46E4-B66E-03B1F4DB7AF7}"/>
    <cellStyle name="Normal 8 3 2 3 3 3" xfId="5691" xr:uid="{00000000-0005-0000-0000-0000621D0000}"/>
    <cellStyle name="Normal 8 3 2 3 3 3 2" xfId="14133" xr:uid="{806645F0-0135-4220-8EE3-7CC27884B8FE}"/>
    <cellStyle name="Normal 8 3 2 3 3 3 3" xfId="22579" xr:uid="{7ABC677B-4C2A-41D8-9C9C-B12F799D6D24}"/>
    <cellStyle name="Normal 8 3 2 3 3 4" xfId="9915" xr:uid="{AA832C8A-20C0-4F69-8EBF-4A0FEFCF30B4}"/>
    <cellStyle name="Normal 8 3 2 3 3 5" xfId="18360" xr:uid="{7B0E46C0-00D6-490D-9B16-19529C3534DC}"/>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62CC770D-9004-4856-81B0-3738B3019268}"/>
    <cellStyle name="Normal 8 3 2 3 4 2 2 3" xfId="25137" xr:uid="{42130DD7-59D6-4615-BC7C-A9E148978D1D}"/>
    <cellStyle name="Normal 8 3 2 3 4 2 3" xfId="12473" xr:uid="{D86B5031-3E76-410A-AF09-69D8DC9A4F20}"/>
    <cellStyle name="Normal 8 3 2 3 4 2 4" xfId="20920" xr:uid="{CF00D51E-56DD-4E41-9BC5-5BC94F670EF0}"/>
    <cellStyle name="Normal 8 3 2 3 4 3" xfId="6104" xr:uid="{00000000-0005-0000-0000-0000661D0000}"/>
    <cellStyle name="Normal 8 3 2 3 4 3 2" xfId="14546" xr:uid="{DC1BFCDF-09C1-4D0C-9C40-D85A5588446E}"/>
    <cellStyle name="Normal 8 3 2 3 4 3 3" xfId="22992" xr:uid="{D554F09F-DE71-4CF9-AFE9-6C926B93069D}"/>
    <cellStyle name="Normal 8 3 2 3 4 4" xfId="10328" xr:uid="{C5AE2B35-C1F9-46C2-8480-0331A1AC6070}"/>
    <cellStyle name="Normal 8 3 2 3 4 5" xfId="18773" xr:uid="{F64353DA-E5DF-420F-ABE9-7038485CB9B3}"/>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830CFEC6-ACEA-4593-AF34-F9799D56861F}"/>
    <cellStyle name="Normal 8 3 2 3 5 2 2 3" xfId="25550" xr:uid="{1E743CE8-6510-4C86-A866-A20DED3F0927}"/>
    <cellStyle name="Normal 8 3 2 3 5 2 3" xfId="12886" xr:uid="{E34F1109-4B58-4517-A3B5-0C64BA525287}"/>
    <cellStyle name="Normal 8 3 2 3 5 2 4" xfId="21333" xr:uid="{CE8066E6-1DC0-4AE9-A0C7-DEBB5D22D47B}"/>
    <cellStyle name="Normal 8 3 2 3 5 3" xfId="6517" xr:uid="{00000000-0005-0000-0000-00006A1D0000}"/>
    <cellStyle name="Normal 8 3 2 3 5 3 2" xfId="14959" xr:uid="{558F4A5E-E602-4D5D-A16E-451D030B15C3}"/>
    <cellStyle name="Normal 8 3 2 3 5 3 3" xfId="23405" xr:uid="{48A8D828-E753-4A9E-8FB8-E7C440CB1F94}"/>
    <cellStyle name="Normal 8 3 2 3 5 4" xfId="10741" xr:uid="{66D412D1-65E5-4CCE-9FF1-C13DCF4F7AE7}"/>
    <cellStyle name="Normal 8 3 2 3 5 5" xfId="19186" xr:uid="{0A940169-0DAA-4CE0-9BFE-51DEBE9B605C}"/>
    <cellStyle name="Normal 8 3 2 3 6" xfId="2646" xr:uid="{00000000-0005-0000-0000-00006B1D0000}"/>
    <cellStyle name="Normal 8 3 2 3 6 2" xfId="6930" xr:uid="{00000000-0005-0000-0000-00006C1D0000}"/>
    <cellStyle name="Normal 8 3 2 3 6 2 2" xfId="15372" xr:uid="{71C5233B-1354-4C51-9BED-35CEC60D9D25}"/>
    <cellStyle name="Normal 8 3 2 3 6 2 3" xfId="23818" xr:uid="{29266431-B193-4260-BBF1-F5F1393DDCBC}"/>
    <cellStyle name="Normal 8 3 2 3 6 3" xfId="11154" xr:uid="{DE847E04-B3F8-4072-AFE1-B1FF0EFBAD93}"/>
    <cellStyle name="Normal 8 3 2 3 6 4" xfId="19599" xr:uid="{1BF361EF-540E-4D6E-8571-1DB32BCC96B5}"/>
    <cellStyle name="Normal 8 3 2 3 7" xfId="4865" xr:uid="{00000000-0005-0000-0000-00006D1D0000}"/>
    <cellStyle name="Normal 8 3 2 3 7 2" xfId="13307" xr:uid="{92BD9CA9-751E-4281-A3A3-EFE742BACF17}"/>
    <cellStyle name="Normal 8 3 2 3 7 3" xfId="21753" xr:uid="{62573D61-2CA0-45A3-8979-49CB70A865DB}"/>
    <cellStyle name="Normal 8 3 2 3 8" xfId="9089" xr:uid="{3139C9A0-8A50-4398-B9B4-26DB3C5B21DD}"/>
    <cellStyle name="Normal 8 3 2 3 9" xfId="17534" xr:uid="{17E58B28-7575-4847-8A23-32C58FEC47A1}"/>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667152F7-D66B-4D96-BAD4-C7BAF0043235}"/>
    <cellStyle name="Normal 8 3 2 4 2 2 3" xfId="24308" xr:uid="{9F6F4CD8-4AC1-4352-A51F-102AD95BDFF8}"/>
    <cellStyle name="Normal 8 3 2 4 2 3" xfId="11644" xr:uid="{9D1183FE-E54F-4635-BDE4-5FE7DA252F96}"/>
    <cellStyle name="Normal 8 3 2 4 2 4" xfId="20091" xr:uid="{8874B8FD-A4B2-4E09-9882-FAC1FC256986}"/>
    <cellStyle name="Normal 8 3 2 4 3" xfId="5275" xr:uid="{00000000-0005-0000-0000-0000711D0000}"/>
    <cellStyle name="Normal 8 3 2 4 3 2" xfId="13717" xr:uid="{8D9149AA-A786-484F-8D6A-D67364991BB7}"/>
    <cellStyle name="Normal 8 3 2 4 3 3" xfId="22163" xr:uid="{D7138EF6-BAB2-4C1B-8E8E-DE24A8C48395}"/>
    <cellStyle name="Normal 8 3 2 4 4" xfId="9499" xr:uid="{74F4AA6F-B6B3-4236-AB2B-F4249678C18E}"/>
    <cellStyle name="Normal 8 3 2 4 5" xfId="17944" xr:uid="{85AC343E-8357-46C6-92C2-27876D69B840}"/>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F4C56943-6CBA-4531-8F23-D873BBAA7F40}"/>
    <cellStyle name="Normal 8 3 2 5 2 2 3" xfId="24721" xr:uid="{92C2022D-0FE4-4042-8A3B-3F302461A308}"/>
    <cellStyle name="Normal 8 3 2 5 2 3" xfId="12057" xr:uid="{FA9208F5-08FE-4EAF-A815-5666827F9F0C}"/>
    <cellStyle name="Normal 8 3 2 5 2 4" xfId="20504" xr:uid="{94C9CF93-3A5B-4B32-A913-5BEE25E76A14}"/>
    <cellStyle name="Normal 8 3 2 5 3" xfId="5688" xr:uid="{00000000-0005-0000-0000-0000751D0000}"/>
    <cellStyle name="Normal 8 3 2 5 3 2" xfId="14130" xr:uid="{8F6FB38F-C7D2-4629-B8EB-126792670620}"/>
    <cellStyle name="Normal 8 3 2 5 3 3" xfId="22576" xr:uid="{D46DBF55-DBDA-4164-A8C1-FAB44BF3D2E1}"/>
    <cellStyle name="Normal 8 3 2 5 4" xfId="9912" xr:uid="{F9419BAF-4944-4ED3-9B47-14635659EB79}"/>
    <cellStyle name="Normal 8 3 2 5 5" xfId="18357" xr:uid="{70EFF95C-BED8-4116-B4FE-5A417493D072}"/>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016CD422-FC20-443C-8FFC-DA287477BC80}"/>
    <cellStyle name="Normal 8 3 2 6 2 2 3" xfId="25134" xr:uid="{44925175-D3B0-4E87-89B9-A9E0C3378130}"/>
    <cellStyle name="Normal 8 3 2 6 2 3" xfId="12470" xr:uid="{A68BE174-4EC5-4544-819E-00EF599F1D1B}"/>
    <cellStyle name="Normal 8 3 2 6 2 4" xfId="20917" xr:uid="{1687F5C1-744C-4155-9914-DF82A907E286}"/>
    <cellStyle name="Normal 8 3 2 6 3" xfId="6101" xr:uid="{00000000-0005-0000-0000-0000791D0000}"/>
    <cellStyle name="Normal 8 3 2 6 3 2" xfId="14543" xr:uid="{155EA02A-F84F-428A-94F8-E2A89AFDD1BB}"/>
    <cellStyle name="Normal 8 3 2 6 3 3" xfId="22989" xr:uid="{1BB83C04-1269-45E3-B74F-F7A898AF7AE2}"/>
    <cellStyle name="Normal 8 3 2 6 4" xfId="10325" xr:uid="{35A4278D-4C6E-40A4-B4BD-D700097D5652}"/>
    <cellStyle name="Normal 8 3 2 6 5" xfId="18770" xr:uid="{A12C8F2A-33CA-4BED-BFE2-6631EE6BB2D8}"/>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DA66318D-D14F-4451-ABAD-8EB5A39F2930}"/>
    <cellStyle name="Normal 8 3 2 7 2 2 3" xfId="25547" xr:uid="{EA875911-E9F2-4100-88DB-9146D7A42E8F}"/>
    <cellStyle name="Normal 8 3 2 7 2 3" xfId="12883" xr:uid="{75F47CC5-B0FE-436E-9722-BF119844ECD8}"/>
    <cellStyle name="Normal 8 3 2 7 2 4" xfId="21330" xr:uid="{49689565-87B9-4EF0-B4A0-606274AC479F}"/>
    <cellStyle name="Normal 8 3 2 7 3" xfId="6514" xr:uid="{00000000-0005-0000-0000-00007D1D0000}"/>
    <cellStyle name="Normal 8 3 2 7 3 2" xfId="14956" xr:uid="{AC0BB09B-4683-44D4-AD0E-EA68576BD8C3}"/>
    <cellStyle name="Normal 8 3 2 7 3 3" xfId="23402" xr:uid="{3736D726-AB2B-43FA-9744-F73D6245B630}"/>
    <cellStyle name="Normal 8 3 2 7 4" xfId="10738" xr:uid="{DE871EB3-4A5B-4CEC-A808-669EC131C074}"/>
    <cellStyle name="Normal 8 3 2 7 5" xfId="19183" xr:uid="{B780B95B-3EBB-4262-9CF3-33270D28C7CC}"/>
    <cellStyle name="Normal 8 3 2 8" xfId="2643" xr:uid="{00000000-0005-0000-0000-00007E1D0000}"/>
    <cellStyle name="Normal 8 3 2 8 2" xfId="6927" xr:uid="{00000000-0005-0000-0000-00007F1D0000}"/>
    <cellStyle name="Normal 8 3 2 8 2 2" xfId="15369" xr:uid="{55EF497C-112A-460A-9FFA-CF5D2C29038E}"/>
    <cellStyle name="Normal 8 3 2 8 2 3" xfId="23815" xr:uid="{21B08B27-0CB3-4C2A-9940-228FFD0B9CDA}"/>
    <cellStyle name="Normal 8 3 2 8 3" xfId="11151" xr:uid="{2C65CF62-FB2D-483C-BEB9-64FAB00B557A}"/>
    <cellStyle name="Normal 8 3 2 8 4" xfId="19596" xr:uid="{A5E9E962-F0E0-4FB0-87CD-72017817C2EA}"/>
    <cellStyle name="Normal 8 3 2 9" xfId="4862" xr:uid="{00000000-0005-0000-0000-0000801D0000}"/>
    <cellStyle name="Normal 8 3 2 9 2" xfId="13304" xr:uid="{ACB7CA3D-2042-4AC4-8E20-3057AE8F3910}"/>
    <cellStyle name="Normal 8 3 2 9 3" xfId="21750" xr:uid="{0089AF52-A40C-4136-B061-532E5652E314}"/>
    <cellStyle name="Normal 8 3 3" xfId="500" xr:uid="{00000000-0005-0000-0000-0000811D0000}"/>
    <cellStyle name="Normal 8 3 3 10" xfId="17535" xr:uid="{C93E6CF9-55AA-4CC3-B565-F44AEEF47D05}"/>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BB2FD561-5591-43EB-AAEE-5E624057B9DC}"/>
    <cellStyle name="Normal 8 3 3 2 2 2 2 3" xfId="24313" xr:uid="{A6998F4F-70C0-4AD2-AFCC-FAD84D880A14}"/>
    <cellStyle name="Normal 8 3 3 2 2 2 3" xfId="11649" xr:uid="{B174366A-290D-4DC1-99FC-C060F39BCDCB}"/>
    <cellStyle name="Normal 8 3 3 2 2 2 4" xfId="20096" xr:uid="{62FC0C25-663D-4C3F-8D1C-94D899C3B5B7}"/>
    <cellStyle name="Normal 8 3 3 2 2 3" xfId="5280" xr:uid="{00000000-0005-0000-0000-0000861D0000}"/>
    <cellStyle name="Normal 8 3 3 2 2 3 2" xfId="13722" xr:uid="{C570997D-3EDC-4978-B979-C9621591963E}"/>
    <cellStyle name="Normal 8 3 3 2 2 3 3" xfId="22168" xr:uid="{51FF1006-3456-4205-959B-EF9067491EB5}"/>
    <cellStyle name="Normal 8 3 3 2 2 4" xfId="9504" xr:uid="{4E8C5F50-D729-4983-8DE2-4A26AB0B8BE9}"/>
    <cellStyle name="Normal 8 3 3 2 2 5" xfId="17949" xr:uid="{3A46BDFB-783F-4A6D-8D54-A982859876DB}"/>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63CB9FC4-2183-42EB-89FD-8F0ED721A3AA}"/>
    <cellStyle name="Normal 8 3 3 2 3 2 2 3" xfId="24726" xr:uid="{B4B3EE45-B430-40BE-85FF-C0C56CBC255C}"/>
    <cellStyle name="Normal 8 3 3 2 3 2 3" xfId="12062" xr:uid="{B8BC8B08-9F2A-4FC5-A42A-D9973E37F1A8}"/>
    <cellStyle name="Normal 8 3 3 2 3 2 4" xfId="20509" xr:uid="{2BC689E5-4B93-443D-B364-899667B47728}"/>
    <cellStyle name="Normal 8 3 3 2 3 3" xfId="5693" xr:uid="{00000000-0005-0000-0000-00008A1D0000}"/>
    <cellStyle name="Normal 8 3 3 2 3 3 2" xfId="14135" xr:uid="{328E36B0-C612-45FA-A161-CEE9C9AEC417}"/>
    <cellStyle name="Normal 8 3 3 2 3 3 3" xfId="22581" xr:uid="{E563D8DF-101A-4461-8648-3A1D8FC81D14}"/>
    <cellStyle name="Normal 8 3 3 2 3 4" xfId="9917" xr:uid="{18BC8DE8-6126-4188-8E1E-1A9C63B1B23C}"/>
    <cellStyle name="Normal 8 3 3 2 3 5" xfId="18362" xr:uid="{4332A591-96DB-45A2-96CE-0934CDA86166}"/>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7DA3897B-6E78-4731-93CB-17B1AAFCD6AA}"/>
    <cellStyle name="Normal 8 3 3 2 4 2 2 3" xfId="25139" xr:uid="{303C636D-F769-40D7-9A0B-C0568FB90C9A}"/>
    <cellStyle name="Normal 8 3 3 2 4 2 3" xfId="12475" xr:uid="{37E14C6B-9836-44AA-9B35-ACADDEFD4DC4}"/>
    <cellStyle name="Normal 8 3 3 2 4 2 4" xfId="20922" xr:uid="{E2B91375-AB06-41C9-BD13-3964162B1537}"/>
    <cellStyle name="Normal 8 3 3 2 4 3" xfId="6106" xr:uid="{00000000-0005-0000-0000-00008E1D0000}"/>
    <cellStyle name="Normal 8 3 3 2 4 3 2" xfId="14548" xr:uid="{C33210AF-9182-4B7F-AF39-64739235A48A}"/>
    <cellStyle name="Normal 8 3 3 2 4 3 3" xfId="22994" xr:uid="{A8F82171-9AF5-43ED-B45F-4C2E0540FCA9}"/>
    <cellStyle name="Normal 8 3 3 2 4 4" xfId="10330" xr:uid="{3CC336E5-7BF1-4E0C-BC7C-7C19E8DCDF41}"/>
    <cellStyle name="Normal 8 3 3 2 4 5" xfId="18775" xr:uid="{BE048985-73EC-48D0-BD1A-287AA6DF0B5C}"/>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44331461-7A1C-4B0E-9FAC-1B2BC4E84B70}"/>
    <cellStyle name="Normal 8 3 3 2 5 2 2 3" xfId="25552" xr:uid="{DE7C460F-C1E7-43A4-A3D7-83FD21E07A9F}"/>
    <cellStyle name="Normal 8 3 3 2 5 2 3" xfId="12888" xr:uid="{F7DD782A-22A8-4E61-8C69-E426FB7FE8BE}"/>
    <cellStyle name="Normal 8 3 3 2 5 2 4" xfId="21335" xr:uid="{5FE5F526-A03B-4A2A-8E2E-56BA6721056E}"/>
    <cellStyle name="Normal 8 3 3 2 5 3" xfId="6519" xr:uid="{00000000-0005-0000-0000-0000921D0000}"/>
    <cellStyle name="Normal 8 3 3 2 5 3 2" xfId="14961" xr:uid="{E348B7C1-BE83-4A90-96E9-9C7EFF2DF47A}"/>
    <cellStyle name="Normal 8 3 3 2 5 3 3" xfId="23407" xr:uid="{C97C8BC5-573B-40E3-A623-8F10A1EBF3CE}"/>
    <cellStyle name="Normal 8 3 3 2 5 4" xfId="10743" xr:uid="{44B3BE98-487F-4A41-9C0B-033AF7CEA2B3}"/>
    <cellStyle name="Normal 8 3 3 2 5 5" xfId="19188" xr:uid="{D3D6CE00-BC46-4CB2-9CC5-1D673EE44AE6}"/>
    <cellStyle name="Normal 8 3 3 2 6" xfId="2648" xr:uid="{00000000-0005-0000-0000-0000931D0000}"/>
    <cellStyle name="Normal 8 3 3 2 6 2" xfId="6932" xr:uid="{00000000-0005-0000-0000-0000941D0000}"/>
    <cellStyle name="Normal 8 3 3 2 6 2 2" xfId="15374" xr:uid="{8DDA79CC-FFC3-4A7D-B425-FE5EEA7B29F7}"/>
    <cellStyle name="Normal 8 3 3 2 6 2 3" xfId="23820" xr:uid="{9463F46A-2DFE-488A-B423-190A5B2F001D}"/>
    <cellStyle name="Normal 8 3 3 2 6 3" xfId="11156" xr:uid="{1625C64B-9FE8-4DEC-A323-1718DA069235}"/>
    <cellStyle name="Normal 8 3 3 2 6 4" xfId="19601" xr:uid="{3F079B3D-D23D-4843-B295-B1E2BABE4E59}"/>
    <cellStyle name="Normal 8 3 3 2 7" xfId="4867" xr:uid="{00000000-0005-0000-0000-0000951D0000}"/>
    <cellStyle name="Normal 8 3 3 2 7 2" xfId="13309" xr:uid="{3282CFF9-E469-4AEF-9849-53AF85C55CD5}"/>
    <cellStyle name="Normal 8 3 3 2 7 3" xfId="21755" xr:uid="{BCF43540-3A5A-4932-ACE6-303BF47AEB3C}"/>
    <cellStyle name="Normal 8 3 3 2 8" xfId="9091" xr:uid="{F8810EE1-D2F5-44B4-8679-54CF04D73669}"/>
    <cellStyle name="Normal 8 3 3 2 9" xfId="17536" xr:uid="{BE8C3464-A8C4-447F-8F3F-98C9293D04D4}"/>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6D33577B-4DAC-45E1-A7C2-31D1EAF0FFC5}"/>
    <cellStyle name="Normal 8 3 3 3 2 2 3" xfId="24312" xr:uid="{ED779B2C-C999-4C34-BF9D-84F073803DA0}"/>
    <cellStyle name="Normal 8 3 3 3 2 3" xfId="11648" xr:uid="{01EB62AD-9007-4EED-A6CC-3B44C6B454C0}"/>
    <cellStyle name="Normal 8 3 3 3 2 4" xfId="20095" xr:uid="{79A92AF8-1B65-43F5-8A4B-916B4C428A43}"/>
    <cellStyle name="Normal 8 3 3 3 3" xfId="5279" xr:uid="{00000000-0005-0000-0000-0000991D0000}"/>
    <cellStyle name="Normal 8 3 3 3 3 2" xfId="13721" xr:uid="{9ACD01C8-8894-4F10-AA48-EF949B423083}"/>
    <cellStyle name="Normal 8 3 3 3 3 3" xfId="22167" xr:uid="{7691BDF3-7690-46AA-ACEF-CA83A5590C66}"/>
    <cellStyle name="Normal 8 3 3 3 4" xfId="9503" xr:uid="{47AAD34E-7A38-4199-8E7D-F2D521416B2D}"/>
    <cellStyle name="Normal 8 3 3 3 5" xfId="17948" xr:uid="{E8CCAE76-43B1-475A-BCA0-58EA1D9D09DF}"/>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6FB4925A-4EFF-4CDA-9ECF-5FF03D23C0E3}"/>
    <cellStyle name="Normal 8 3 3 4 2 2 3" xfId="24725" xr:uid="{B3D4E2D2-9019-41E6-B331-DB14FFEE920A}"/>
    <cellStyle name="Normal 8 3 3 4 2 3" xfId="12061" xr:uid="{5C520D0E-7054-4677-928D-9E393C09F714}"/>
    <cellStyle name="Normal 8 3 3 4 2 4" xfId="20508" xr:uid="{8FC473FA-F5F6-4600-8E6A-9759A0D24C47}"/>
    <cellStyle name="Normal 8 3 3 4 3" xfId="5692" xr:uid="{00000000-0005-0000-0000-00009D1D0000}"/>
    <cellStyle name="Normal 8 3 3 4 3 2" xfId="14134" xr:uid="{470767CA-0D14-4844-AB24-D193F7DD41D3}"/>
    <cellStyle name="Normal 8 3 3 4 3 3" xfId="22580" xr:uid="{E90F172A-3C21-4ADB-A168-0F4A3122D9EA}"/>
    <cellStyle name="Normal 8 3 3 4 4" xfId="9916" xr:uid="{A2E54E6D-03F8-48F8-84CC-E20C181AB33F}"/>
    <cellStyle name="Normal 8 3 3 4 5" xfId="18361" xr:uid="{B5D51FB7-09B1-4F8B-BE2F-F283DB46FC92}"/>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83ECAE51-A917-49B3-A347-F5C1755AFF41}"/>
    <cellStyle name="Normal 8 3 3 5 2 2 3" xfId="25138" xr:uid="{9D90E0FB-746C-4D98-9FF0-F6A88F7FE3AC}"/>
    <cellStyle name="Normal 8 3 3 5 2 3" xfId="12474" xr:uid="{3A994147-92EF-4BB0-B1D8-19B77A34A3B9}"/>
    <cellStyle name="Normal 8 3 3 5 2 4" xfId="20921" xr:uid="{95D52AAE-4ECA-483A-9B92-137CBAC76951}"/>
    <cellStyle name="Normal 8 3 3 5 3" xfId="6105" xr:uid="{00000000-0005-0000-0000-0000A11D0000}"/>
    <cellStyle name="Normal 8 3 3 5 3 2" xfId="14547" xr:uid="{DF6B1E35-85E6-43C0-BC61-94EA563F6E26}"/>
    <cellStyle name="Normal 8 3 3 5 3 3" xfId="22993" xr:uid="{C8752912-3526-4001-AEE1-BF2EE7FD9317}"/>
    <cellStyle name="Normal 8 3 3 5 4" xfId="10329" xr:uid="{E20A4BE2-F05F-4D9E-B61A-5EBBF1015108}"/>
    <cellStyle name="Normal 8 3 3 5 5" xfId="18774" xr:uid="{567F4148-E20E-41A2-A0E6-767110E2F0F5}"/>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A92E9472-DF14-4136-9F5C-1A7E038905D9}"/>
    <cellStyle name="Normal 8 3 3 6 2 2 3" xfId="25551" xr:uid="{E86CB6F1-99D2-479F-9E88-8EE6D172A7CA}"/>
    <cellStyle name="Normal 8 3 3 6 2 3" xfId="12887" xr:uid="{30C40D93-77B0-4C1A-B0AD-D0F1FCF4949B}"/>
    <cellStyle name="Normal 8 3 3 6 2 4" xfId="21334" xr:uid="{0782932B-7A22-4BB6-995C-D6F3BA23811F}"/>
    <cellStyle name="Normal 8 3 3 6 3" xfId="6518" xr:uid="{00000000-0005-0000-0000-0000A51D0000}"/>
    <cellStyle name="Normal 8 3 3 6 3 2" xfId="14960" xr:uid="{96223A26-C062-4BB3-BDA8-4488E8083F90}"/>
    <cellStyle name="Normal 8 3 3 6 3 3" xfId="23406" xr:uid="{D61A5108-FC1C-473A-93DF-D9E24B4AE9B2}"/>
    <cellStyle name="Normal 8 3 3 6 4" xfId="10742" xr:uid="{F22E6760-AF5E-4A57-A3FF-2850610098C9}"/>
    <cellStyle name="Normal 8 3 3 6 5" xfId="19187" xr:uid="{273B1F38-EC38-4257-BD2B-4980B1620A42}"/>
    <cellStyle name="Normal 8 3 3 7" xfId="2647" xr:uid="{00000000-0005-0000-0000-0000A61D0000}"/>
    <cellStyle name="Normal 8 3 3 7 2" xfId="6931" xr:uid="{00000000-0005-0000-0000-0000A71D0000}"/>
    <cellStyle name="Normal 8 3 3 7 2 2" xfId="15373" xr:uid="{A25DC784-473D-416F-9D6E-5C48FDD1F763}"/>
    <cellStyle name="Normal 8 3 3 7 2 3" xfId="23819" xr:uid="{5C17C950-FDDD-422E-B606-BEACA3CC4DDF}"/>
    <cellStyle name="Normal 8 3 3 7 3" xfId="11155" xr:uid="{007B644D-0293-41B2-8856-B69441866FA0}"/>
    <cellStyle name="Normal 8 3 3 7 4" xfId="19600" xr:uid="{25BDA749-963F-41C1-8AA0-FE914B83097E}"/>
    <cellStyle name="Normal 8 3 3 8" xfId="4866" xr:uid="{00000000-0005-0000-0000-0000A81D0000}"/>
    <cellStyle name="Normal 8 3 3 8 2" xfId="13308" xr:uid="{D80DD0CC-9CF7-47C0-95CA-889AA57E6A8A}"/>
    <cellStyle name="Normal 8 3 3 8 3" xfId="21754" xr:uid="{ED4A6CEC-B2DF-40B3-8143-BD864CDEB378}"/>
    <cellStyle name="Normal 8 3 3 9" xfId="9090" xr:uid="{505F8D08-5EFE-4BEF-A635-EEECA31E1B4E}"/>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91D5FA52-06E6-4B0C-A6C1-1106744C14F3}"/>
    <cellStyle name="Normal 8 3 4 2 2 2 3" xfId="24314" xr:uid="{1E0F2513-9C96-443E-BBD2-D19D82C69242}"/>
    <cellStyle name="Normal 8 3 4 2 2 3" xfId="11650" xr:uid="{A2060A84-B54D-4462-B14C-0167F6DF9229}"/>
    <cellStyle name="Normal 8 3 4 2 2 4" xfId="20097" xr:uid="{5128822A-C075-4114-B43F-D9EE318865AF}"/>
    <cellStyle name="Normal 8 3 4 2 3" xfId="5281" xr:uid="{00000000-0005-0000-0000-0000AD1D0000}"/>
    <cellStyle name="Normal 8 3 4 2 3 2" xfId="13723" xr:uid="{D5FD8F50-8D49-46B4-8A57-3E8831CA8686}"/>
    <cellStyle name="Normal 8 3 4 2 3 3" xfId="22169" xr:uid="{E14E53A5-6BF8-42FB-9AC3-683659918454}"/>
    <cellStyle name="Normal 8 3 4 2 4" xfId="9505" xr:uid="{C178D256-C81D-4FFA-B591-82628D72CF65}"/>
    <cellStyle name="Normal 8 3 4 2 5" xfId="17950" xr:uid="{07E22C7A-3EE3-47BB-BD43-8F82F104B426}"/>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BDD51746-4518-41AD-93CB-7AFD946CEA47}"/>
    <cellStyle name="Normal 8 3 4 3 2 2 3" xfId="24727" xr:uid="{EFDED8A9-411B-45E8-BE0F-EEC3C030A6EF}"/>
    <cellStyle name="Normal 8 3 4 3 2 3" xfId="12063" xr:uid="{AAE04658-1048-414B-A107-4533764BBAD5}"/>
    <cellStyle name="Normal 8 3 4 3 2 4" xfId="20510" xr:uid="{13AE5C48-1668-4431-BFF0-73BD682DD033}"/>
    <cellStyle name="Normal 8 3 4 3 3" xfId="5694" xr:uid="{00000000-0005-0000-0000-0000B11D0000}"/>
    <cellStyle name="Normal 8 3 4 3 3 2" xfId="14136" xr:uid="{60651D67-A55F-4F5C-9959-E04EE2BEE24E}"/>
    <cellStyle name="Normal 8 3 4 3 3 3" xfId="22582" xr:uid="{100D3226-2104-45CC-8B86-1B4AE1ABDE38}"/>
    <cellStyle name="Normal 8 3 4 3 4" xfId="9918" xr:uid="{875EAC2D-6DE1-48D1-A3A3-A2DB25CA339C}"/>
    <cellStyle name="Normal 8 3 4 3 5" xfId="18363" xr:uid="{5B1820FE-D561-4730-8450-1B866E1E3B0E}"/>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476BC0A0-11A8-4D10-9BD5-085304C07C79}"/>
    <cellStyle name="Normal 8 3 4 4 2 2 3" xfId="25140" xr:uid="{DD2A4F2A-7CED-4185-B1DA-0B7AA87D1546}"/>
    <cellStyle name="Normal 8 3 4 4 2 3" xfId="12476" xr:uid="{12AF6C05-D79F-464F-AB5F-A8CC362E598C}"/>
    <cellStyle name="Normal 8 3 4 4 2 4" xfId="20923" xr:uid="{44FE56A6-1641-4C71-874A-5FED03126D44}"/>
    <cellStyle name="Normal 8 3 4 4 3" xfId="6107" xr:uid="{00000000-0005-0000-0000-0000B51D0000}"/>
    <cellStyle name="Normal 8 3 4 4 3 2" xfId="14549" xr:uid="{A93BB431-E68D-485A-AA82-1ADD32B3EBCF}"/>
    <cellStyle name="Normal 8 3 4 4 3 3" xfId="22995" xr:uid="{3907C060-7C96-4972-8A33-CFD68C5F71CE}"/>
    <cellStyle name="Normal 8 3 4 4 4" xfId="10331" xr:uid="{13B8F24C-9E8C-46C9-9410-BC5429788BE3}"/>
    <cellStyle name="Normal 8 3 4 4 5" xfId="18776" xr:uid="{A0092E67-065F-4300-BCAC-41577CFF1B45}"/>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E797E98D-1835-4032-BE27-6CDAC6A48538}"/>
    <cellStyle name="Normal 8 3 4 5 2 2 3" xfId="25553" xr:uid="{04C30827-0C72-44E2-8912-0B9CCA4B174E}"/>
    <cellStyle name="Normal 8 3 4 5 2 3" xfId="12889" xr:uid="{77E40EA1-F7D1-4573-9616-EC6E57B9F8C4}"/>
    <cellStyle name="Normal 8 3 4 5 2 4" xfId="21336" xr:uid="{B168E074-1C8C-4809-ABA9-93DF04534556}"/>
    <cellStyle name="Normal 8 3 4 5 3" xfId="6520" xr:uid="{00000000-0005-0000-0000-0000B91D0000}"/>
    <cellStyle name="Normal 8 3 4 5 3 2" xfId="14962" xr:uid="{659AE5AF-E257-459B-9473-E3F048468A28}"/>
    <cellStyle name="Normal 8 3 4 5 3 3" xfId="23408" xr:uid="{D8303808-B5B7-48E8-8B40-27147B209B7B}"/>
    <cellStyle name="Normal 8 3 4 5 4" xfId="10744" xr:uid="{C8FCF0A3-3D70-4657-A6BE-433E59D2F74D}"/>
    <cellStyle name="Normal 8 3 4 5 5" xfId="19189" xr:uid="{D347D5A9-DAFC-4D04-BC59-E9A0AB3EE27C}"/>
    <cellStyle name="Normal 8 3 4 6" xfId="2649" xr:uid="{00000000-0005-0000-0000-0000BA1D0000}"/>
    <cellStyle name="Normal 8 3 4 6 2" xfId="6933" xr:uid="{00000000-0005-0000-0000-0000BB1D0000}"/>
    <cellStyle name="Normal 8 3 4 6 2 2" xfId="15375" xr:uid="{07FF2228-0675-486F-BC92-3B723348F70D}"/>
    <cellStyle name="Normal 8 3 4 6 2 3" xfId="23821" xr:uid="{1782A7E5-E1E8-4991-9D82-1CD30A089461}"/>
    <cellStyle name="Normal 8 3 4 6 3" xfId="11157" xr:uid="{55B50CC3-84E3-497F-959E-510B809F6E39}"/>
    <cellStyle name="Normal 8 3 4 6 4" xfId="19602" xr:uid="{ACBE1DBA-EB06-450E-A60B-51DF83CE15DC}"/>
    <cellStyle name="Normal 8 3 4 7" xfId="4868" xr:uid="{00000000-0005-0000-0000-0000BC1D0000}"/>
    <cellStyle name="Normal 8 3 4 7 2" xfId="13310" xr:uid="{2DECE9DB-4FD8-41F6-A55D-F23CFA3977B4}"/>
    <cellStyle name="Normal 8 3 4 7 3" xfId="21756" xr:uid="{934EF377-D4E1-4494-B9E0-CD06DC428777}"/>
    <cellStyle name="Normal 8 3 4 8" xfId="9092" xr:uid="{B9C4D576-7633-4F3B-8C45-A661700B3BB6}"/>
    <cellStyle name="Normal 8 3 4 9" xfId="17537" xr:uid="{F724DCC8-127C-415C-88D2-E1F2374AC788}"/>
    <cellStyle name="Normal 8 3 5" xfId="962" xr:uid="{00000000-0005-0000-0000-0000BD1D0000}"/>
    <cellStyle name="Normal 8 3 5 2" xfId="3196" xr:uid="{00000000-0005-0000-0000-0000BE1D0000}"/>
    <cellStyle name="Normal 8 3 5 2 2" xfId="7419" xr:uid="{00000000-0005-0000-0000-0000BF1D0000}"/>
    <cellStyle name="Normal 8 3 5 2 2 2" xfId="15861" xr:uid="{FEE749FB-975A-4A3C-9782-78C8C4AFE792}"/>
    <cellStyle name="Normal 8 3 5 2 2 3" xfId="24307" xr:uid="{B272CEA2-6450-480D-9B02-0E0FBCF1D926}"/>
    <cellStyle name="Normal 8 3 5 2 3" xfId="11643" xr:uid="{F08A625E-63C3-4051-98F3-8E474BAEA63B}"/>
    <cellStyle name="Normal 8 3 5 2 4" xfId="20090" xr:uid="{A00815D0-2CEB-4555-B062-1F228EDA5F07}"/>
    <cellStyle name="Normal 8 3 5 3" xfId="5274" xr:uid="{00000000-0005-0000-0000-0000C01D0000}"/>
    <cellStyle name="Normal 8 3 5 3 2" xfId="13716" xr:uid="{699458E9-88ED-498A-8EFD-306AC95C43FF}"/>
    <cellStyle name="Normal 8 3 5 3 3" xfId="22162" xr:uid="{9D3F5F20-63FF-416E-BBBA-40C5F3A7559E}"/>
    <cellStyle name="Normal 8 3 5 4" xfId="9498" xr:uid="{4A15A6C8-939A-4EB9-A25C-A66D22EC0585}"/>
    <cellStyle name="Normal 8 3 5 5" xfId="17943" xr:uid="{4DFB5BBF-4865-4F81-9600-120EC8CB9886}"/>
    <cellStyle name="Normal 8 3 6" xfId="1379" xr:uid="{00000000-0005-0000-0000-0000C11D0000}"/>
    <cellStyle name="Normal 8 3 6 2" xfId="3609" xr:uid="{00000000-0005-0000-0000-0000C21D0000}"/>
    <cellStyle name="Normal 8 3 6 2 2" xfId="7832" xr:uid="{00000000-0005-0000-0000-0000C31D0000}"/>
    <cellStyle name="Normal 8 3 6 2 2 2" xfId="16274" xr:uid="{F607C49E-78F9-49D5-9F7A-11FF7D7CB791}"/>
    <cellStyle name="Normal 8 3 6 2 2 3" xfId="24720" xr:uid="{32D69A29-8D69-4B9D-BDAC-76FC2F242487}"/>
    <cellStyle name="Normal 8 3 6 2 3" xfId="12056" xr:uid="{6FF31237-3E64-4DF1-8050-93BF641C3CDD}"/>
    <cellStyle name="Normal 8 3 6 2 4" xfId="20503" xr:uid="{9692954C-6361-4D5B-8F6F-77B8CBE2A0C6}"/>
    <cellStyle name="Normal 8 3 6 3" xfId="5687" xr:uid="{00000000-0005-0000-0000-0000C41D0000}"/>
    <cellStyle name="Normal 8 3 6 3 2" xfId="14129" xr:uid="{6D618F8F-0F51-44C2-80CB-C522F2FF5F7C}"/>
    <cellStyle name="Normal 8 3 6 3 3" xfId="22575" xr:uid="{544F9E50-3EBF-47B3-844A-CD26E35B44CC}"/>
    <cellStyle name="Normal 8 3 6 4" xfId="9911" xr:uid="{FBD1CD09-A680-414A-A125-3C674D893B36}"/>
    <cellStyle name="Normal 8 3 6 5" xfId="18356" xr:uid="{1F0398C2-81D7-4B89-B93B-4A6F093468EC}"/>
    <cellStyle name="Normal 8 3 7" xfId="1792" xr:uid="{00000000-0005-0000-0000-0000C51D0000}"/>
    <cellStyle name="Normal 8 3 7 2" xfId="4022" xr:uid="{00000000-0005-0000-0000-0000C61D0000}"/>
    <cellStyle name="Normal 8 3 7 2 2" xfId="8245" xr:uid="{00000000-0005-0000-0000-0000C71D0000}"/>
    <cellStyle name="Normal 8 3 7 2 2 2" xfId="16687" xr:uid="{19D06959-F188-47E8-961A-0B6D486D47D8}"/>
    <cellStyle name="Normal 8 3 7 2 2 3" xfId="25133" xr:uid="{08DDADFC-A209-42F8-AE5A-2D369876E092}"/>
    <cellStyle name="Normal 8 3 7 2 3" xfId="12469" xr:uid="{1892B1C0-19A1-4C75-BF06-60920A42C993}"/>
    <cellStyle name="Normal 8 3 7 2 4" xfId="20916" xr:uid="{5505CC35-9AE2-4FEE-9076-CE8EFB9C2217}"/>
    <cellStyle name="Normal 8 3 7 3" xfId="6100" xr:uid="{00000000-0005-0000-0000-0000C81D0000}"/>
    <cellStyle name="Normal 8 3 7 3 2" xfId="14542" xr:uid="{F33BF8D8-C4A0-4572-A2C8-320BC531A709}"/>
    <cellStyle name="Normal 8 3 7 3 3" xfId="22988" xr:uid="{11E0B16F-7EFC-47FF-AE9F-75D0A26AE54F}"/>
    <cellStyle name="Normal 8 3 7 4" xfId="10324" xr:uid="{DF20D33A-4937-448D-8D3F-A22E844EA662}"/>
    <cellStyle name="Normal 8 3 7 5" xfId="18769" xr:uid="{9B35BAB1-6434-4271-967A-344C14E84027}"/>
    <cellStyle name="Normal 8 3 8" xfId="2206" xr:uid="{00000000-0005-0000-0000-0000C91D0000}"/>
    <cellStyle name="Normal 8 3 8 2" xfId="4435" xr:uid="{00000000-0005-0000-0000-0000CA1D0000}"/>
    <cellStyle name="Normal 8 3 8 2 2" xfId="8658" xr:uid="{00000000-0005-0000-0000-0000CB1D0000}"/>
    <cellStyle name="Normal 8 3 8 2 2 2" xfId="17100" xr:uid="{C55AEADB-8A74-4B8F-9000-EC2FFF365AAA}"/>
    <cellStyle name="Normal 8 3 8 2 2 3" xfId="25546" xr:uid="{1E49E99F-F9D7-4DF9-89AF-A0E444A37743}"/>
    <cellStyle name="Normal 8 3 8 2 3" xfId="12882" xr:uid="{4E924045-9004-4590-84E8-463E8F4A2670}"/>
    <cellStyle name="Normal 8 3 8 2 4" xfId="21329" xr:uid="{655C8FF2-4E6C-4671-9EB2-77A3897DB28B}"/>
    <cellStyle name="Normal 8 3 8 3" xfId="6513" xr:uid="{00000000-0005-0000-0000-0000CC1D0000}"/>
    <cellStyle name="Normal 8 3 8 3 2" xfId="14955" xr:uid="{45481398-A39E-40BD-A5B1-73892B0051DA}"/>
    <cellStyle name="Normal 8 3 8 3 3" xfId="23401" xr:uid="{9693CB83-C177-47F1-8FED-7F9D96AC2494}"/>
    <cellStyle name="Normal 8 3 8 4" xfId="10737" xr:uid="{FE1B1454-DB80-4A3A-AC42-85CAFC087333}"/>
    <cellStyle name="Normal 8 3 8 5" xfId="19182" xr:uid="{E797EF06-79DA-4C3B-B7F7-28FD683B09E8}"/>
    <cellStyle name="Normal 8 3 9" xfId="2642" xr:uid="{00000000-0005-0000-0000-0000CD1D0000}"/>
    <cellStyle name="Normal 8 3 9 2" xfId="6926" xr:uid="{00000000-0005-0000-0000-0000CE1D0000}"/>
    <cellStyle name="Normal 8 3 9 2 2" xfId="15368" xr:uid="{E852F8B9-3A91-4AAD-BA02-081986F739E3}"/>
    <cellStyle name="Normal 8 3 9 2 3" xfId="23814" xr:uid="{9E162B49-F2FC-4791-98C9-C684414FE485}"/>
    <cellStyle name="Normal 8 3 9 3" xfId="11150" xr:uid="{5C104A53-C9E0-4BA8-AF89-1B3E6A9B0C44}"/>
    <cellStyle name="Normal 8 3 9 4" xfId="19595" xr:uid="{17142383-6D55-470D-AF3F-E3D7DDD0297B}"/>
    <cellStyle name="Normal 8 4" xfId="503" xr:uid="{00000000-0005-0000-0000-0000CF1D0000}"/>
    <cellStyle name="Normal 8 4 10" xfId="9093" xr:uid="{062D54C8-3F87-48D9-BB59-5E5BBD5D4718}"/>
    <cellStyle name="Normal 8 4 11" xfId="17538" xr:uid="{2D66B34A-8CDF-4C4C-BA7C-221B37627CEE}"/>
    <cellStyle name="Normal 8 4 2" xfId="504" xr:uid="{00000000-0005-0000-0000-0000D01D0000}"/>
    <cellStyle name="Normal 8 4 2 10" xfId="17539" xr:uid="{775D7ADA-DED9-4956-A36D-823CEED2FDD7}"/>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8B294707-75C9-4D7A-BAAE-563075F3D0C9}"/>
    <cellStyle name="Normal 8 4 2 2 2 2 2 3" xfId="24317" xr:uid="{33712519-FACE-49C4-B58C-14A835CBD642}"/>
    <cellStyle name="Normal 8 4 2 2 2 2 3" xfId="11653" xr:uid="{F429C290-B99B-4012-9F33-B624F0176AB0}"/>
    <cellStyle name="Normal 8 4 2 2 2 2 4" xfId="20100" xr:uid="{8301BF26-9882-4930-B5C5-09D5D8E66783}"/>
    <cellStyle name="Normal 8 4 2 2 2 3" xfId="5284" xr:uid="{00000000-0005-0000-0000-0000D51D0000}"/>
    <cellStyle name="Normal 8 4 2 2 2 3 2" xfId="13726" xr:uid="{B26329E8-221C-4101-8088-FE670B6038E2}"/>
    <cellStyle name="Normal 8 4 2 2 2 3 3" xfId="22172" xr:uid="{FCB9B878-86E5-4E8C-B932-AFC2EB7EAE53}"/>
    <cellStyle name="Normal 8 4 2 2 2 4" xfId="9508" xr:uid="{BC45CEEA-D76A-48E0-B414-FFA2B71B5BD1}"/>
    <cellStyle name="Normal 8 4 2 2 2 5" xfId="17953" xr:uid="{10CA7C3E-B539-4C96-86A6-C151C23476E3}"/>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DD086442-7199-40AE-B9CC-95EA34C3C5A8}"/>
    <cellStyle name="Normal 8 4 2 2 3 2 2 3" xfId="24730" xr:uid="{0C31768B-86E8-47D0-9A6A-B9D5C204F044}"/>
    <cellStyle name="Normal 8 4 2 2 3 2 3" xfId="12066" xr:uid="{252DFBA3-01B7-422D-9FF3-BF6861FBC66D}"/>
    <cellStyle name="Normal 8 4 2 2 3 2 4" xfId="20513" xr:uid="{2AFCFF8D-6B65-4EA0-B962-A3EB419C78E7}"/>
    <cellStyle name="Normal 8 4 2 2 3 3" xfId="5697" xr:uid="{00000000-0005-0000-0000-0000D91D0000}"/>
    <cellStyle name="Normal 8 4 2 2 3 3 2" xfId="14139" xr:uid="{78772099-8D30-440D-910D-C2B7655DE6DF}"/>
    <cellStyle name="Normal 8 4 2 2 3 3 3" xfId="22585" xr:uid="{A906E7E0-B581-4CE4-9030-5EE29E79082A}"/>
    <cellStyle name="Normal 8 4 2 2 3 4" xfId="9921" xr:uid="{513EAE90-061E-4BD9-A5A7-121FFCBEEEE3}"/>
    <cellStyle name="Normal 8 4 2 2 3 5" xfId="18366" xr:uid="{C7DDAE5D-1FDA-4368-B032-2FA81BD30FB6}"/>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02FE0622-2CAA-4455-8261-E4EAEC491113}"/>
    <cellStyle name="Normal 8 4 2 2 4 2 2 3" xfId="25143" xr:uid="{6E544675-E6C2-492B-AD88-DADA610D60F4}"/>
    <cellStyle name="Normal 8 4 2 2 4 2 3" xfId="12479" xr:uid="{748AD3D8-18C1-4ADC-8772-5396BD8AEDD7}"/>
    <cellStyle name="Normal 8 4 2 2 4 2 4" xfId="20926" xr:uid="{864A5368-0F4A-4E71-B3B1-69280410D9E8}"/>
    <cellStyle name="Normal 8 4 2 2 4 3" xfId="6110" xr:uid="{00000000-0005-0000-0000-0000DD1D0000}"/>
    <cellStyle name="Normal 8 4 2 2 4 3 2" xfId="14552" xr:uid="{F77121AC-B662-40CF-8B20-2F1C507256CC}"/>
    <cellStyle name="Normal 8 4 2 2 4 3 3" xfId="22998" xr:uid="{0FA48267-9FE0-41DE-8A93-D0921D322E09}"/>
    <cellStyle name="Normal 8 4 2 2 4 4" xfId="10334" xr:uid="{AF44C64A-6273-4C06-8DA8-C66DDEC66A83}"/>
    <cellStyle name="Normal 8 4 2 2 4 5" xfId="18779" xr:uid="{57E0C4B9-C0C1-4DED-B84F-5FAE99306DE9}"/>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88C76160-78DB-45A8-AF93-0D2B887C9F7E}"/>
    <cellStyle name="Normal 8 4 2 2 5 2 2 3" xfId="25556" xr:uid="{A1C9F0D8-AB93-4997-BFC0-B921023B9B8B}"/>
    <cellStyle name="Normal 8 4 2 2 5 2 3" xfId="12892" xr:uid="{5A89D33C-C924-4AD2-860D-BB7E330A1970}"/>
    <cellStyle name="Normal 8 4 2 2 5 2 4" xfId="21339" xr:uid="{09F2B3FC-F271-4FD1-8681-BF647C6C7D2B}"/>
    <cellStyle name="Normal 8 4 2 2 5 3" xfId="6523" xr:uid="{00000000-0005-0000-0000-0000E11D0000}"/>
    <cellStyle name="Normal 8 4 2 2 5 3 2" xfId="14965" xr:uid="{EA805DE7-4376-4805-AB94-E9BBFBBD049A}"/>
    <cellStyle name="Normal 8 4 2 2 5 3 3" xfId="23411" xr:uid="{686DC8DC-3E6A-4C41-97B9-8500C6701ECC}"/>
    <cellStyle name="Normal 8 4 2 2 5 4" xfId="10747" xr:uid="{CA8A0A8F-969B-4407-BBB8-BD3D48BBFDD9}"/>
    <cellStyle name="Normal 8 4 2 2 5 5" xfId="19192" xr:uid="{83CE5BCD-24F7-48FF-BDB4-4B7F1661071A}"/>
    <cellStyle name="Normal 8 4 2 2 6" xfId="2652" xr:uid="{00000000-0005-0000-0000-0000E21D0000}"/>
    <cellStyle name="Normal 8 4 2 2 6 2" xfId="6936" xr:uid="{00000000-0005-0000-0000-0000E31D0000}"/>
    <cellStyle name="Normal 8 4 2 2 6 2 2" xfId="15378" xr:uid="{E872167C-BC81-40D8-87D2-852C06C68CBC}"/>
    <cellStyle name="Normal 8 4 2 2 6 2 3" xfId="23824" xr:uid="{2C5486AA-6772-44A6-B4D7-46AB1535957D}"/>
    <cellStyle name="Normal 8 4 2 2 6 3" xfId="11160" xr:uid="{7E314D8F-9769-4468-8F18-F55EEB1D90DF}"/>
    <cellStyle name="Normal 8 4 2 2 6 4" xfId="19605" xr:uid="{8AE40EA4-2883-47F7-A089-4AAC2DD9D1C0}"/>
    <cellStyle name="Normal 8 4 2 2 7" xfId="4871" xr:uid="{00000000-0005-0000-0000-0000E41D0000}"/>
    <cellStyle name="Normal 8 4 2 2 7 2" xfId="13313" xr:uid="{DDAC37DE-3021-41E4-8DD4-163DC1E3A874}"/>
    <cellStyle name="Normal 8 4 2 2 7 3" xfId="21759" xr:uid="{359BCB83-0697-4D00-86C4-F2F298DD17BB}"/>
    <cellStyle name="Normal 8 4 2 2 8" xfId="9095" xr:uid="{8BC1DDF6-92A5-40A2-A415-A4316B04E017}"/>
    <cellStyle name="Normal 8 4 2 2 9" xfId="17540" xr:uid="{14BB0655-55B9-4CFF-8BCB-7C0FE63A131B}"/>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03E1F219-1BFC-44BB-A5FA-957A036D3ABB}"/>
    <cellStyle name="Normal 8 4 2 3 2 2 3" xfId="24316" xr:uid="{1278B0FD-1503-41D9-8C3E-2B7A547595FB}"/>
    <cellStyle name="Normal 8 4 2 3 2 3" xfId="11652" xr:uid="{C8DFE0C9-13B0-433E-AEEF-D095004CE64F}"/>
    <cellStyle name="Normal 8 4 2 3 2 4" xfId="20099" xr:uid="{B20ECAFB-FF42-4813-B4C5-40D0019205D5}"/>
    <cellStyle name="Normal 8 4 2 3 3" xfId="5283" xr:uid="{00000000-0005-0000-0000-0000E81D0000}"/>
    <cellStyle name="Normal 8 4 2 3 3 2" xfId="13725" xr:uid="{E7C54D37-B5F3-47DD-B59B-0230BEF1EA97}"/>
    <cellStyle name="Normal 8 4 2 3 3 3" xfId="22171" xr:uid="{3638E5B7-731A-4007-94DF-F1492C1CE1A2}"/>
    <cellStyle name="Normal 8 4 2 3 4" xfId="9507" xr:uid="{C52E6838-F89B-418E-BA13-479FD85262D0}"/>
    <cellStyle name="Normal 8 4 2 3 5" xfId="17952" xr:uid="{86C5C97D-1622-466C-9A60-A7B87E5CA2D5}"/>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85AC76AF-0F90-471F-88CE-C0E873CE0B2A}"/>
    <cellStyle name="Normal 8 4 2 4 2 2 3" xfId="24729" xr:uid="{937D2C53-68B1-4043-8389-E1957DB321C2}"/>
    <cellStyle name="Normal 8 4 2 4 2 3" xfId="12065" xr:uid="{7216D326-ED23-4236-B160-684A6F477044}"/>
    <cellStyle name="Normal 8 4 2 4 2 4" xfId="20512" xr:uid="{77C176F0-0CBC-41D1-B44E-F44EDC000037}"/>
    <cellStyle name="Normal 8 4 2 4 3" xfId="5696" xr:uid="{00000000-0005-0000-0000-0000EC1D0000}"/>
    <cellStyle name="Normal 8 4 2 4 3 2" xfId="14138" xr:uid="{2F24DE53-41A6-4946-B982-A9079E06689C}"/>
    <cellStyle name="Normal 8 4 2 4 3 3" xfId="22584" xr:uid="{BD90E4A3-8C8B-4374-99D7-708F9122CF48}"/>
    <cellStyle name="Normal 8 4 2 4 4" xfId="9920" xr:uid="{7B6F8F44-F7DD-4F8E-819F-7F722AAC1E8D}"/>
    <cellStyle name="Normal 8 4 2 4 5" xfId="18365" xr:uid="{15DB5BB8-9531-4707-A901-FB2B38DDC567}"/>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AC2E4498-57E3-4DDE-9837-BBA232930413}"/>
    <cellStyle name="Normal 8 4 2 5 2 2 3" xfId="25142" xr:uid="{79A4FCCF-652B-49DA-9DD2-DB0F13B6D9FB}"/>
    <cellStyle name="Normal 8 4 2 5 2 3" xfId="12478" xr:uid="{FA15DA01-18B8-4395-B47D-09F46788A9AF}"/>
    <cellStyle name="Normal 8 4 2 5 2 4" xfId="20925" xr:uid="{B11D7B6D-FC50-4D9A-9CBC-351ECA5620CF}"/>
    <cellStyle name="Normal 8 4 2 5 3" xfId="6109" xr:uid="{00000000-0005-0000-0000-0000F01D0000}"/>
    <cellStyle name="Normal 8 4 2 5 3 2" xfId="14551" xr:uid="{0C5481E4-6071-4292-9131-B4E5C99149E8}"/>
    <cellStyle name="Normal 8 4 2 5 3 3" xfId="22997" xr:uid="{2B65BD44-C22D-4E85-BC9C-B41935F16B45}"/>
    <cellStyle name="Normal 8 4 2 5 4" xfId="10333" xr:uid="{E6F22951-9A5D-40F2-913E-19AC35FC2457}"/>
    <cellStyle name="Normal 8 4 2 5 5" xfId="18778" xr:uid="{29DAA133-67A0-400A-990F-3AADBC0D1B69}"/>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BB18C0F1-F59D-4E04-817E-6E6F3FB7CB2E}"/>
    <cellStyle name="Normal 8 4 2 6 2 2 3" xfId="25555" xr:uid="{05C13B8E-82D4-495E-BC6B-3B3E3E30DB1F}"/>
    <cellStyle name="Normal 8 4 2 6 2 3" xfId="12891" xr:uid="{8F55AFA9-5876-428B-8427-F601E6F5DFDF}"/>
    <cellStyle name="Normal 8 4 2 6 2 4" xfId="21338" xr:uid="{08B4D6E2-77E5-454A-B4C7-379F2727C987}"/>
    <cellStyle name="Normal 8 4 2 6 3" xfId="6522" xr:uid="{00000000-0005-0000-0000-0000F41D0000}"/>
    <cellStyle name="Normal 8 4 2 6 3 2" xfId="14964" xr:uid="{D10D3A80-382B-4E5F-B1E6-A3DB0122BD9C}"/>
    <cellStyle name="Normal 8 4 2 6 3 3" xfId="23410" xr:uid="{42C5703D-5732-408B-885B-20937C1C2C41}"/>
    <cellStyle name="Normal 8 4 2 6 4" xfId="10746" xr:uid="{D4386B11-6E8C-4381-B8E1-46A417BC6BA2}"/>
    <cellStyle name="Normal 8 4 2 6 5" xfId="19191" xr:uid="{DA7AA345-F33D-4F63-9B1D-383DA7F53B54}"/>
    <cellStyle name="Normal 8 4 2 7" xfId="2651" xr:uid="{00000000-0005-0000-0000-0000F51D0000}"/>
    <cellStyle name="Normal 8 4 2 7 2" xfId="6935" xr:uid="{00000000-0005-0000-0000-0000F61D0000}"/>
    <cellStyle name="Normal 8 4 2 7 2 2" xfId="15377" xr:uid="{C2B34BE8-83D9-45E6-96F0-C3B1998156CF}"/>
    <cellStyle name="Normal 8 4 2 7 2 3" xfId="23823" xr:uid="{0803CE98-D3AE-48D8-BA69-0CD2007B16BB}"/>
    <cellStyle name="Normal 8 4 2 7 3" xfId="11159" xr:uid="{04F96A38-29BE-479C-93B2-CB2B3F56D420}"/>
    <cellStyle name="Normal 8 4 2 7 4" xfId="19604" xr:uid="{10A29D95-E68C-4756-925F-4C99A7D19EFD}"/>
    <cellStyle name="Normal 8 4 2 8" xfId="4870" xr:uid="{00000000-0005-0000-0000-0000F71D0000}"/>
    <cellStyle name="Normal 8 4 2 8 2" xfId="13312" xr:uid="{E457E735-DC2C-415B-BF0C-2DECFFA044B0}"/>
    <cellStyle name="Normal 8 4 2 8 3" xfId="21758" xr:uid="{65106B72-5749-4E57-BEE7-1E6CF440433B}"/>
    <cellStyle name="Normal 8 4 2 9" xfId="9094" xr:uid="{791A5BD4-9374-4B32-AE63-71B7D3EE9E2C}"/>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660B9F28-9B0F-46E0-B2BD-69521BBD232C}"/>
    <cellStyle name="Normal 8 4 3 2 2 2 3" xfId="24318" xr:uid="{6EB96062-4AA1-4D10-A6AB-15EE6CB0C1D7}"/>
    <cellStyle name="Normal 8 4 3 2 2 3" xfId="11654" xr:uid="{79F8F7A0-BCDF-45E2-BBB0-F31340FE0AEE}"/>
    <cellStyle name="Normal 8 4 3 2 2 4" xfId="20101" xr:uid="{39C9BE40-A48F-4FDD-A736-4C8B70C165E3}"/>
    <cellStyle name="Normal 8 4 3 2 3" xfId="5285" xr:uid="{00000000-0005-0000-0000-0000FC1D0000}"/>
    <cellStyle name="Normal 8 4 3 2 3 2" xfId="13727" xr:uid="{4053C6FD-2820-4AF7-8997-896A7307A6B0}"/>
    <cellStyle name="Normal 8 4 3 2 3 3" xfId="22173" xr:uid="{4C7F1B20-5C61-461F-A1BF-E065BFAFC938}"/>
    <cellStyle name="Normal 8 4 3 2 4" xfId="9509" xr:uid="{6B6221BC-D023-4A64-ABD3-D76451D6F662}"/>
    <cellStyle name="Normal 8 4 3 2 5" xfId="17954" xr:uid="{778BFEB9-586D-4FE6-A430-6082E805567F}"/>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C1BC216F-EBDF-4A27-8B54-4C9912437553}"/>
    <cellStyle name="Normal 8 4 3 3 2 2 3" xfId="24731" xr:uid="{79F5D474-4D3C-44A9-A837-217BACCE0B25}"/>
    <cellStyle name="Normal 8 4 3 3 2 3" xfId="12067" xr:uid="{0B220F3A-6F21-47EC-AFA6-1B25847B0690}"/>
    <cellStyle name="Normal 8 4 3 3 2 4" xfId="20514" xr:uid="{A1F95737-9522-4B41-8BDE-F88D15FBA1C9}"/>
    <cellStyle name="Normal 8 4 3 3 3" xfId="5698" xr:uid="{00000000-0005-0000-0000-0000001E0000}"/>
    <cellStyle name="Normal 8 4 3 3 3 2" xfId="14140" xr:uid="{B63E1293-130A-48B1-B63B-057D6C96450D}"/>
    <cellStyle name="Normal 8 4 3 3 3 3" xfId="22586" xr:uid="{84388DF7-F46D-422C-A435-29739E8C06C5}"/>
    <cellStyle name="Normal 8 4 3 3 4" xfId="9922" xr:uid="{4DBD2938-D38D-4D97-AE96-5A3B6C41CD4A}"/>
    <cellStyle name="Normal 8 4 3 3 5" xfId="18367" xr:uid="{0EBBD82A-C0F9-4DE4-A437-DD03B71E615F}"/>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EB50DB14-EE86-4EEA-BC8A-33249D28A3EC}"/>
    <cellStyle name="Normal 8 4 3 4 2 2 3" xfId="25144" xr:uid="{CC57964B-4116-4439-958B-6D36F9FE469D}"/>
    <cellStyle name="Normal 8 4 3 4 2 3" xfId="12480" xr:uid="{83E376AC-E440-463F-A3F1-788D53BC7CD2}"/>
    <cellStyle name="Normal 8 4 3 4 2 4" xfId="20927" xr:uid="{FF441685-4DF4-424C-868F-82D3D6BA3144}"/>
    <cellStyle name="Normal 8 4 3 4 3" xfId="6111" xr:uid="{00000000-0005-0000-0000-0000041E0000}"/>
    <cellStyle name="Normal 8 4 3 4 3 2" xfId="14553" xr:uid="{94A88577-BD9F-4782-BA42-440F9CE025DE}"/>
    <cellStyle name="Normal 8 4 3 4 3 3" xfId="22999" xr:uid="{1CA9A135-9D8C-44E1-B2C7-9CBEF0863A0F}"/>
    <cellStyle name="Normal 8 4 3 4 4" xfId="10335" xr:uid="{4CD1F1CC-74DA-4B50-93A6-B98F989ABF0F}"/>
    <cellStyle name="Normal 8 4 3 4 5" xfId="18780" xr:uid="{269FB624-6CA4-45AC-9E41-FC445B302F25}"/>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0849FD22-52B5-4BEE-AE0F-2DCCE088E45E}"/>
    <cellStyle name="Normal 8 4 3 5 2 2 3" xfId="25557" xr:uid="{F023B3E2-8293-4BAB-B380-3DCCF972D2C1}"/>
    <cellStyle name="Normal 8 4 3 5 2 3" xfId="12893" xr:uid="{10A022B7-7A25-4262-B826-5C0DF37B073D}"/>
    <cellStyle name="Normal 8 4 3 5 2 4" xfId="21340" xr:uid="{2467593B-1C03-42A2-BC96-4E0DDB3B9B5A}"/>
    <cellStyle name="Normal 8 4 3 5 3" xfId="6524" xr:uid="{00000000-0005-0000-0000-0000081E0000}"/>
    <cellStyle name="Normal 8 4 3 5 3 2" xfId="14966" xr:uid="{F07F0992-9E71-4100-93FA-64AB1B79E4C9}"/>
    <cellStyle name="Normal 8 4 3 5 3 3" xfId="23412" xr:uid="{6269CD63-19F5-4F0E-B20A-9428410A8ED4}"/>
    <cellStyle name="Normal 8 4 3 5 4" xfId="10748" xr:uid="{E6D8FEBB-6206-4D36-84D1-4A697410A39E}"/>
    <cellStyle name="Normal 8 4 3 5 5" xfId="19193" xr:uid="{8B5EE3CC-9C25-4B42-8AC6-84EA0DACE1E1}"/>
    <cellStyle name="Normal 8 4 3 6" xfId="2653" xr:uid="{00000000-0005-0000-0000-0000091E0000}"/>
    <cellStyle name="Normal 8 4 3 6 2" xfId="6937" xr:uid="{00000000-0005-0000-0000-00000A1E0000}"/>
    <cellStyle name="Normal 8 4 3 6 2 2" xfId="15379" xr:uid="{A77CF7DE-FEF4-43EA-A81E-F4001D020B8B}"/>
    <cellStyle name="Normal 8 4 3 6 2 3" xfId="23825" xr:uid="{69DDA180-D54A-4244-9144-DEEE7EFD7362}"/>
    <cellStyle name="Normal 8 4 3 6 3" xfId="11161" xr:uid="{C3855092-444A-4D9C-BA5A-207AF495BD91}"/>
    <cellStyle name="Normal 8 4 3 6 4" xfId="19606" xr:uid="{8E10E0D6-27F4-427F-81C3-8822AB53C315}"/>
    <cellStyle name="Normal 8 4 3 7" xfId="4872" xr:uid="{00000000-0005-0000-0000-00000B1E0000}"/>
    <cellStyle name="Normal 8 4 3 7 2" xfId="13314" xr:uid="{245C16B0-BF9B-440E-939A-5E83DECCD5B1}"/>
    <cellStyle name="Normal 8 4 3 7 3" xfId="21760" xr:uid="{B9CF00C0-0828-4A39-B13A-21A2F85EF0FF}"/>
    <cellStyle name="Normal 8 4 3 8" xfId="9096" xr:uid="{5E6F3EA4-DDAD-4459-B0E3-EBC6765F24A9}"/>
    <cellStyle name="Normal 8 4 3 9" xfId="17541" xr:uid="{81CDF8B1-9C62-4BFD-ADE2-2659EAF0BA5E}"/>
    <cellStyle name="Normal 8 4 4" xfId="970" xr:uid="{00000000-0005-0000-0000-00000C1E0000}"/>
    <cellStyle name="Normal 8 4 4 2" xfId="3204" xr:uid="{00000000-0005-0000-0000-00000D1E0000}"/>
    <cellStyle name="Normal 8 4 4 2 2" xfId="7427" xr:uid="{00000000-0005-0000-0000-00000E1E0000}"/>
    <cellStyle name="Normal 8 4 4 2 2 2" xfId="15869" xr:uid="{E8AE2B61-9918-456C-9EEA-008CFC43B6D9}"/>
    <cellStyle name="Normal 8 4 4 2 2 3" xfId="24315" xr:uid="{580670A6-1AED-413C-863B-91CE78ECC485}"/>
    <cellStyle name="Normal 8 4 4 2 3" xfId="11651" xr:uid="{B9981C00-F193-422D-A6EA-993FDABF2702}"/>
    <cellStyle name="Normal 8 4 4 2 4" xfId="20098" xr:uid="{1C5FA076-1A23-42DB-B506-818EB9E874C2}"/>
    <cellStyle name="Normal 8 4 4 3" xfId="5282" xr:uid="{00000000-0005-0000-0000-00000F1E0000}"/>
    <cellStyle name="Normal 8 4 4 3 2" xfId="13724" xr:uid="{44B31D44-8BCB-444D-AA0E-6BCA311DDDAA}"/>
    <cellStyle name="Normal 8 4 4 3 3" xfId="22170" xr:uid="{A9C84DE9-A7BA-48B0-85BD-CAA6555C8AF5}"/>
    <cellStyle name="Normal 8 4 4 4" xfId="9506" xr:uid="{CBA86874-A8CD-43A2-8DDF-86E9AD9797F5}"/>
    <cellStyle name="Normal 8 4 4 5" xfId="17951" xr:uid="{C187B1A2-0556-4BBC-962E-95E0CBBB193E}"/>
    <cellStyle name="Normal 8 4 5" xfId="1387" xr:uid="{00000000-0005-0000-0000-0000101E0000}"/>
    <cellStyle name="Normal 8 4 5 2" xfId="3617" xr:uid="{00000000-0005-0000-0000-0000111E0000}"/>
    <cellStyle name="Normal 8 4 5 2 2" xfId="7840" xr:uid="{00000000-0005-0000-0000-0000121E0000}"/>
    <cellStyle name="Normal 8 4 5 2 2 2" xfId="16282" xr:uid="{AFBD78BB-52C1-436B-8DB7-349B7F303188}"/>
    <cellStyle name="Normal 8 4 5 2 2 3" xfId="24728" xr:uid="{D3F15245-9EA2-4D36-882D-BC633C2A656F}"/>
    <cellStyle name="Normal 8 4 5 2 3" xfId="12064" xr:uid="{76F6EFDB-8951-4872-9CBE-81C62B0B1D95}"/>
    <cellStyle name="Normal 8 4 5 2 4" xfId="20511" xr:uid="{2932979B-B62D-4FE3-9B65-1062BE4A90BD}"/>
    <cellStyle name="Normal 8 4 5 3" xfId="5695" xr:uid="{00000000-0005-0000-0000-0000131E0000}"/>
    <cellStyle name="Normal 8 4 5 3 2" xfId="14137" xr:uid="{89D38C3D-B16B-4412-AD92-F0F4A5E31C17}"/>
    <cellStyle name="Normal 8 4 5 3 3" xfId="22583" xr:uid="{D754D72F-A0BE-4F23-853B-74054A0EEA9B}"/>
    <cellStyle name="Normal 8 4 5 4" xfId="9919" xr:uid="{84A07F52-260B-47F8-923A-C3F449282F34}"/>
    <cellStyle name="Normal 8 4 5 5" xfId="18364" xr:uid="{C6929D1E-4B9B-4D56-859D-1F261C3179A9}"/>
    <cellStyle name="Normal 8 4 6" xfId="1800" xr:uid="{00000000-0005-0000-0000-0000141E0000}"/>
    <cellStyle name="Normal 8 4 6 2" xfId="4030" xr:uid="{00000000-0005-0000-0000-0000151E0000}"/>
    <cellStyle name="Normal 8 4 6 2 2" xfId="8253" xr:uid="{00000000-0005-0000-0000-0000161E0000}"/>
    <cellStyle name="Normal 8 4 6 2 2 2" xfId="16695" xr:uid="{743B87E1-2D03-4857-AE1E-F13E56FA5874}"/>
    <cellStyle name="Normal 8 4 6 2 2 3" xfId="25141" xr:uid="{06195833-6130-4866-BF49-95EA54A3EE8B}"/>
    <cellStyle name="Normal 8 4 6 2 3" xfId="12477" xr:uid="{5179A53B-5AF6-4FCC-AA7B-9DFFDC68EA63}"/>
    <cellStyle name="Normal 8 4 6 2 4" xfId="20924" xr:uid="{2A5F308F-7166-482A-9C1A-5A51E326D260}"/>
    <cellStyle name="Normal 8 4 6 3" xfId="6108" xr:uid="{00000000-0005-0000-0000-0000171E0000}"/>
    <cellStyle name="Normal 8 4 6 3 2" xfId="14550" xr:uid="{63ABB4D7-E231-4BAD-80FC-AE05F777650B}"/>
    <cellStyle name="Normal 8 4 6 3 3" xfId="22996" xr:uid="{B476D345-1EF0-49E8-81ED-5B558326ED30}"/>
    <cellStyle name="Normal 8 4 6 4" xfId="10332" xr:uid="{944AA0BF-7705-453A-AD55-32CB802E804E}"/>
    <cellStyle name="Normal 8 4 6 5" xfId="18777" xr:uid="{DAC53F88-2399-4188-A33F-6F3280123C1F}"/>
    <cellStyle name="Normal 8 4 7" xfId="2214" xr:uid="{00000000-0005-0000-0000-0000181E0000}"/>
    <cellStyle name="Normal 8 4 7 2" xfId="4443" xr:uid="{00000000-0005-0000-0000-0000191E0000}"/>
    <cellStyle name="Normal 8 4 7 2 2" xfId="8666" xr:uid="{00000000-0005-0000-0000-00001A1E0000}"/>
    <cellStyle name="Normal 8 4 7 2 2 2" xfId="17108" xr:uid="{E34DEF19-5C3E-4CF7-BD02-97B1D941C6B0}"/>
    <cellStyle name="Normal 8 4 7 2 2 3" xfId="25554" xr:uid="{CD843CE1-0D2F-4F69-BAD1-61527ABF44FA}"/>
    <cellStyle name="Normal 8 4 7 2 3" xfId="12890" xr:uid="{0A83DD27-2598-4074-9DF9-5661FB561DB8}"/>
    <cellStyle name="Normal 8 4 7 2 4" xfId="21337" xr:uid="{CC1F3F6D-C8A4-43DC-A507-A578B380B218}"/>
    <cellStyle name="Normal 8 4 7 3" xfId="6521" xr:uid="{00000000-0005-0000-0000-00001B1E0000}"/>
    <cellStyle name="Normal 8 4 7 3 2" xfId="14963" xr:uid="{2A48441B-B5D3-4BCA-8244-2508C5406F5E}"/>
    <cellStyle name="Normal 8 4 7 3 3" xfId="23409" xr:uid="{E4CBA25A-19CF-4483-AB5F-15423A811385}"/>
    <cellStyle name="Normal 8 4 7 4" xfId="10745" xr:uid="{3BD7CD2E-C5F1-426E-B09D-B605D7BB6040}"/>
    <cellStyle name="Normal 8 4 7 5" xfId="19190" xr:uid="{3C7DD812-41D9-4E5F-A586-96091B6AD3DB}"/>
    <cellStyle name="Normal 8 4 8" xfId="2650" xr:uid="{00000000-0005-0000-0000-00001C1E0000}"/>
    <cellStyle name="Normal 8 4 8 2" xfId="6934" xr:uid="{00000000-0005-0000-0000-00001D1E0000}"/>
    <cellStyle name="Normal 8 4 8 2 2" xfId="15376" xr:uid="{21316803-4E9B-4300-86E6-4CFB4EB07E03}"/>
    <cellStyle name="Normal 8 4 8 2 3" xfId="23822" xr:uid="{9E3711CC-05B0-45FC-9FBF-C50D8F2C8E0F}"/>
    <cellStyle name="Normal 8 4 8 3" xfId="11158" xr:uid="{D47EEADA-FECA-4987-B64C-EF004CF35277}"/>
    <cellStyle name="Normal 8 4 8 4" xfId="19603" xr:uid="{6D1E8A15-6EA4-456A-82FA-AAA9FABB01B6}"/>
    <cellStyle name="Normal 8 4 9" xfId="4869" xr:uid="{00000000-0005-0000-0000-00001E1E0000}"/>
    <cellStyle name="Normal 8 4 9 2" xfId="13311" xr:uid="{25CC6879-B6C2-4402-8C75-80C1D4414537}"/>
    <cellStyle name="Normal 8 4 9 3" xfId="21757" xr:uid="{B34AFB0A-5204-4B25-BE82-6A5D9EDBDD17}"/>
    <cellStyle name="Normal 8 5" xfId="507" xr:uid="{00000000-0005-0000-0000-00001F1E0000}"/>
    <cellStyle name="Normal 8 5 10" xfId="17542" xr:uid="{ADA4009D-1D37-4489-97BD-1AC973394B3C}"/>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991BB467-30A5-48BB-AF4B-6F6542D2D218}"/>
    <cellStyle name="Normal 8 5 2 2 2 2 3" xfId="24320" xr:uid="{EB26E851-5407-44E5-BDC1-CBBCEA94471E}"/>
    <cellStyle name="Normal 8 5 2 2 2 3" xfId="11656" xr:uid="{C2A9C47F-1117-4AD9-B073-A414136D0BC5}"/>
    <cellStyle name="Normal 8 5 2 2 2 4" xfId="20103" xr:uid="{7A783D07-387E-42D1-B2C4-5638D5B7DE88}"/>
    <cellStyle name="Normal 8 5 2 2 3" xfId="5287" xr:uid="{00000000-0005-0000-0000-0000241E0000}"/>
    <cellStyle name="Normal 8 5 2 2 3 2" xfId="13729" xr:uid="{449761CA-7DE2-44BA-851E-E2A390296AAA}"/>
    <cellStyle name="Normal 8 5 2 2 3 3" xfId="22175" xr:uid="{8655B253-94AA-4441-9078-65C1BB32F598}"/>
    <cellStyle name="Normal 8 5 2 2 4" xfId="9511" xr:uid="{265DE1E1-3D52-46FB-B4F3-9FC522D339E5}"/>
    <cellStyle name="Normal 8 5 2 2 5" xfId="17956" xr:uid="{65E884A0-D9C1-43FF-94CA-2611965FBB4F}"/>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6CE00368-B710-42EF-AD4F-28E4F19265AE}"/>
    <cellStyle name="Normal 8 5 2 3 2 2 3" xfId="24733" xr:uid="{6A36BAA4-950C-47B0-96A0-F3A3CF07DC24}"/>
    <cellStyle name="Normal 8 5 2 3 2 3" xfId="12069" xr:uid="{6FEC3B19-DE8A-4B22-8CE2-1F532B72373D}"/>
    <cellStyle name="Normal 8 5 2 3 2 4" xfId="20516" xr:uid="{30DA42E6-14CD-4370-B245-939FFFA07ACF}"/>
    <cellStyle name="Normal 8 5 2 3 3" xfId="5700" xr:uid="{00000000-0005-0000-0000-0000281E0000}"/>
    <cellStyle name="Normal 8 5 2 3 3 2" xfId="14142" xr:uid="{9F43434A-E886-4B8F-ABDC-0D97ADFFBD14}"/>
    <cellStyle name="Normal 8 5 2 3 3 3" xfId="22588" xr:uid="{D0DF32FD-E145-425F-A863-3C2343404A71}"/>
    <cellStyle name="Normal 8 5 2 3 4" xfId="9924" xr:uid="{C0A12506-6A10-4243-985C-91903FFD87CC}"/>
    <cellStyle name="Normal 8 5 2 3 5" xfId="18369" xr:uid="{AB2E185F-77A0-4151-9F4D-D8E1B432DF26}"/>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D21264A3-BDC0-431F-B8B5-10130CB57E16}"/>
    <cellStyle name="Normal 8 5 2 4 2 2 3" xfId="25146" xr:uid="{F2642FD5-DECC-46CD-BB92-C0E6C47BF43B}"/>
    <cellStyle name="Normal 8 5 2 4 2 3" xfId="12482" xr:uid="{CA655F2D-5205-4210-AA11-7D3EBE65E74B}"/>
    <cellStyle name="Normal 8 5 2 4 2 4" xfId="20929" xr:uid="{BDB62290-CE6A-41E4-AF21-39563FBEFA48}"/>
    <cellStyle name="Normal 8 5 2 4 3" xfId="6113" xr:uid="{00000000-0005-0000-0000-00002C1E0000}"/>
    <cellStyle name="Normal 8 5 2 4 3 2" xfId="14555" xr:uid="{74FDCF5A-0225-43D3-AD00-59DC89F8EF24}"/>
    <cellStyle name="Normal 8 5 2 4 3 3" xfId="23001" xr:uid="{BAF24F7F-DB1A-44BA-B860-CEFCE604EA75}"/>
    <cellStyle name="Normal 8 5 2 4 4" xfId="10337" xr:uid="{6017A595-E0AB-4ECD-BB3C-8E1FF0B75AB9}"/>
    <cellStyle name="Normal 8 5 2 4 5" xfId="18782" xr:uid="{AB1E629A-BB12-48E4-8CAD-73601E2EFAD7}"/>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CDB66429-638B-4CC0-ADF4-EA3DB17A75E5}"/>
    <cellStyle name="Normal 8 5 2 5 2 2 3" xfId="25559" xr:uid="{12896629-EFB8-48A2-A3FA-DA500401FE09}"/>
    <cellStyle name="Normal 8 5 2 5 2 3" xfId="12895" xr:uid="{9FD2D20D-ED71-462F-8F25-18F83F93545A}"/>
    <cellStyle name="Normal 8 5 2 5 2 4" xfId="21342" xr:uid="{07E41B92-E1B5-4008-9ACA-232BF9669488}"/>
    <cellStyle name="Normal 8 5 2 5 3" xfId="6526" xr:uid="{00000000-0005-0000-0000-0000301E0000}"/>
    <cellStyle name="Normal 8 5 2 5 3 2" xfId="14968" xr:uid="{BACCDFF9-A393-4012-BCBD-94CB7539BC83}"/>
    <cellStyle name="Normal 8 5 2 5 3 3" xfId="23414" xr:uid="{78E4AB36-6582-4524-A949-45076F2AA85A}"/>
    <cellStyle name="Normal 8 5 2 5 4" xfId="10750" xr:uid="{AD28A044-91B3-4E06-AB99-A512503452A2}"/>
    <cellStyle name="Normal 8 5 2 5 5" xfId="19195" xr:uid="{E1BDB0B7-DF5D-4F90-9261-4245425013CC}"/>
    <cellStyle name="Normal 8 5 2 6" xfId="2655" xr:uid="{00000000-0005-0000-0000-0000311E0000}"/>
    <cellStyle name="Normal 8 5 2 6 2" xfId="6939" xr:uid="{00000000-0005-0000-0000-0000321E0000}"/>
    <cellStyle name="Normal 8 5 2 6 2 2" xfId="15381" xr:uid="{4CE29BAD-C5EC-4401-976F-0BE9A4BBD912}"/>
    <cellStyle name="Normal 8 5 2 6 2 3" xfId="23827" xr:uid="{9681AF56-D876-4A54-BA60-66961F6040B1}"/>
    <cellStyle name="Normal 8 5 2 6 3" xfId="11163" xr:uid="{0F1121A4-A3A3-42AC-99D1-CA8DF373ACFF}"/>
    <cellStyle name="Normal 8 5 2 6 4" xfId="19608" xr:uid="{A2F18963-51FD-4601-92D8-9071A3774B9C}"/>
    <cellStyle name="Normal 8 5 2 7" xfId="4874" xr:uid="{00000000-0005-0000-0000-0000331E0000}"/>
    <cellStyle name="Normal 8 5 2 7 2" xfId="13316" xr:uid="{999B06B8-B1DA-4B88-BAD6-8B3080FD32BE}"/>
    <cellStyle name="Normal 8 5 2 7 3" xfId="21762" xr:uid="{CAC5C56D-7DE9-45FA-A28F-656E03DA8DB1}"/>
    <cellStyle name="Normal 8 5 2 8" xfId="9098" xr:uid="{A3998619-DC4B-402F-82D5-BE39AA2AE16F}"/>
    <cellStyle name="Normal 8 5 2 9" xfId="17543" xr:uid="{FDF1A582-EFE0-475A-A52D-AFBEA4CBDC09}"/>
    <cellStyle name="Normal 8 5 3" xfId="974" xr:uid="{00000000-0005-0000-0000-0000341E0000}"/>
    <cellStyle name="Normal 8 5 3 2" xfId="3208" xr:uid="{00000000-0005-0000-0000-0000351E0000}"/>
    <cellStyle name="Normal 8 5 3 2 2" xfId="7431" xr:uid="{00000000-0005-0000-0000-0000361E0000}"/>
    <cellStyle name="Normal 8 5 3 2 2 2" xfId="15873" xr:uid="{B38426C1-2D5D-47C8-8667-90801864C5FF}"/>
    <cellStyle name="Normal 8 5 3 2 2 3" xfId="24319" xr:uid="{B60868FB-C65A-4C22-9842-4A3ED7FE56DC}"/>
    <cellStyle name="Normal 8 5 3 2 3" xfId="11655" xr:uid="{03C1C1F2-6684-4030-B832-DE521BFA3A3B}"/>
    <cellStyle name="Normal 8 5 3 2 4" xfId="20102" xr:uid="{DA24982F-0E75-4531-8846-F30077DDF809}"/>
    <cellStyle name="Normal 8 5 3 3" xfId="5286" xr:uid="{00000000-0005-0000-0000-0000371E0000}"/>
    <cellStyle name="Normal 8 5 3 3 2" xfId="13728" xr:uid="{1B2F4BA4-5A29-474C-81B8-9404BA21CCD1}"/>
    <cellStyle name="Normal 8 5 3 3 3" xfId="22174" xr:uid="{22C650CB-EA7A-4E98-BC00-5C265718C5D2}"/>
    <cellStyle name="Normal 8 5 3 4" xfId="9510" xr:uid="{98286EC5-BB24-488C-86DF-138DC0C8C678}"/>
    <cellStyle name="Normal 8 5 3 5" xfId="17955" xr:uid="{995AF771-B644-498D-A391-883C84F2CD54}"/>
    <cellStyle name="Normal 8 5 4" xfId="1391" xr:uid="{00000000-0005-0000-0000-0000381E0000}"/>
    <cellStyle name="Normal 8 5 4 2" xfId="3621" xr:uid="{00000000-0005-0000-0000-0000391E0000}"/>
    <cellStyle name="Normal 8 5 4 2 2" xfId="7844" xr:uid="{00000000-0005-0000-0000-00003A1E0000}"/>
    <cellStyle name="Normal 8 5 4 2 2 2" xfId="16286" xr:uid="{24CD9427-A7F9-4E3D-A59B-B55FF4BD351E}"/>
    <cellStyle name="Normal 8 5 4 2 2 3" xfId="24732" xr:uid="{A9598167-26B2-43A5-B675-CC3D0E5D1C5F}"/>
    <cellStyle name="Normal 8 5 4 2 3" xfId="12068" xr:uid="{32555BC2-5CA5-46D6-94DE-B4BEDE97D2D8}"/>
    <cellStyle name="Normal 8 5 4 2 4" xfId="20515" xr:uid="{2895588F-F86D-44EA-9ED6-61DE1B040A4B}"/>
    <cellStyle name="Normal 8 5 4 3" xfId="5699" xr:uid="{00000000-0005-0000-0000-00003B1E0000}"/>
    <cellStyle name="Normal 8 5 4 3 2" xfId="14141" xr:uid="{843383D8-1D71-4FB1-836F-281415C74746}"/>
    <cellStyle name="Normal 8 5 4 3 3" xfId="22587" xr:uid="{726E733F-D7EE-4D6A-BF3E-6C449CCADA1E}"/>
    <cellStyle name="Normal 8 5 4 4" xfId="9923" xr:uid="{B93BE678-449F-4DC7-95F8-79122C05E981}"/>
    <cellStyle name="Normal 8 5 4 5" xfId="18368" xr:uid="{4B157071-5643-4B2C-A393-39616D36C167}"/>
    <cellStyle name="Normal 8 5 5" xfId="1804" xr:uid="{00000000-0005-0000-0000-00003C1E0000}"/>
    <cellStyle name="Normal 8 5 5 2" xfId="4034" xr:uid="{00000000-0005-0000-0000-00003D1E0000}"/>
    <cellStyle name="Normal 8 5 5 2 2" xfId="8257" xr:uid="{00000000-0005-0000-0000-00003E1E0000}"/>
    <cellStyle name="Normal 8 5 5 2 2 2" xfId="16699" xr:uid="{A5BB0598-4B23-4B42-AB03-888E6DAD7235}"/>
    <cellStyle name="Normal 8 5 5 2 2 3" xfId="25145" xr:uid="{C64874BD-C8F5-49E0-A802-DDCED636D6A0}"/>
    <cellStyle name="Normal 8 5 5 2 3" xfId="12481" xr:uid="{A1CD560D-E13B-41C2-AA33-6319358F4A52}"/>
    <cellStyle name="Normal 8 5 5 2 4" xfId="20928" xr:uid="{DDBE4BC2-B268-44B9-BF55-0406F204E9E8}"/>
    <cellStyle name="Normal 8 5 5 3" xfId="6112" xr:uid="{00000000-0005-0000-0000-00003F1E0000}"/>
    <cellStyle name="Normal 8 5 5 3 2" xfId="14554" xr:uid="{287B3B80-0ED9-4556-9DA9-A91755A5D8C3}"/>
    <cellStyle name="Normal 8 5 5 3 3" xfId="23000" xr:uid="{60605FA9-FADB-4014-9376-91383BCA6133}"/>
    <cellStyle name="Normal 8 5 5 4" xfId="10336" xr:uid="{349FFA8E-CA13-4B9F-9BA6-2356031A26E6}"/>
    <cellStyle name="Normal 8 5 5 5" xfId="18781" xr:uid="{C5E5E4FC-92B0-480E-A392-B00B19172B61}"/>
    <cellStyle name="Normal 8 5 6" xfId="2218" xr:uid="{00000000-0005-0000-0000-0000401E0000}"/>
    <cellStyle name="Normal 8 5 6 2" xfId="4447" xr:uid="{00000000-0005-0000-0000-0000411E0000}"/>
    <cellStyle name="Normal 8 5 6 2 2" xfId="8670" xr:uid="{00000000-0005-0000-0000-0000421E0000}"/>
    <cellStyle name="Normal 8 5 6 2 2 2" xfId="17112" xr:uid="{67AE5E5D-0180-4708-A381-8E913DDD1A7D}"/>
    <cellStyle name="Normal 8 5 6 2 2 3" xfId="25558" xr:uid="{E95942E0-C84A-47F0-960D-5CA0A134E6BC}"/>
    <cellStyle name="Normal 8 5 6 2 3" xfId="12894" xr:uid="{378BE46E-2394-443C-841E-1E1DD0C3F45A}"/>
    <cellStyle name="Normal 8 5 6 2 4" xfId="21341" xr:uid="{AFD53AAD-7BA4-4F69-B0BD-D3C7035BB1E8}"/>
    <cellStyle name="Normal 8 5 6 3" xfId="6525" xr:uid="{00000000-0005-0000-0000-0000431E0000}"/>
    <cellStyle name="Normal 8 5 6 3 2" xfId="14967" xr:uid="{0DE5B6AB-0709-4913-9F34-BD0EE3F70268}"/>
    <cellStyle name="Normal 8 5 6 3 3" xfId="23413" xr:uid="{EE1E1494-1B8B-4E2A-AC75-70A044704054}"/>
    <cellStyle name="Normal 8 5 6 4" xfId="10749" xr:uid="{CC070A81-B61E-4B9A-A3B4-B2CE7891A9DB}"/>
    <cellStyle name="Normal 8 5 6 5" xfId="19194" xr:uid="{020984D1-BB2B-4C3B-B3AD-F9E8F93CB2ED}"/>
    <cellStyle name="Normal 8 5 7" xfId="2654" xr:uid="{00000000-0005-0000-0000-0000441E0000}"/>
    <cellStyle name="Normal 8 5 7 2" xfId="6938" xr:uid="{00000000-0005-0000-0000-0000451E0000}"/>
    <cellStyle name="Normal 8 5 7 2 2" xfId="15380" xr:uid="{F355CF3C-9C6B-4CBE-9ABF-C15AED2F2304}"/>
    <cellStyle name="Normal 8 5 7 2 3" xfId="23826" xr:uid="{C0890440-2FE9-4AD2-8DE2-B980F71B75E7}"/>
    <cellStyle name="Normal 8 5 7 3" xfId="11162" xr:uid="{5D4ADC4E-0F70-43C9-BA32-E713DFEDCF72}"/>
    <cellStyle name="Normal 8 5 7 4" xfId="19607" xr:uid="{1B474BF6-4D75-4D7F-9340-AAC6B4BF9003}"/>
    <cellStyle name="Normal 8 5 8" xfId="4873" xr:uid="{00000000-0005-0000-0000-0000461E0000}"/>
    <cellStyle name="Normal 8 5 8 2" xfId="13315" xr:uid="{83A46C79-6B69-48B2-AE4E-574D7766ABB4}"/>
    <cellStyle name="Normal 8 5 8 3" xfId="21761" xr:uid="{F36F3AD9-7988-416F-B296-7CA5C738C2EC}"/>
    <cellStyle name="Normal 8 5 9" xfId="9097" xr:uid="{E83EBFE8-7B3A-48BA-B7D1-14CC60D7119C}"/>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156D860F-7CFC-449D-BD97-284C2991C7A2}"/>
    <cellStyle name="Normal 8 6 2 2 2 3" xfId="24321" xr:uid="{A5EB50B2-BC7E-4942-856E-B659833AD06A}"/>
    <cellStyle name="Normal 8 6 2 2 3" xfId="11657" xr:uid="{B7D96FC9-BD32-47FE-98A4-F12EEC5AFC39}"/>
    <cellStyle name="Normal 8 6 2 2 4" xfId="20104" xr:uid="{8CF8C27B-0E98-443B-A73F-0D7E159FAD34}"/>
    <cellStyle name="Normal 8 6 2 3" xfId="5288" xr:uid="{00000000-0005-0000-0000-00004B1E0000}"/>
    <cellStyle name="Normal 8 6 2 3 2" xfId="13730" xr:uid="{86A77CBC-6B06-423A-B10F-EA4BC9B677B7}"/>
    <cellStyle name="Normal 8 6 2 3 3" xfId="22176" xr:uid="{AFBC6DB7-AD00-47FA-A01A-EF9D60BF4360}"/>
    <cellStyle name="Normal 8 6 2 4" xfId="9512" xr:uid="{5046E454-1B67-4889-80A0-F07D074B973F}"/>
    <cellStyle name="Normal 8 6 2 5" xfId="17957" xr:uid="{A987FA3B-6D18-4882-A881-2C46D69DCE24}"/>
    <cellStyle name="Normal 8 6 3" xfId="1393" xr:uid="{00000000-0005-0000-0000-00004C1E0000}"/>
    <cellStyle name="Normal 8 6 3 2" xfId="3623" xr:uid="{00000000-0005-0000-0000-00004D1E0000}"/>
    <cellStyle name="Normal 8 6 3 2 2" xfId="7846" xr:uid="{00000000-0005-0000-0000-00004E1E0000}"/>
    <cellStyle name="Normal 8 6 3 2 2 2" xfId="16288" xr:uid="{A00ABC27-E962-4CBE-9410-73DFDDF050EF}"/>
    <cellStyle name="Normal 8 6 3 2 2 3" xfId="24734" xr:uid="{E37C80C3-6138-46F4-A416-90566B6B9394}"/>
    <cellStyle name="Normal 8 6 3 2 3" xfId="12070" xr:uid="{98C43232-3D92-481A-841D-39458DB08E47}"/>
    <cellStyle name="Normal 8 6 3 2 4" xfId="20517" xr:uid="{0A22F671-D606-4449-8E4A-3E94FCB507EF}"/>
    <cellStyle name="Normal 8 6 3 3" xfId="5701" xr:uid="{00000000-0005-0000-0000-00004F1E0000}"/>
    <cellStyle name="Normal 8 6 3 3 2" xfId="14143" xr:uid="{5385398B-F91E-48ED-82F7-B3BFA262F53A}"/>
    <cellStyle name="Normal 8 6 3 3 3" xfId="22589" xr:uid="{47600522-9D0C-4C00-983A-8A6B46392E4B}"/>
    <cellStyle name="Normal 8 6 3 4" xfId="9925" xr:uid="{F5D2674D-E863-4C4F-9727-02DB99245994}"/>
    <cellStyle name="Normal 8 6 3 5" xfId="18370" xr:uid="{4CDB7C06-024E-41E6-A2DD-A88F78DC2069}"/>
    <cellStyle name="Normal 8 6 4" xfId="1806" xr:uid="{00000000-0005-0000-0000-0000501E0000}"/>
    <cellStyle name="Normal 8 6 4 2" xfId="4036" xr:uid="{00000000-0005-0000-0000-0000511E0000}"/>
    <cellStyle name="Normal 8 6 4 2 2" xfId="8259" xr:uid="{00000000-0005-0000-0000-0000521E0000}"/>
    <cellStyle name="Normal 8 6 4 2 2 2" xfId="16701" xr:uid="{23EF2EF8-0B78-4491-B040-8AE20D646097}"/>
    <cellStyle name="Normal 8 6 4 2 2 3" xfId="25147" xr:uid="{98F6047E-C45E-42EA-AF53-EF5C30E701FB}"/>
    <cellStyle name="Normal 8 6 4 2 3" xfId="12483" xr:uid="{41EF5F2B-D86B-4BD7-9139-28A9564E1A4C}"/>
    <cellStyle name="Normal 8 6 4 2 4" xfId="20930" xr:uid="{7D0355BF-9984-4D48-9B29-4C189C989C6C}"/>
    <cellStyle name="Normal 8 6 4 3" xfId="6114" xr:uid="{00000000-0005-0000-0000-0000531E0000}"/>
    <cellStyle name="Normal 8 6 4 3 2" xfId="14556" xr:uid="{C6728361-5385-405A-B995-85FFAE7CE9AC}"/>
    <cellStyle name="Normal 8 6 4 3 3" xfId="23002" xr:uid="{677ADE23-90CA-4536-993B-3A2E8D97AA44}"/>
    <cellStyle name="Normal 8 6 4 4" xfId="10338" xr:uid="{AEC51CB1-509C-4AB0-99E7-C4C33C9C8215}"/>
    <cellStyle name="Normal 8 6 4 5" xfId="18783" xr:uid="{5F22D40B-9E51-4257-9D26-3AC123811542}"/>
    <cellStyle name="Normal 8 6 5" xfId="2220" xr:uid="{00000000-0005-0000-0000-0000541E0000}"/>
    <cellStyle name="Normal 8 6 5 2" xfId="4449" xr:uid="{00000000-0005-0000-0000-0000551E0000}"/>
    <cellStyle name="Normal 8 6 5 2 2" xfId="8672" xr:uid="{00000000-0005-0000-0000-0000561E0000}"/>
    <cellStyle name="Normal 8 6 5 2 2 2" xfId="17114" xr:uid="{65724505-96B1-43D2-AE75-11F5C07A9980}"/>
    <cellStyle name="Normal 8 6 5 2 2 3" xfId="25560" xr:uid="{BE2EDC79-F851-454B-B602-282866EF1943}"/>
    <cellStyle name="Normal 8 6 5 2 3" xfId="12896" xr:uid="{D21B4CEF-2300-4116-9130-36200CE81B8D}"/>
    <cellStyle name="Normal 8 6 5 2 4" xfId="21343" xr:uid="{8317B5F1-3155-4496-8DFD-11F818CF9E4B}"/>
    <cellStyle name="Normal 8 6 5 3" xfId="6527" xr:uid="{00000000-0005-0000-0000-0000571E0000}"/>
    <cellStyle name="Normal 8 6 5 3 2" xfId="14969" xr:uid="{F82702D7-416E-4EC3-8FD9-CD438682B4B8}"/>
    <cellStyle name="Normal 8 6 5 3 3" xfId="23415" xr:uid="{F6A60CFC-29E5-4FDE-AC7B-3A24DB919B4F}"/>
    <cellStyle name="Normal 8 6 5 4" xfId="10751" xr:uid="{C26B409C-34EA-4003-AC04-7B566917BE6D}"/>
    <cellStyle name="Normal 8 6 5 5" xfId="19196" xr:uid="{D4BE6D99-8FAC-42BA-A4E0-E11B9F3958C4}"/>
    <cellStyle name="Normal 8 6 6" xfId="2656" xr:uid="{00000000-0005-0000-0000-0000581E0000}"/>
    <cellStyle name="Normal 8 6 6 2" xfId="6940" xr:uid="{00000000-0005-0000-0000-0000591E0000}"/>
    <cellStyle name="Normal 8 6 6 2 2" xfId="15382" xr:uid="{30FCA5E3-1B43-47B1-918F-90DDEF4CB687}"/>
    <cellStyle name="Normal 8 6 6 2 3" xfId="23828" xr:uid="{D2AB5D37-2773-47A4-AA6D-26566F638299}"/>
    <cellStyle name="Normal 8 6 6 3" xfId="11164" xr:uid="{73DA3269-146F-4326-9D78-C9C59024A003}"/>
    <cellStyle name="Normal 8 6 6 4" xfId="19609" xr:uid="{47351E84-740D-4CB8-B97A-EA335EB8FBE8}"/>
    <cellStyle name="Normal 8 6 7" xfId="4875" xr:uid="{00000000-0005-0000-0000-00005A1E0000}"/>
    <cellStyle name="Normal 8 6 7 2" xfId="13317" xr:uid="{FD76FF3F-FF78-47A8-9584-D52AB055C126}"/>
    <cellStyle name="Normal 8 6 7 3" xfId="21763" xr:uid="{90616097-AB78-4394-9593-73F0ABE21AB0}"/>
    <cellStyle name="Normal 8 6 8" xfId="9099" xr:uid="{1C8882E6-90CD-43E9-96F4-AB8918B28CA6}"/>
    <cellStyle name="Normal 8 6 9" xfId="17544" xr:uid="{B49EEFC7-5C85-45EE-9661-1018FC0BA87B}"/>
    <cellStyle name="Normal 8 7" xfId="945" xr:uid="{00000000-0005-0000-0000-00005B1E0000}"/>
    <cellStyle name="Normal 8 7 2" xfId="3179" xr:uid="{00000000-0005-0000-0000-00005C1E0000}"/>
    <cellStyle name="Normal 8 7 2 2" xfId="7402" xr:uid="{00000000-0005-0000-0000-00005D1E0000}"/>
    <cellStyle name="Normal 8 7 2 2 2" xfId="15844" xr:uid="{1464509D-D38A-45E3-8910-323D8E67CE39}"/>
    <cellStyle name="Normal 8 7 2 2 3" xfId="24290" xr:uid="{11C28AC5-5BB2-43C2-A02B-40DE2FFDCD8D}"/>
    <cellStyle name="Normal 8 7 2 3" xfId="11626" xr:uid="{13819F1A-B9CC-44DB-9B04-B9B2DB5C7329}"/>
    <cellStyle name="Normal 8 7 2 4" xfId="20073" xr:uid="{17968A88-6B75-429F-843E-BAD474979D9F}"/>
    <cellStyle name="Normal 8 7 3" xfId="5257" xr:uid="{00000000-0005-0000-0000-00005E1E0000}"/>
    <cellStyle name="Normal 8 7 3 2" xfId="13699" xr:uid="{429D1D46-03A9-4A90-A0C2-E93C0F5FCBAB}"/>
    <cellStyle name="Normal 8 7 3 3" xfId="22145" xr:uid="{A8BE2732-33B2-483B-AD88-03100BC37725}"/>
    <cellStyle name="Normal 8 7 4" xfId="9481" xr:uid="{1C12B5D1-B4F1-4F10-917D-C936D76D5A29}"/>
    <cellStyle name="Normal 8 7 5" xfId="17926" xr:uid="{C2442FBF-1B54-448B-8689-7E33378D5F14}"/>
    <cellStyle name="Normal 8 8" xfId="1362" xr:uid="{00000000-0005-0000-0000-00005F1E0000}"/>
    <cellStyle name="Normal 8 8 2" xfId="3592" xr:uid="{00000000-0005-0000-0000-0000601E0000}"/>
    <cellStyle name="Normal 8 8 2 2" xfId="7815" xr:uid="{00000000-0005-0000-0000-0000611E0000}"/>
    <cellStyle name="Normal 8 8 2 2 2" xfId="16257" xr:uid="{73C5C081-D54B-4D34-A0B0-43A6F6CCA452}"/>
    <cellStyle name="Normal 8 8 2 2 3" xfId="24703" xr:uid="{9168AB07-04E8-48BB-A1A7-7645F652C714}"/>
    <cellStyle name="Normal 8 8 2 3" xfId="12039" xr:uid="{1E59DD18-E641-4FBC-8F92-DEF7C35D0A63}"/>
    <cellStyle name="Normal 8 8 2 4" xfId="20486" xr:uid="{2188CE27-1C05-4B23-90E4-D42539C5E991}"/>
    <cellStyle name="Normal 8 8 3" xfId="5670" xr:uid="{00000000-0005-0000-0000-0000621E0000}"/>
    <cellStyle name="Normal 8 8 3 2" xfId="14112" xr:uid="{8AAB7F3A-5815-4352-8BAD-BC67D5B02D36}"/>
    <cellStyle name="Normal 8 8 3 3" xfId="22558" xr:uid="{9FBC3439-1685-4690-890F-C6B5C7EF2C6D}"/>
    <cellStyle name="Normal 8 8 4" xfId="9894" xr:uid="{8D73EB76-CCE6-4CB4-A886-3A5875E263E4}"/>
    <cellStyle name="Normal 8 8 5" xfId="18339" xr:uid="{3BC0B41F-EED5-4A65-BDD2-BF67B0F4A778}"/>
    <cellStyle name="Normal 8 9" xfId="1775" xr:uid="{00000000-0005-0000-0000-0000631E0000}"/>
    <cellStyle name="Normal 8 9 2" xfId="4005" xr:uid="{00000000-0005-0000-0000-0000641E0000}"/>
    <cellStyle name="Normal 8 9 2 2" xfId="8228" xr:uid="{00000000-0005-0000-0000-0000651E0000}"/>
    <cellStyle name="Normal 8 9 2 2 2" xfId="16670" xr:uid="{3F2A36A1-9324-4449-BA08-ADD8F1844962}"/>
    <cellStyle name="Normal 8 9 2 2 3" xfId="25116" xr:uid="{6C52A8F4-4F7D-4AC5-8864-CDE88879DED5}"/>
    <cellStyle name="Normal 8 9 2 3" xfId="12452" xr:uid="{82CF7A09-5437-4A2E-B54D-D88F1209A97C}"/>
    <cellStyle name="Normal 8 9 2 4" xfId="20899" xr:uid="{4577829E-5CF2-4D1B-A48A-D286E1151BC1}"/>
    <cellStyle name="Normal 8 9 3" xfId="6083" xr:uid="{00000000-0005-0000-0000-0000661E0000}"/>
    <cellStyle name="Normal 8 9 3 2" xfId="14525" xr:uid="{A2FC9CD8-09DE-488F-AD2B-3868F39E58EF}"/>
    <cellStyle name="Normal 8 9 3 3" xfId="22971" xr:uid="{399ADB4B-D9BC-4E3A-9B12-EFE223D2D303}"/>
    <cellStyle name="Normal 8 9 4" xfId="10307" xr:uid="{6A9AD4B2-D154-4A22-922E-E320F015C6D1}"/>
    <cellStyle name="Normal 8 9 5" xfId="18752" xr:uid="{67C870F3-0E7B-4808-B440-24E5597ED10F}"/>
    <cellStyle name="Normal 8_Dropdowns" xfId="25620" xr:uid="{185CE631-CB75-420E-B3C9-78607A605EEA}"/>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0ACA8445-B92B-4E8B-B40C-EAE68B52054E}"/>
    <cellStyle name="Normal 9 2 10 2 3" xfId="23829" xr:uid="{A4543CA1-BFA0-43C1-AF36-3E59F597ED5B}"/>
    <cellStyle name="Normal 9 2 10 3" xfId="11165" xr:uid="{9698F78D-B8E0-4D3C-BADD-22F965364EF8}"/>
    <cellStyle name="Normal 9 2 10 4" xfId="19610" xr:uid="{6B703B46-8DDE-4749-B154-FBF7E5D237CB}"/>
    <cellStyle name="Normal 9 2 11" xfId="4876" xr:uid="{00000000-0005-0000-0000-00006B1E0000}"/>
    <cellStyle name="Normal 9 2 11 2" xfId="13318" xr:uid="{ADDD77FC-38AB-4A5B-BEBC-F72803CC3B8E}"/>
    <cellStyle name="Normal 9 2 11 3" xfId="21764" xr:uid="{93BC2D59-B054-4200-B98C-9E06AAFB2A55}"/>
    <cellStyle name="Normal 9 2 12" xfId="9100" xr:uid="{4DFD239A-2F36-4CA5-8095-E26C30D49574}"/>
    <cellStyle name="Normal 9 2 13" xfId="17545" xr:uid="{4A5B7CDB-CB8E-4EBD-93BD-8D88B7944A2A}"/>
    <cellStyle name="Normal 9 2 2" xfId="512" xr:uid="{00000000-0005-0000-0000-00006C1E0000}"/>
    <cellStyle name="Normal 9 2 2 10" xfId="4877" xr:uid="{00000000-0005-0000-0000-00006D1E0000}"/>
    <cellStyle name="Normal 9 2 2 10 2" xfId="13319" xr:uid="{B22D3FD8-DE39-41F3-AAA9-5EEF24CF554A}"/>
    <cellStyle name="Normal 9 2 2 10 3" xfId="21765" xr:uid="{96FB719C-C77F-4BAB-8984-9D900D169FDE}"/>
    <cellStyle name="Normal 9 2 2 11" xfId="9101" xr:uid="{254A64FC-0189-46B1-A468-8294954CC859}"/>
    <cellStyle name="Normal 9 2 2 12" xfId="17546" xr:uid="{1A282899-C7C0-4C53-9EB8-0C18EEB0FB72}"/>
    <cellStyle name="Normal 9 2 2 2" xfId="513" xr:uid="{00000000-0005-0000-0000-00006E1E0000}"/>
    <cellStyle name="Normal 9 2 2 2 10" xfId="9102" xr:uid="{E56C01A4-FB97-4126-9394-7012E243C427}"/>
    <cellStyle name="Normal 9 2 2 2 11" xfId="17547" xr:uid="{137FD1B8-B9EA-4764-9E8B-6CDD8FBE04D6}"/>
    <cellStyle name="Normal 9 2 2 2 2" xfId="514" xr:uid="{00000000-0005-0000-0000-00006F1E0000}"/>
    <cellStyle name="Normal 9 2 2 2 2 10" xfId="17548" xr:uid="{8F2C1C21-AE49-4BB5-9DD8-0DC58181D9D7}"/>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E7C708D7-03A7-40AF-88B5-D2F7FE88B996}"/>
    <cellStyle name="Normal 9 2 2 2 2 2 2 2 2 3" xfId="24326" xr:uid="{DAAE6B59-250C-4E40-A308-A2118DD96EBB}"/>
    <cellStyle name="Normal 9 2 2 2 2 2 2 2 3" xfId="11662" xr:uid="{EBEA2DA8-F8F5-4C75-9F2B-4CF67AA1DA04}"/>
    <cellStyle name="Normal 9 2 2 2 2 2 2 2 4" xfId="20109" xr:uid="{B01B29F7-3E10-4181-929A-D14E6AD19AD7}"/>
    <cellStyle name="Normal 9 2 2 2 2 2 2 3" xfId="5293" xr:uid="{00000000-0005-0000-0000-0000741E0000}"/>
    <cellStyle name="Normal 9 2 2 2 2 2 2 3 2" xfId="13735" xr:uid="{50837892-DF68-4108-93CC-AC653A46EA07}"/>
    <cellStyle name="Normal 9 2 2 2 2 2 2 3 3" xfId="22181" xr:uid="{D3F4EC10-07DC-49F4-9FD8-58F7FA393D0A}"/>
    <cellStyle name="Normal 9 2 2 2 2 2 2 4" xfId="9517" xr:uid="{5AA465EE-3AED-4F4E-ACF0-1262C0205B9D}"/>
    <cellStyle name="Normal 9 2 2 2 2 2 2 5" xfId="17962" xr:uid="{EA341D75-8949-41C6-A338-29BD8BC616F2}"/>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74F0895B-A70C-4C30-885B-3BF3E11FC618}"/>
    <cellStyle name="Normal 9 2 2 2 2 2 3 2 2 3" xfId="24739" xr:uid="{50E6ED88-25BF-45A7-A9BF-2A0610C95052}"/>
    <cellStyle name="Normal 9 2 2 2 2 2 3 2 3" xfId="12075" xr:uid="{1253F2B5-2705-47EB-8340-5197DD764298}"/>
    <cellStyle name="Normal 9 2 2 2 2 2 3 2 4" xfId="20522" xr:uid="{6E7D8B49-AF1E-41AA-90F9-E947349E06F4}"/>
    <cellStyle name="Normal 9 2 2 2 2 2 3 3" xfId="5706" xr:uid="{00000000-0005-0000-0000-0000781E0000}"/>
    <cellStyle name="Normal 9 2 2 2 2 2 3 3 2" xfId="14148" xr:uid="{4B22280B-B532-4886-BC43-ECF6A4308FB7}"/>
    <cellStyle name="Normal 9 2 2 2 2 2 3 3 3" xfId="22594" xr:uid="{68AFC158-FE5F-493B-92E0-B95F1B9CBED4}"/>
    <cellStyle name="Normal 9 2 2 2 2 2 3 4" xfId="9930" xr:uid="{60191E86-3B27-4EFF-B8FC-CEBBC7B375DC}"/>
    <cellStyle name="Normal 9 2 2 2 2 2 3 5" xfId="18375" xr:uid="{7C9CA3D6-305E-4936-AE5F-D0CAE35B23F7}"/>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C0F80920-24A0-4C7D-B6E4-23E8740F99A0}"/>
    <cellStyle name="Normal 9 2 2 2 2 2 4 2 2 3" xfId="25152" xr:uid="{B800EF72-C5B3-43AC-A02F-55A7B203F813}"/>
    <cellStyle name="Normal 9 2 2 2 2 2 4 2 3" xfId="12488" xr:uid="{2B4EC8C8-1357-4C42-B841-9037A8FAFD3C}"/>
    <cellStyle name="Normal 9 2 2 2 2 2 4 2 4" xfId="20935" xr:uid="{C1E8C37B-23D5-4726-8546-56A7F224283E}"/>
    <cellStyle name="Normal 9 2 2 2 2 2 4 3" xfId="6119" xr:uid="{00000000-0005-0000-0000-00007C1E0000}"/>
    <cellStyle name="Normal 9 2 2 2 2 2 4 3 2" xfId="14561" xr:uid="{059B5005-3596-49A2-930A-FAA31E7F4B83}"/>
    <cellStyle name="Normal 9 2 2 2 2 2 4 3 3" xfId="23007" xr:uid="{BCD6B64B-2C43-460B-9D4C-1B4FFD2D6DF5}"/>
    <cellStyle name="Normal 9 2 2 2 2 2 4 4" xfId="10343" xr:uid="{8774748F-7BB4-4C95-8A9A-BA6C41587500}"/>
    <cellStyle name="Normal 9 2 2 2 2 2 4 5" xfId="18788" xr:uid="{EAF2C432-4429-4C9C-B2B0-5D86D68D4406}"/>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1846140F-59A9-49AD-9563-FB03E7D5B2F1}"/>
    <cellStyle name="Normal 9 2 2 2 2 2 5 2 2 3" xfId="25565" xr:uid="{815215F7-F526-48EB-B54C-B416F6396AFA}"/>
    <cellStyle name="Normal 9 2 2 2 2 2 5 2 3" xfId="12901" xr:uid="{71C99F01-551B-4564-B2F6-9ECA106A96E2}"/>
    <cellStyle name="Normal 9 2 2 2 2 2 5 2 4" xfId="21348" xr:uid="{23279465-4A31-4AAB-B7B7-4A41F793CA03}"/>
    <cellStyle name="Normal 9 2 2 2 2 2 5 3" xfId="6532" xr:uid="{00000000-0005-0000-0000-0000801E0000}"/>
    <cellStyle name="Normal 9 2 2 2 2 2 5 3 2" xfId="14974" xr:uid="{61278EC5-0593-4557-AAB1-DE3945831407}"/>
    <cellStyle name="Normal 9 2 2 2 2 2 5 3 3" xfId="23420" xr:uid="{655296D2-BCFE-4119-B609-A154C5393B88}"/>
    <cellStyle name="Normal 9 2 2 2 2 2 5 4" xfId="10756" xr:uid="{088298B9-2D7E-448C-846E-03FBF9A22564}"/>
    <cellStyle name="Normal 9 2 2 2 2 2 5 5" xfId="19201" xr:uid="{E43D1D7A-DA37-48FB-BA8B-EAD431D9781B}"/>
    <cellStyle name="Normal 9 2 2 2 2 2 6" xfId="2661" xr:uid="{00000000-0005-0000-0000-0000811E0000}"/>
    <cellStyle name="Normal 9 2 2 2 2 2 6 2" xfId="6945" xr:uid="{00000000-0005-0000-0000-0000821E0000}"/>
    <cellStyle name="Normal 9 2 2 2 2 2 6 2 2" xfId="15387" xr:uid="{5A04AB94-A3F3-4D5F-9C01-5D70CC2ED255}"/>
    <cellStyle name="Normal 9 2 2 2 2 2 6 2 3" xfId="23833" xr:uid="{17392C07-9126-4433-AAC9-8D6C2192E403}"/>
    <cellStyle name="Normal 9 2 2 2 2 2 6 3" xfId="11169" xr:uid="{CF0D168B-01A3-4E79-9877-3140E69BF380}"/>
    <cellStyle name="Normal 9 2 2 2 2 2 6 4" xfId="19614" xr:uid="{A1220EC6-4F85-4463-AA7F-EA0000D1FCDC}"/>
    <cellStyle name="Normal 9 2 2 2 2 2 7" xfId="4880" xr:uid="{00000000-0005-0000-0000-0000831E0000}"/>
    <cellStyle name="Normal 9 2 2 2 2 2 7 2" xfId="13322" xr:uid="{77B21739-32E6-4451-A771-939ACE6263D1}"/>
    <cellStyle name="Normal 9 2 2 2 2 2 7 3" xfId="21768" xr:uid="{CF6E7D7B-E8B1-40BE-9D73-886656A7E046}"/>
    <cellStyle name="Normal 9 2 2 2 2 2 8" xfId="9104" xr:uid="{B91E24A8-25CF-4B4F-B60A-A6F601EEF44C}"/>
    <cellStyle name="Normal 9 2 2 2 2 2 9" xfId="17549" xr:uid="{B2B1590B-35C5-4F1B-BC65-1231DA0205FD}"/>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8D93846C-89AB-4A8F-96B8-CCCC78995204}"/>
    <cellStyle name="Normal 9 2 2 2 2 3 2 2 3" xfId="24325" xr:uid="{A3CBAE49-97BB-487B-9C57-8CBE4A149FB6}"/>
    <cellStyle name="Normal 9 2 2 2 2 3 2 3" xfId="11661" xr:uid="{8CF66E82-DF8F-4793-8762-2B5FC6DE4DBC}"/>
    <cellStyle name="Normal 9 2 2 2 2 3 2 4" xfId="20108" xr:uid="{AF75723E-B13B-4C12-81F3-B7E89EDFAC83}"/>
    <cellStyle name="Normal 9 2 2 2 2 3 3" xfId="5292" xr:uid="{00000000-0005-0000-0000-0000871E0000}"/>
    <cellStyle name="Normal 9 2 2 2 2 3 3 2" xfId="13734" xr:uid="{16312BA6-EA99-4274-AAB9-E97A4613CB21}"/>
    <cellStyle name="Normal 9 2 2 2 2 3 3 3" xfId="22180" xr:uid="{F3E34694-BA7B-4911-AE2F-E1FED5A4EC0D}"/>
    <cellStyle name="Normal 9 2 2 2 2 3 4" xfId="9516" xr:uid="{7FBD3B22-C837-4528-9B41-26451122310A}"/>
    <cellStyle name="Normal 9 2 2 2 2 3 5" xfId="17961" xr:uid="{BBD12B7E-6E50-4E35-8022-4E9D14EB7005}"/>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9D799D9C-3047-4B72-AEE0-7C077D609718}"/>
    <cellStyle name="Normal 9 2 2 2 2 4 2 2 3" xfId="24738" xr:uid="{0AF656BC-9483-4783-BD0B-BA7069AC8D95}"/>
    <cellStyle name="Normal 9 2 2 2 2 4 2 3" xfId="12074" xr:uid="{351A71B1-3DA4-4919-8118-8615BEB8BE4E}"/>
    <cellStyle name="Normal 9 2 2 2 2 4 2 4" xfId="20521" xr:uid="{414FD7FC-E48A-4978-A527-3350C6863926}"/>
    <cellStyle name="Normal 9 2 2 2 2 4 3" xfId="5705" xr:uid="{00000000-0005-0000-0000-00008B1E0000}"/>
    <cellStyle name="Normal 9 2 2 2 2 4 3 2" xfId="14147" xr:uid="{BD84C932-3B19-4A37-8C8F-552FB20F1480}"/>
    <cellStyle name="Normal 9 2 2 2 2 4 3 3" xfId="22593" xr:uid="{2C4DAB5A-1B5A-4B2E-AE81-F8886CC58567}"/>
    <cellStyle name="Normal 9 2 2 2 2 4 4" xfId="9929" xr:uid="{AC237962-A08E-4CAE-B802-2BE0FD91EDE6}"/>
    <cellStyle name="Normal 9 2 2 2 2 4 5" xfId="18374" xr:uid="{41AD3A5F-3142-46F9-B60E-D548E21C2557}"/>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9404056B-32E4-43AA-A4D3-BBDA1D61F5E4}"/>
    <cellStyle name="Normal 9 2 2 2 2 5 2 2 3" xfId="25151" xr:uid="{6C4784C7-96AF-438D-AA24-69904EE3469A}"/>
    <cellStyle name="Normal 9 2 2 2 2 5 2 3" xfId="12487" xr:uid="{51561206-4C26-407F-8727-D196A30258A1}"/>
    <cellStyle name="Normal 9 2 2 2 2 5 2 4" xfId="20934" xr:uid="{545B1A46-3269-4CDC-8633-806C4B13C32A}"/>
    <cellStyle name="Normal 9 2 2 2 2 5 3" xfId="6118" xr:uid="{00000000-0005-0000-0000-00008F1E0000}"/>
    <cellStyle name="Normal 9 2 2 2 2 5 3 2" xfId="14560" xr:uid="{94B3D7B5-07CA-4196-BC56-657481A8AEF6}"/>
    <cellStyle name="Normal 9 2 2 2 2 5 3 3" xfId="23006" xr:uid="{B96F5E05-31C4-44AF-98B6-3611FF251E7D}"/>
    <cellStyle name="Normal 9 2 2 2 2 5 4" xfId="10342" xr:uid="{6FC9ED7D-EC48-4D43-8A2B-93ACACBEBF96}"/>
    <cellStyle name="Normal 9 2 2 2 2 5 5" xfId="18787" xr:uid="{59D5786C-08BF-4A20-A44B-C9DB61A544AE}"/>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15431E2F-BA13-4642-8F2F-8B29401FDDD7}"/>
    <cellStyle name="Normal 9 2 2 2 2 6 2 2 3" xfId="25564" xr:uid="{9841E1F7-68D3-4A68-BB3E-2DB7E71A1ADB}"/>
    <cellStyle name="Normal 9 2 2 2 2 6 2 3" xfId="12900" xr:uid="{39BC625E-96E6-4F98-9C65-DB7FA1632B4D}"/>
    <cellStyle name="Normal 9 2 2 2 2 6 2 4" xfId="21347" xr:uid="{C35FE387-DCB6-45D7-AC76-7C409F16134E}"/>
    <cellStyle name="Normal 9 2 2 2 2 6 3" xfId="6531" xr:uid="{00000000-0005-0000-0000-0000931E0000}"/>
    <cellStyle name="Normal 9 2 2 2 2 6 3 2" xfId="14973" xr:uid="{6D121F04-20A4-49A1-B290-3FDD3B200980}"/>
    <cellStyle name="Normal 9 2 2 2 2 6 3 3" xfId="23419" xr:uid="{6E3983A6-964F-4AD3-BBC8-D9F43D73D0B7}"/>
    <cellStyle name="Normal 9 2 2 2 2 6 4" xfId="10755" xr:uid="{C0113F16-E7CC-4C54-B4DE-8A0FD6B86198}"/>
    <cellStyle name="Normal 9 2 2 2 2 6 5" xfId="19200" xr:uid="{AB0FBCDB-38AB-4D74-861A-C29C98793DF3}"/>
    <cellStyle name="Normal 9 2 2 2 2 7" xfId="2660" xr:uid="{00000000-0005-0000-0000-0000941E0000}"/>
    <cellStyle name="Normal 9 2 2 2 2 7 2" xfId="6944" xr:uid="{00000000-0005-0000-0000-0000951E0000}"/>
    <cellStyle name="Normal 9 2 2 2 2 7 2 2" xfId="15386" xr:uid="{516E3938-69BB-4DEB-BC3A-0E9850E1AA89}"/>
    <cellStyle name="Normal 9 2 2 2 2 7 2 3" xfId="23832" xr:uid="{50CDC890-4389-4F85-A6E3-1F3E4D2AA1FB}"/>
    <cellStyle name="Normal 9 2 2 2 2 7 3" xfId="11168" xr:uid="{72082884-B0E1-4FA6-85DA-787955740663}"/>
    <cellStyle name="Normal 9 2 2 2 2 7 4" xfId="19613" xr:uid="{B5FD83BD-6C17-4765-9738-5340BC4C732E}"/>
    <cellStyle name="Normal 9 2 2 2 2 8" xfId="4879" xr:uid="{00000000-0005-0000-0000-0000961E0000}"/>
    <cellStyle name="Normal 9 2 2 2 2 8 2" xfId="13321" xr:uid="{B01AD3A8-DB6E-4929-AA50-AA062D44C02E}"/>
    <cellStyle name="Normal 9 2 2 2 2 8 3" xfId="21767" xr:uid="{4E249085-B5A0-456B-8D3B-1A162BDFBAC7}"/>
    <cellStyle name="Normal 9 2 2 2 2 9" xfId="9103" xr:uid="{D44C13B5-111C-474D-B397-EBACF3B466AB}"/>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742D7EC7-5C67-425C-BA65-4620F549C425}"/>
    <cellStyle name="Normal 9 2 2 2 3 2 2 2 3" xfId="24327" xr:uid="{1677D05B-0BD4-440C-A6E1-D134BA11123E}"/>
    <cellStyle name="Normal 9 2 2 2 3 2 2 3" xfId="11663" xr:uid="{5A141ED2-3C96-4627-9CE8-EA521498F920}"/>
    <cellStyle name="Normal 9 2 2 2 3 2 2 4" xfId="20110" xr:uid="{F5D45346-C054-4167-99FE-2D015E235CF9}"/>
    <cellStyle name="Normal 9 2 2 2 3 2 3" xfId="5294" xr:uid="{00000000-0005-0000-0000-00009B1E0000}"/>
    <cellStyle name="Normal 9 2 2 2 3 2 3 2" xfId="13736" xr:uid="{D10A445C-F2CB-47D7-AFB5-29FF77A2844F}"/>
    <cellStyle name="Normal 9 2 2 2 3 2 3 3" xfId="22182" xr:uid="{2FC66D87-5EC7-48C8-9A8A-D9AE476C5095}"/>
    <cellStyle name="Normal 9 2 2 2 3 2 4" xfId="9518" xr:uid="{02DC044F-6206-4184-8FAB-20987D5AE914}"/>
    <cellStyle name="Normal 9 2 2 2 3 2 5" xfId="17963" xr:uid="{03266AF4-D7BC-4600-A9B0-702394D095A4}"/>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EC0D20D7-AA5A-4FA8-9338-881A1315BC58}"/>
    <cellStyle name="Normal 9 2 2 2 3 3 2 2 3" xfId="24740" xr:uid="{5A7F5BB7-4C89-41CE-B4AF-2901BBBDA03F}"/>
    <cellStyle name="Normal 9 2 2 2 3 3 2 3" xfId="12076" xr:uid="{C9594293-80CF-4F98-8FBE-E354F32E4C0E}"/>
    <cellStyle name="Normal 9 2 2 2 3 3 2 4" xfId="20523" xr:uid="{3A228F18-803B-48B6-8F52-F615227A2604}"/>
    <cellStyle name="Normal 9 2 2 2 3 3 3" xfId="5707" xr:uid="{00000000-0005-0000-0000-00009F1E0000}"/>
    <cellStyle name="Normal 9 2 2 2 3 3 3 2" xfId="14149" xr:uid="{B2EBE858-06BF-4CA9-A87D-FB3D7BDFE587}"/>
    <cellStyle name="Normal 9 2 2 2 3 3 3 3" xfId="22595" xr:uid="{7C565628-5230-42E1-9429-08CA67FA5F62}"/>
    <cellStyle name="Normal 9 2 2 2 3 3 4" xfId="9931" xr:uid="{C69FFAD4-6794-40A8-9CB8-1DA1461514D5}"/>
    <cellStyle name="Normal 9 2 2 2 3 3 5" xfId="18376" xr:uid="{3A806C1F-07B7-44B9-A322-E50646330D05}"/>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219E6960-3CA7-49C5-A110-5036AC094808}"/>
    <cellStyle name="Normal 9 2 2 2 3 4 2 2 3" xfId="25153" xr:uid="{E8B299E3-DCED-49D1-848B-C87485E360E1}"/>
    <cellStyle name="Normal 9 2 2 2 3 4 2 3" xfId="12489" xr:uid="{D6A6932A-B52F-47A2-B6CE-0774BFC3BE60}"/>
    <cellStyle name="Normal 9 2 2 2 3 4 2 4" xfId="20936" xr:uid="{0B126A57-8BF4-4A8E-872E-E18BE4F42B19}"/>
    <cellStyle name="Normal 9 2 2 2 3 4 3" xfId="6120" xr:uid="{00000000-0005-0000-0000-0000A31E0000}"/>
    <cellStyle name="Normal 9 2 2 2 3 4 3 2" xfId="14562" xr:uid="{0058603A-F5DB-43BA-9749-F327248CBC11}"/>
    <cellStyle name="Normal 9 2 2 2 3 4 3 3" xfId="23008" xr:uid="{772A0E45-0AFB-4964-ACE3-80DED4C3E959}"/>
    <cellStyle name="Normal 9 2 2 2 3 4 4" xfId="10344" xr:uid="{DE790D6C-CADC-4049-926A-BB3E891EBA26}"/>
    <cellStyle name="Normal 9 2 2 2 3 4 5" xfId="18789" xr:uid="{39D82944-C0F7-48AF-93C0-EEA956CA869A}"/>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BD057A03-BDC1-4D0B-8E53-D199CC2B395F}"/>
    <cellStyle name="Normal 9 2 2 2 3 5 2 2 3" xfId="25566" xr:uid="{335F1076-15B5-42AB-B83A-9236650E7DD2}"/>
    <cellStyle name="Normal 9 2 2 2 3 5 2 3" xfId="12902" xr:uid="{94A29248-EA54-4E53-BEA5-11DB64B49C65}"/>
    <cellStyle name="Normal 9 2 2 2 3 5 2 4" xfId="21349" xr:uid="{37344D92-C39C-4895-8C2C-CC7D80914FA1}"/>
    <cellStyle name="Normal 9 2 2 2 3 5 3" xfId="6533" xr:uid="{00000000-0005-0000-0000-0000A71E0000}"/>
    <cellStyle name="Normal 9 2 2 2 3 5 3 2" xfId="14975" xr:uid="{0D66C261-07B5-47B8-ADC4-65DF5D0D4548}"/>
    <cellStyle name="Normal 9 2 2 2 3 5 3 3" xfId="23421" xr:uid="{66C2744B-0490-4644-8984-9247201A35C2}"/>
    <cellStyle name="Normal 9 2 2 2 3 5 4" xfId="10757" xr:uid="{0008E465-E7FC-41D8-8476-29E8024E268C}"/>
    <cellStyle name="Normal 9 2 2 2 3 5 5" xfId="19202" xr:uid="{5F7F2782-CCC7-4514-90FA-8B35B44B186B}"/>
    <cellStyle name="Normal 9 2 2 2 3 6" xfId="2662" xr:uid="{00000000-0005-0000-0000-0000A81E0000}"/>
    <cellStyle name="Normal 9 2 2 2 3 6 2" xfId="6946" xr:uid="{00000000-0005-0000-0000-0000A91E0000}"/>
    <cellStyle name="Normal 9 2 2 2 3 6 2 2" xfId="15388" xr:uid="{E70CEE3A-E1FA-4727-9E81-A67DB6C296EE}"/>
    <cellStyle name="Normal 9 2 2 2 3 6 2 3" xfId="23834" xr:uid="{7B61C600-9E9B-4B60-A896-16272C00B003}"/>
    <cellStyle name="Normal 9 2 2 2 3 6 3" xfId="11170" xr:uid="{AFB010A6-E55F-41B3-8014-E9218182F21F}"/>
    <cellStyle name="Normal 9 2 2 2 3 6 4" xfId="19615" xr:uid="{DFFCA129-4236-45B3-BC55-9AA0512519F6}"/>
    <cellStyle name="Normal 9 2 2 2 3 7" xfId="4881" xr:uid="{00000000-0005-0000-0000-0000AA1E0000}"/>
    <cellStyle name="Normal 9 2 2 2 3 7 2" xfId="13323" xr:uid="{89B65E12-2DDD-4B38-9EDD-171F808B4E9D}"/>
    <cellStyle name="Normal 9 2 2 2 3 7 3" xfId="21769" xr:uid="{A5C87239-1406-433E-A931-07DCE23D1FA0}"/>
    <cellStyle name="Normal 9 2 2 2 3 8" xfId="9105" xr:uid="{A4F03FDD-52C5-432C-9F20-13C3B49CF27D}"/>
    <cellStyle name="Normal 9 2 2 2 3 9" xfId="17550" xr:uid="{B1EDE951-DB71-468B-B9B4-C18316915EC5}"/>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A4472285-7D5B-43D2-B53F-3CF45C5B7799}"/>
    <cellStyle name="Normal 9 2 2 2 4 2 2 3" xfId="24324" xr:uid="{7E2DC0C5-E406-4DC3-9279-9B08FAF3DE56}"/>
    <cellStyle name="Normal 9 2 2 2 4 2 3" xfId="11660" xr:uid="{3BF4FE44-8AA2-4060-A920-7D86EF84E8D9}"/>
    <cellStyle name="Normal 9 2 2 2 4 2 4" xfId="20107" xr:uid="{EDAB8522-E13F-4708-B456-4E8E04729051}"/>
    <cellStyle name="Normal 9 2 2 2 4 3" xfId="5291" xr:uid="{00000000-0005-0000-0000-0000AE1E0000}"/>
    <cellStyle name="Normal 9 2 2 2 4 3 2" xfId="13733" xr:uid="{AB8D8C6F-57C1-4CC4-B808-F518CCEC24C9}"/>
    <cellStyle name="Normal 9 2 2 2 4 3 3" xfId="22179" xr:uid="{E9D779D7-3CFB-4D0F-B257-05EE8C0EF1A7}"/>
    <cellStyle name="Normal 9 2 2 2 4 4" xfId="9515" xr:uid="{6474EB07-4E67-4D7D-BECC-977FDCF3733A}"/>
    <cellStyle name="Normal 9 2 2 2 4 5" xfId="17960" xr:uid="{CC6B3FCB-819B-4AD4-B2CC-095778FB0293}"/>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26F283E2-7E35-49B2-8245-2E14F2D9AAD6}"/>
    <cellStyle name="Normal 9 2 2 2 5 2 2 3" xfId="24737" xr:uid="{D71345B6-C84E-4EB2-A726-84C069F417E9}"/>
    <cellStyle name="Normal 9 2 2 2 5 2 3" xfId="12073" xr:uid="{699511E9-E2C5-4771-AC3B-09F514026D25}"/>
    <cellStyle name="Normal 9 2 2 2 5 2 4" xfId="20520" xr:uid="{39F51878-BBAF-4E0B-842C-6453D4EF1300}"/>
    <cellStyle name="Normal 9 2 2 2 5 3" xfId="5704" xr:uid="{00000000-0005-0000-0000-0000B21E0000}"/>
    <cellStyle name="Normal 9 2 2 2 5 3 2" xfId="14146" xr:uid="{D2AE1A58-96C0-466E-8280-C7CE1910A07B}"/>
    <cellStyle name="Normal 9 2 2 2 5 3 3" xfId="22592" xr:uid="{3B8E1D50-F037-4F93-8523-06B671A36324}"/>
    <cellStyle name="Normal 9 2 2 2 5 4" xfId="9928" xr:uid="{5F5E79CE-52B3-4A34-80C9-2DBA6BC72AB0}"/>
    <cellStyle name="Normal 9 2 2 2 5 5" xfId="18373" xr:uid="{DC4B80E3-E0C3-4DBA-AD7A-9CDBFF8D63A3}"/>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B9492C12-CAAC-4D15-A35F-EFDFE2420B45}"/>
    <cellStyle name="Normal 9 2 2 2 6 2 2 3" xfId="25150" xr:uid="{43B1E2E6-E6AF-4E9E-90F8-66AB37C5EB97}"/>
    <cellStyle name="Normal 9 2 2 2 6 2 3" xfId="12486" xr:uid="{0A4E5B45-3062-4767-8B44-868F5E5767A9}"/>
    <cellStyle name="Normal 9 2 2 2 6 2 4" xfId="20933" xr:uid="{EE8B7DB2-A163-4E8B-8DEB-C967848AA6AC}"/>
    <cellStyle name="Normal 9 2 2 2 6 3" xfId="6117" xr:uid="{00000000-0005-0000-0000-0000B61E0000}"/>
    <cellStyle name="Normal 9 2 2 2 6 3 2" xfId="14559" xr:uid="{3A703857-C860-4C10-8E78-5987791E2ED3}"/>
    <cellStyle name="Normal 9 2 2 2 6 3 3" xfId="23005" xr:uid="{5A5B0A3E-B6DB-49EA-A754-AE659D713560}"/>
    <cellStyle name="Normal 9 2 2 2 6 4" xfId="10341" xr:uid="{D734043F-AA43-4F34-A73C-41D456DCAE0D}"/>
    <cellStyle name="Normal 9 2 2 2 6 5" xfId="18786" xr:uid="{0DA97DE6-7374-4EE1-A719-A0ED0BC7EE7F}"/>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5D174537-8229-4C6D-A860-C2B409E258D7}"/>
    <cellStyle name="Normal 9 2 2 2 7 2 2 3" xfId="25563" xr:uid="{00B48805-32A6-4A1D-982E-CE29560D96C1}"/>
    <cellStyle name="Normal 9 2 2 2 7 2 3" xfId="12899" xr:uid="{D82B0998-0ADA-4D7D-A925-C66C9A3798F1}"/>
    <cellStyle name="Normal 9 2 2 2 7 2 4" xfId="21346" xr:uid="{09F9B5E3-A94A-4D79-ABDE-F05B64517F64}"/>
    <cellStyle name="Normal 9 2 2 2 7 3" xfId="6530" xr:uid="{00000000-0005-0000-0000-0000BA1E0000}"/>
    <cellStyle name="Normal 9 2 2 2 7 3 2" xfId="14972" xr:uid="{3AAFD3D1-1FB6-4F38-9E29-93DB82A31AE8}"/>
    <cellStyle name="Normal 9 2 2 2 7 3 3" xfId="23418" xr:uid="{B2412C92-1064-4495-A5E5-0B663F2D42F9}"/>
    <cellStyle name="Normal 9 2 2 2 7 4" xfId="10754" xr:uid="{C55849C3-F95A-4842-B147-E3126986B134}"/>
    <cellStyle name="Normal 9 2 2 2 7 5" xfId="19199" xr:uid="{63E658A4-BE7A-4C1D-98B8-03A2620B1C7F}"/>
    <cellStyle name="Normal 9 2 2 2 8" xfId="2659" xr:uid="{00000000-0005-0000-0000-0000BB1E0000}"/>
    <cellStyle name="Normal 9 2 2 2 8 2" xfId="6943" xr:uid="{00000000-0005-0000-0000-0000BC1E0000}"/>
    <cellStyle name="Normal 9 2 2 2 8 2 2" xfId="15385" xr:uid="{006DADE0-82CB-4978-9C58-97E359378B40}"/>
    <cellStyle name="Normal 9 2 2 2 8 2 3" xfId="23831" xr:uid="{5DF98889-0D0C-461B-BC35-50F14AC835FA}"/>
    <cellStyle name="Normal 9 2 2 2 8 3" xfId="11167" xr:uid="{BEE7430E-5227-4C14-976C-53741DF7DC99}"/>
    <cellStyle name="Normal 9 2 2 2 8 4" xfId="19612" xr:uid="{51E15984-4253-4BAE-8680-AA8203720764}"/>
    <cellStyle name="Normal 9 2 2 2 9" xfId="4878" xr:uid="{00000000-0005-0000-0000-0000BD1E0000}"/>
    <cellStyle name="Normal 9 2 2 2 9 2" xfId="13320" xr:uid="{6979A4A6-4D87-4C08-8B26-D992D50D831E}"/>
    <cellStyle name="Normal 9 2 2 2 9 3" xfId="21766" xr:uid="{AEAC24A0-D9A6-4FE8-B799-268D8674708B}"/>
    <cellStyle name="Normal 9 2 2 3" xfId="517" xr:uid="{00000000-0005-0000-0000-0000BE1E0000}"/>
    <cellStyle name="Normal 9 2 2 3 10" xfId="17551" xr:uid="{F5A6B344-0B8E-4085-8F2A-C1B8E53694F7}"/>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BBFD5019-A601-41AE-85DC-5224912DF57B}"/>
    <cellStyle name="Normal 9 2 2 3 2 2 2 2 3" xfId="24329" xr:uid="{3164D9BC-A89A-4450-A4C5-1B37D6B9677F}"/>
    <cellStyle name="Normal 9 2 2 3 2 2 2 3" xfId="11665" xr:uid="{600D62A1-073D-4AF3-8C91-AB2B68744524}"/>
    <cellStyle name="Normal 9 2 2 3 2 2 2 4" xfId="20112" xr:uid="{419AA48A-FA41-404D-B82B-715D3BDE0151}"/>
    <cellStyle name="Normal 9 2 2 3 2 2 3" xfId="5296" xr:uid="{00000000-0005-0000-0000-0000C31E0000}"/>
    <cellStyle name="Normal 9 2 2 3 2 2 3 2" xfId="13738" xr:uid="{F22F2676-8803-4333-9D18-1D1F8E48EC9F}"/>
    <cellStyle name="Normal 9 2 2 3 2 2 3 3" xfId="22184" xr:uid="{F2B9E9B1-3DDE-4459-9C4C-1209269C871F}"/>
    <cellStyle name="Normal 9 2 2 3 2 2 4" xfId="9520" xr:uid="{C67AC388-7CAC-42FE-8B5B-292377008264}"/>
    <cellStyle name="Normal 9 2 2 3 2 2 5" xfId="17965" xr:uid="{36DC3EB5-3A3D-4D0E-912E-447D3A316F13}"/>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1749E61F-C0B2-4F0F-89E0-DCE9389A2619}"/>
    <cellStyle name="Normal 9 2 2 3 2 3 2 2 3" xfId="24742" xr:uid="{EADA9ED1-96A8-4339-94A4-22294D580C17}"/>
    <cellStyle name="Normal 9 2 2 3 2 3 2 3" xfId="12078" xr:uid="{059AD7AF-2EEC-40DB-BD50-5264E58260F9}"/>
    <cellStyle name="Normal 9 2 2 3 2 3 2 4" xfId="20525" xr:uid="{6EE0D164-0098-4F6D-B861-F8F2B653C8B4}"/>
    <cellStyle name="Normal 9 2 2 3 2 3 3" xfId="5709" xr:uid="{00000000-0005-0000-0000-0000C71E0000}"/>
    <cellStyle name="Normal 9 2 2 3 2 3 3 2" xfId="14151" xr:uid="{54BB10F7-4039-4D91-B0D3-AD5E81204BF7}"/>
    <cellStyle name="Normal 9 2 2 3 2 3 3 3" xfId="22597" xr:uid="{49291E39-5711-478A-B571-9CFF6EAD272C}"/>
    <cellStyle name="Normal 9 2 2 3 2 3 4" xfId="9933" xr:uid="{23801704-A19D-4C37-A2CC-0A69B8067375}"/>
    <cellStyle name="Normal 9 2 2 3 2 3 5" xfId="18378" xr:uid="{471B1181-1BBD-4479-8161-399DDB417208}"/>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3BFE6F6A-0E56-447F-ABEA-876B06B5328C}"/>
    <cellStyle name="Normal 9 2 2 3 2 4 2 2 3" xfId="25155" xr:uid="{A9828FC6-536C-4F86-A488-056102D0F0AF}"/>
    <cellStyle name="Normal 9 2 2 3 2 4 2 3" xfId="12491" xr:uid="{DBD83ABD-C29A-44AB-8847-2F692B40045E}"/>
    <cellStyle name="Normal 9 2 2 3 2 4 2 4" xfId="20938" xr:uid="{DD314729-34B5-4792-B506-6FC26F9580B9}"/>
    <cellStyle name="Normal 9 2 2 3 2 4 3" xfId="6122" xr:uid="{00000000-0005-0000-0000-0000CB1E0000}"/>
    <cellStyle name="Normal 9 2 2 3 2 4 3 2" xfId="14564" xr:uid="{623F1467-58A1-4A99-9D18-BD9350C0AB8A}"/>
    <cellStyle name="Normal 9 2 2 3 2 4 3 3" xfId="23010" xr:uid="{82B6ECF9-E113-4576-9312-33430035668E}"/>
    <cellStyle name="Normal 9 2 2 3 2 4 4" xfId="10346" xr:uid="{6F0BAB87-FE2A-4625-9AFE-A5E31FD2034C}"/>
    <cellStyle name="Normal 9 2 2 3 2 4 5" xfId="18791" xr:uid="{B606F5C7-B020-4ACB-B4FA-0C7649FC67A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AC6E66DD-C7C6-45A2-AF48-E4D608FCED89}"/>
    <cellStyle name="Normal 9 2 2 3 2 5 2 2 3" xfId="25568" xr:uid="{935A54E0-6030-40C8-AE92-71AD697639F0}"/>
    <cellStyle name="Normal 9 2 2 3 2 5 2 3" xfId="12904" xr:uid="{1183EFB5-BC0B-4221-A242-B92547ADA418}"/>
    <cellStyle name="Normal 9 2 2 3 2 5 2 4" xfId="21351" xr:uid="{FB86896F-C1AD-4FAD-9496-DEBAD9C9CB31}"/>
    <cellStyle name="Normal 9 2 2 3 2 5 3" xfId="6535" xr:uid="{00000000-0005-0000-0000-0000CF1E0000}"/>
    <cellStyle name="Normal 9 2 2 3 2 5 3 2" xfId="14977" xr:uid="{B367F653-8057-4D23-823E-625649B2860A}"/>
    <cellStyle name="Normal 9 2 2 3 2 5 3 3" xfId="23423" xr:uid="{9B5B62F8-9C04-4BB6-91BB-ABD368142BD6}"/>
    <cellStyle name="Normal 9 2 2 3 2 5 4" xfId="10759" xr:uid="{FBCE0435-B57E-4BB6-A307-338E1D69F1FA}"/>
    <cellStyle name="Normal 9 2 2 3 2 5 5" xfId="19204" xr:uid="{ACCAC85C-BCCA-4553-AB0C-FC8F65EECFE4}"/>
    <cellStyle name="Normal 9 2 2 3 2 6" xfId="2664" xr:uid="{00000000-0005-0000-0000-0000D01E0000}"/>
    <cellStyle name="Normal 9 2 2 3 2 6 2" xfId="6948" xr:uid="{00000000-0005-0000-0000-0000D11E0000}"/>
    <cellStyle name="Normal 9 2 2 3 2 6 2 2" xfId="15390" xr:uid="{B680B7D2-7056-43ED-9578-D423D24699AF}"/>
    <cellStyle name="Normal 9 2 2 3 2 6 2 3" xfId="23836" xr:uid="{5DE628F3-F4DD-458A-90D5-48C23AB33834}"/>
    <cellStyle name="Normal 9 2 2 3 2 6 3" xfId="11172" xr:uid="{3D488BD1-2662-4D08-96E7-2D2C8996429A}"/>
    <cellStyle name="Normal 9 2 2 3 2 6 4" xfId="19617" xr:uid="{74BC889F-BE6F-4187-890D-AE5F2656C544}"/>
    <cellStyle name="Normal 9 2 2 3 2 7" xfId="4883" xr:uid="{00000000-0005-0000-0000-0000D21E0000}"/>
    <cellStyle name="Normal 9 2 2 3 2 7 2" xfId="13325" xr:uid="{ACCB9AD4-D48E-444B-A584-4D203658CA24}"/>
    <cellStyle name="Normal 9 2 2 3 2 7 3" xfId="21771" xr:uid="{A0047DA2-FB37-4F4C-BDC3-B1BC973E37D1}"/>
    <cellStyle name="Normal 9 2 2 3 2 8" xfId="9107" xr:uid="{FC462BAE-5623-4EAC-8239-0A2C9160EA18}"/>
    <cellStyle name="Normal 9 2 2 3 2 9" xfId="17552" xr:uid="{C7A691A5-9478-441C-B2A2-88F001888840}"/>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7948ECE5-6438-4702-9AD0-563B19C8D120}"/>
    <cellStyle name="Normal 9 2 2 3 3 2 2 3" xfId="24328" xr:uid="{7B18EC12-A3AC-4209-A318-851F8046FDC3}"/>
    <cellStyle name="Normal 9 2 2 3 3 2 3" xfId="11664" xr:uid="{1ACB0212-2ECB-410F-A929-759C91906855}"/>
    <cellStyle name="Normal 9 2 2 3 3 2 4" xfId="20111" xr:uid="{A37C7A95-034E-486E-B919-45CED446B652}"/>
    <cellStyle name="Normal 9 2 2 3 3 3" xfId="5295" xr:uid="{00000000-0005-0000-0000-0000D61E0000}"/>
    <cellStyle name="Normal 9 2 2 3 3 3 2" xfId="13737" xr:uid="{20896DE0-7A5B-41BC-BD25-CFBB7A425BDD}"/>
    <cellStyle name="Normal 9 2 2 3 3 3 3" xfId="22183" xr:uid="{4834AADF-4EF6-4F32-88E7-DC2AB2E9243A}"/>
    <cellStyle name="Normal 9 2 2 3 3 4" xfId="9519" xr:uid="{647848EE-AB6F-45F9-82CB-D8896CAF0E2A}"/>
    <cellStyle name="Normal 9 2 2 3 3 5" xfId="17964" xr:uid="{B481B87A-EE62-4219-8934-2A7D9E4BD1E0}"/>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6C619A5C-3D7E-4FC4-877C-33CA92AFFB12}"/>
    <cellStyle name="Normal 9 2 2 3 4 2 2 3" xfId="24741" xr:uid="{82A0CAD6-B5A0-4A90-927B-00232208A0F7}"/>
    <cellStyle name="Normal 9 2 2 3 4 2 3" xfId="12077" xr:uid="{0EE6C1C7-653B-4D5D-B96F-4187DF9E2C09}"/>
    <cellStyle name="Normal 9 2 2 3 4 2 4" xfId="20524" xr:uid="{058234D8-A457-46B3-AC19-7870626D9291}"/>
    <cellStyle name="Normal 9 2 2 3 4 3" xfId="5708" xr:uid="{00000000-0005-0000-0000-0000DA1E0000}"/>
    <cellStyle name="Normal 9 2 2 3 4 3 2" xfId="14150" xr:uid="{67C0EC9A-9DEB-4A79-8E26-CDB9B2A93961}"/>
    <cellStyle name="Normal 9 2 2 3 4 3 3" xfId="22596" xr:uid="{CC04EFC5-ECBB-4A5F-9CB7-04A20C8AE36A}"/>
    <cellStyle name="Normal 9 2 2 3 4 4" xfId="9932" xr:uid="{4DECF37D-D778-47C7-9AE5-F4EDE3A7728E}"/>
    <cellStyle name="Normal 9 2 2 3 4 5" xfId="18377" xr:uid="{7D28673A-226B-46BC-9D82-054C48DCFCFA}"/>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FCFB45CE-FD8F-49C8-8746-1ED89566B885}"/>
    <cellStyle name="Normal 9 2 2 3 5 2 2 3" xfId="25154" xr:uid="{A3A7CF0D-D139-4C18-89B2-B8D2F247CB7F}"/>
    <cellStyle name="Normal 9 2 2 3 5 2 3" xfId="12490" xr:uid="{1E214224-B118-42CB-A3DB-38F9E3167F0B}"/>
    <cellStyle name="Normal 9 2 2 3 5 2 4" xfId="20937" xr:uid="{C45672F9-344A-469F-AAE5-5913C84DCFEF}"/>
    <cellStyle name="Normal 9 2 2 3 5 3" xfId="6121" xr:uid="{00000000-0005-0000-0000-0000DE1E0000}"/>
    <cellStyle name="Normal 9 2 2 3 5 3 2" xfId="14563" xr:uid="{56E23A3F-DF64-45BC-9A05-A4D1A60E1FDC}"/>
    <cellStyle name="Normal 9 2 2 3 5 3 3" xfId="23009" xr:uid="{A072B497-FDD5-44DE-8FA0-B9FB097BBC4B}"/>
    <cellStyle name="Normal 9 2 2 3 5 4" xfId="10345" xr:uid="{C5365EF1-A340-4094-A789-51E8147DF68D}"/>
    <cellStyle name="Normal 9 2 2 3 5 5" xfId="18790" xr:uid="{BE0E0F00-2996-4779-B102-1666E2624D6A}"/>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B1DBCE14-28B3-4C56-AAE2-D4B8608ED357}"/>
    <cellStyle name="Normal 9 2 2 3 6 2 2 3" xfId="25567" xr:uid="{F7D67A3C-692D-4570-87F6-7CAB4E4393F4}"/>
    <cellStyle name="Normal 9 2 2 3 6 2 3" xfId="12903" xr:uid="{DB2CE66D-BBAF-411C-BDF8-EC3341DC2908}"/>
    <cellStyle name="Normal 9 2 2 3 6 2 4" xfId="21350" xr:uid="{4BEE59C0-0577-472B-B5B3-AD4856D9F001}"/>
    <cellStyle name="Normal 9 2 2 3 6 3" xfId="6534" xr:uid="{00000000-0005-0000-0000-0000E21E0000}"/>
    <cellStyle name="Normal 9 2 2 3 6 3 2" xfId="14976" xr:uid="{CF7FB781-B71A-4E9A-A674-90FC04DB9CED}"/>
    <cellStyle name="Normal 9 2 2 3 6 3 3" xfId="23422" xr:uid="{A720D03D-26B5-432F-ACD4-6D11C5596F74}"/>
    <cellStyle name="Normal 9 2 2 3 6 4" xfId="10758" xr:uid="{E30570ED-1D65-4F27-B12A-6D40577F74AC}"/>
    <cellStyle name="Normal 9 2 2 3 6 5" xfId="19203" xr:uid="{317E1385-2615-43E2-B5D7-06B0CF216B8F}"/>
    <cellStyle name="Normal 9 2 2 3 7" xfId="2663" xr:uid="{00000000-0005-0000-0000-0000E31E0000}"/>
    <cellStyle name="Normal 9 2 2 3 7 2" xfId="6947" xr:uid="{00000000-0005-0000-0000-0000E41E0000}"/>
    <cellStyle name="Normal 9 2 2 3 7 2 2" xfId="15389" xr:uid="{A20AFF67-8C9F-433D-9D29-182BF2FE99BC}"/>
    <cellStyle name="Normal 9 2 2 3 7 2 3" xfId="23835" xr:uid="{E383D275-DC5D-415E-868B-275716C5CA2D}"/>
    <cellStyle name="Normal 9 2 2 3 7 3" xfId="11171" xr:uid="{9C2F1F4C-B818-4A89-AE63-8BEA2A96DAA2}"/>
    <cellStyle name="Normal 9 2 2 3 7 4" xfId="19616" xr:uid="{55B88A3F-4926-4905-8A24-6722FADB1CFC}"/>
    <cellStyle name="Normal 9 2 2 3 8" xfId="4882" xr:uid="{00000000-0005-0000-0000-0000E51E0000}"/>
    <cellStyle name="Normal 9 2 2 3 8 2" xfId="13324" xr:uid="{9A4714DE-2C17-4F13-BA78-F96A95D688CD}"/>
    <cellStyle name="Normal 9 2 2 3 8 3" xfId="21770" xr:uid="{419C5540-2386-4835-9503-DA615F9149CA}"/>
    <cellStyle name="Normal 9 2 2 3 9" xfId="9106" xr:uid="{BCAC7686-CC09-4EBA-A60E-762459CE693D}"/>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72EBC013-F791-440E-B1C1-D7AEA8A1AA6B}"/>
    <cellStyle name="Normal 9 2 2 4 2 2 2 3" xfId="24330" xr:uid="{73578321-2445-42EC-A68C-3064F88366D6}"/>
    <cellStyle name="Normal 9 2 2 4 2 2 3" xfId="11666" xr:uid="{C0F3C674-3163-408B-8DDE-6FED05235275}"/>
    <cellStyle name="Normal 9 2 2 4 2 2 4" xfId="20113" xr:uid="{BF82CBE5-A50D-470F-BB45-85851AB083A2}"/>
    <cellStyle name="Normal 9 2 2 4 2 3" xfId="5297" xr:uid="{00000000-0005-0000-0000-0000EA1E0000}"/>
    <cellStyle name="Normal 9 2 2 4 2 3 2" xfId="13739" xr:uid="{E2339E56-6AEB-418B-896A-16C5D531B375}"/>
    <cellStyle name="Normal 9 2 2 4 2 3 3" xfId="22185" xr:uid="{157E668C-3658-4FAB-B76A-EC8D76BED176}"/>
    <cellStyle name="Normal 9 2 2 4 2 4" xfId="9521" xr:uid="{9568DE20-9222-4331-AE00-985CC7CCB521}"/>
    <cellStyle name="Normal 9 2 2 4 2 5" xfId="17966" xr:uid="{6523EDB3-5089-4000-BC14-E32077C859E3}"/>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B9943205-3966-4C43-A7B4-4C1290B2C16D}"/>
    <cellStyle name="Normal 9 2 2 4 3 2 2 3" xfId="24743" xr:uid="{3AC6B96E-76CC-43DC-AD8B-FFED5A20B788}"/>
    <cellStyle name="Normal 9 2 2 4 3 2 3" xfId="12079" xr:uid="{59550FA7-9BAD-47BC-9083-8BF0C1658C96}"/>
    <cellStyle name="Normal 9 2 2 4 3 2 4" xfId="20526" xr:uid="{FC8AFB81-7EBC-4032-AE43-FCDF6CCFE42B}"/>
    <cellStyle name="Normal 9 2 2 4 3 3" xfId="5710" xr:uid="{00000000-0005-0000-0000-0000EE1E0000}"/>
    <cellStyle name="Normal 9 2 2 4 3 3 2" xfId="14152" xr:uid="{5B4D49AB-E731-40C7-941B-3B9CE81A2999}"/>
    <cellStyle name="Normal 9 2 2 4 3 3 3" xfId="22598" xr:uid="{46944CC5-F3F0-4A0C-98F7-3ACD7223D518}"/>
    <cellStyle name="Normal 9 2 2 4 3 4" xfId="9934" xr:uid="{B2E7F259-460E-47FB-84D7-B00E5DD86755}"/>
    <cellStyle name="Normal 9 2 2 4 3 5" xfId="18379" xr:uid="{B528B55A-651D-4C25-B120-7FAAE4F11035}"/>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DA5056D8-D429-4A24-899A-C51FBDD1B4FB}"/>
    <cellStyle name="Normal 9 2 2 4 4 2 2 3" xfId="25156" xr:uid="{815C7981-1E87-4DE7-ABC1-64F25D4C122C}"/>
    <cellStyle name="Normal 9 2 2 4 4 2 3" xfId="12492" xr:uid="{6222966B-1BB5-4F79-A8DC-9A0E4C742EFE}"/>
    <cellStyle name="Normal 9 2 2 4 4 2 4" xfId="20939" xr:uid="{34299D70-E5D0-44D5-A66E-22BA8ABFE84B}"/>
    <cellStyle name="Normal 9 2 2 4 4 3" xfId="6123" xr:uid="{00000000-0005-0000-0000-0000F21E0000}"/>
    <cellStyle name="Normal 9 2 2 4 4 3 2" xfId="14565" xr:uid="{6205CD0F-BE50-4067-8F9E-3126CF8BAEBF}"/>
    <cellStyle name="Normal 9 2 2 4 4 3 3" xfId="23011" xr:uid="{A82E4E06-6D25-41EB-BA52-419DC42C836F}"/>
    <cellStyle name="Normal 9 2 2 4 4 4" xfId="10347" xr:uid="{CFB7DCFA-F2F5-4B06-BA15-3589540886DC}"/>
    <cellStyle name="Normal 9 2 2 4 4 5" xfId="18792" xr:uid="{6B75B713-D039-4ABE-9E2E-88099E0AD076}"/>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BD50F75E-A536-43BF-91B6-9BE17ABCEA79}"/>
    <cellStyle name="Normal 9 2 2 4 5 2 2 3" xfId="25569" xr:uid="{D06356D3-511F-4065-9986-22E58FD95E9E}"/>
    <cellStyle name="Normal 9 2 2 4 5 2 3" xfId="12905" xr:uid="{731B52EA-0D6B-4A03-9D4D-EB701F8BBBFE}"/>
    <cellStyle name="Normal 9 2 2 4 5 2 4" xfId="21352" xr:uid="{B7E13252-4BE3-44AD-88B0-C1F93B49EA9D}"/>
    <cellStyle name="Normal 9 2 2 4 5 3" xfId="6536" xr:uid="{00000000-0005-0000-0000-0000F61E0000}"/>
    <cellStyle name="Normal 9 2 2 4 5 3 2" xfId="14978" xr:uid="{8F073DDE-54F8-40CB-8815-A0884819D4AD}"/>
    <cellStyle name="Normal 9 2 2 4 5 3 3" xfId="23424" xr:uid="{D9DC8387-1210-443A-9024-613B9AEC21F3}"/>
    <cellStyle name="Normal 9 2 2 4 5 4" xfId="10760" xr:uid="{8205574A-961F-4B75-9497-535623442AB6}"/>
    <cellStyle name="Normal 9 2 2 4 5 5" xfId="19205" xr:uid="{9C16D2D4-EB6E-4C40-A018-A57E233C99C2}"/>
    <cellStyle name="Normal 9 2 2 4 6" xfId="2665" xr:uid="{00000000-0005-0000-0000-0000F71E0000}"/>
    <cellStyle name="Normal 9 2 2 4 6 2" xfId="6949" xr:uid="{00000000-0005-0000-0000-0000F81E0000}"/>
    <cellStyle name="Normal 9 2 2 4 6 2 2" xfId="15391" xr:uid="{CB9A6AA0-5A8E-40C4-B06A-A367745A9556}"/>
    <cellStyle name="Normal 9 2 2 4 6 2 3" xfId="23837" xr:uid="{03E972D4-F9B5-4B8B-947A-601FF12B8DB0}"/>
    <cellStyle name="Normal 9 2 2 4 6 3" xfId="11173" xr:uid="{7FFB68F5-4153-4A79-AA8B-E4F253A3C4CA}"/>
    <cellStyle name="Normal 9 2 2 4 6 4" xfId="19618" xr:uid="{7A557D44-3094-4091-8E18-69D47D427BBF}"/>
    <cellStyle name="Normal 9 2 2 4 7" xfId="4884" xr:uid="{00000000-0005-0000-0000-0000F91E0000}"/>
    <cellStyle name="Normal 9 2 2 4 7 2" xfId="13326" xr:uid="{B1082ACB-3842-48AA-917B-E42E119D54A3}"/>
    <cellStyle name="Normal 9 2 2 4 7 3" xfId="21772" xr:uid="{D2CA2009-E1ED-43D4-BA6D-52C4F236FBCF}"/>
    <cellStyle name="Normal 9 2 2 4 8" xfId="9108" xr:uid="{11EFF4FF-A003-4AC4-BE46-A22972B1CFD0}"/>
    <cellStyle name="Normal 9 2 2 4 9" xfId="17553" xr:uid="{A1E4FED3-FE01-4EC8-947F-526E96C10CEC}"/>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4CDF26F1-A9D0-44F2-9777-A1A6E4349684}"/>
    <cellStyle name="Normal 9 2 2 5 2 2 3" xfId="24323" xr:uid="{6D6E4860-D8B2-49C4-A72F-F4041F4B8C64}"/>
    <cellStyle name="Normal 9 2 2 5 2 3" xfId="11659" xr:uid="{25FB9949-A0F0-4A06-B46E-799740D1128E}"/>
    <cellStyle name="Normal 9 2 2 5 2 4" xfId="20106" xr:uid="{34A66793-6B87-47CE-9A5C-18E5C7D7EC5B}"/>
    <cellStyle name="Normal 9 2 2 5 3" xfId="5290" xr:uid="{00000000-0005-0000-0000-0000FD1E0000}"/>
    <cellStyle name="Normal 9 2 2 5 3 2" xfId="13732" xr:uid="{E9B36175-EAC3-46C4-9774-3F055C6C1266}"/>
    <cellStyle name="Normal 9 2 2 5 3 3" xfId="22178" xr:uid="{8B9BD0FF-6E02-449A-B351-0F12755AE036}"/>
    <cellStyle name="Normal 9 2 2 5 4" xfId="9514" xr:uid="{5A7A6593-E2C8-4035-BE24-023EEABCB1C3}"/>
    <cellStyle name="Normal 9 2 2 5 5" xfId="17959" xr:uid="{FFC1AFFE-04BA-4B73-B519-A7EE53512899}"/>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130E70A9-3F05-4856-BF27-B7E35C7D2E18}"/>
    <cellStyle name="Normal 9 2 2 6 2 2 3" xfId="24736" xr:uid="{27B5AB38-4ABF-4D0E-A065-BCD3FA0E9988}"/>
    <cellStyle name="Normal 9 2 2 6 2 3" xfId="12072" xr:uid="{C2F04A58-9875-4FE3-8A3A-3F36EF4641AE}"/>
    <cellStyle name="Normal 9 2 2 6 2 4" xfId="20519" xr:uid="{8DF9FB9C-71A7-4468-A2B8-2B6BF81523AB}"/>
    <cellStyle name="Normal 9 2 2 6 3" xfId="5703" xr:uid="{00000000-0005-0000-0000-0000011F0000}"/>
    <cellStyle name="Normal 9 2 2 6 3 2" xfId="14145" xr:uid="{17D2126E-0CCA-4F8B-8C9F-2A4CD83F68A3}"/>
    <cellStyle name="Normal 9 2 2 6 3 3" xfId="22591" xr:uid="{69EDD189-0F99-431D-ADF7-17A2FB3B50FA}"/>
    <cellStyle name="Normal 9 2 2 6 4" xfId="9927" xr:uid="{F7F0D862-9428-471C-87BD-71328554654B}"/>
    <cellStyle name="Normal 9 2 2 6 5" xfId="18372" xr:uid="{C597FCF7-4D2E-478F-963C-150A408498F8}"/>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6A86C5F1-6D09-4E61-BD1D-73F632C391D4}"/>
    <cellStyle name="Normal 9 2 2 7 2 2 3" xfId="25149" xr:uid="{C9266966-4AC7-4026-A3C1-C9170BA39E46}"/>
    <cellStyle name="Normal 9 2 2 7 2 3" xfId="12485" xr:uid="{5699D3FD-171D-4D13-8C6E-C04F999F83E8}"/>
    <cellStyle name="Normal 9 2 2 7 2 4" xfId="20932" xr:uid="{A8895922-E3C3-4784-8FBC-1BEE7D6B538F}"/>
    <cellStyle name="Normal 9 2 2 7 3" xfId="6116" xr:uid="{00000000-0005-0000-0000-0000051F0000}"/>
    <cellStyle name="Normal 9 2 2 7 3 2" xfId="14558" xr:uid="{3E9A6CD9-42B4-4D18-B574-C2FB1B9F49F3}"/>
    <cellStyle name="Normal 9 2 2 7 3 3" xfId="23004" xr:uid="{79679158-FD73-47FD-B95E-A0659BF75A55}"/>
    <cellStyle name="Normal 9 2 2 7 4" xfId="10340" xr:uid="{5B8E9710-8D25-4D9F-AE0E-7216AE4C539A}"/>
    <cellStyle name="Normal 9 2 2 7 5" xfId="18785" xr:uid="{74D452A1-55E4-4EF0-AD72-3E273EC2159F}"/>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85E615BE-99CC-4A67-8F2B-DDB5651A8ED2}"/>
    <cellStyle name="Normal 9 2 2 8 2 2 3" xfId="25562" xr:uid="{FCE8C258-BCD5-46F8-A896-45502CB96741}"/>
    <cellStyle name="Normal 9 2 2 8 2 3" xfId="12898" xr:uid="{A3C768BD-C5AB-4187-97B1-2E51025F6632}"/>
    <cellStyle name="Normal 9 2 2 8 2 4" xfId="21345" xr:uid="{24159004-940E-4189-A1E5-07D0477835A3}"/>
    <cellStyle name="Normal 9 2 2 8 3" xfId="6529" xr:uid="{00000000-0005-0000-0000-0000091F0000}"/>
    <cellStyle name="Normal 9 2 2 8 3 2" xfId="14971" xr:uid="{9C89AE56-127B-426C-BD6E-2D0BA249A2B0}"/>
    <cellStyle name="Normal 9 2 2 8 3 3" xfId="23417" xr:uid="{3E384591-9E6D-439C-9B90-9ACD5982754C}"/>
    <cellStyle name="Normal 9 2 2 8 4" xfId="10753" xr:uid="{44360E73-1AF9-4FB5-A579-D540100B9484}"/>
    <cellStyle name="Normal 9 2 2 8 5" xfId="19198" xr:uid="{014E2482-9352-4261-ACB4-7B1CDCC39F8F}"/>
    <cellStyle name="Normal 9 2 2 9" xfId="2658" xr:uid="{00000000-0005-0000-0000-00000A1F0000}"/>
    <cellStyle name="Normal 9 2 2 9 2" xfId="6942" xr:uid="{00000000-0005-0000-0000-00000B1F0000}"/>
    <cellStyle name="Normal 9 2 2 9 2 2" xfId="15384" xr:uid="{830C18B2-C459-4B19-9745-2240D75C668A}"/>
    <cellStyle name="Normal 9 2 2 9 2 3" xfId="23830" xr:uid="{7489C21B-D11E-4C8F-AEB2-B5D6A414895C}"/>
    <cellStyle name="Normal 9 2 2 9 3" xfId="11166" xr:uid="{BCE13E0B-2702-4C5B-927F-C9AEF1C62725}"/>
    <cellStyle name="Normal 9 2 2 9 4" xfId="19611" xr:uid="{ABB3D2FC-0A34-4593-A55D-898C566D244D}"/>
    <cellStyle name="Normal 9 2 3" xfId="520" xr:uid="{00000000-0005-0000-0000-00000C1F0000}"/>
    <cellStyle name="Normal 9 2 3 10" xfId="9109" xr:uid="{918644F8-8BAF-40B7-A174-464E23E19896}"/>
    <cellStyle name="Normal 9 2 3 11" xfId="17554" xr:uid="{64689ACA-BF1D-4C90-BAE4-347C700B501E}"/>
    <cellStyle name="Normal 9 2 3 2" xfId="521" xr:uid="{00000000-0005-0000-0000-00000D1F0000}"/>
    <cellStyle name="Normal 9 2 3 2 10" xfId="17555" xr:uid="{BFF35150-18AE-495D-B56B-E54A717271EA}"/>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80968AEA-F6D8-4B84-BF79-62DBF7B7FB2E}"/>
    <cellStyle name="Normal 9 2 3 2 2 2 2 2 3" xfId="24333" xr:uid="{D312277E-D49D-4F61-897C-A596F2A3612B}"/>
    <cellStyle name="Normal 9 2 3 2 2 2 2 3" xfId="11669" xr:uid="{8F371EAB-5532-4815-87AB-AA254FACE6E7}"/>
    <cellStyle name="Normal 9 2 3 2 2 2 2 4" xfId="20116" xr:uid="{FE07D14C-2591-432D-A56B-DF4A5F7F6D0D}"/>
    <cellStyle name="Normal 9 2 3 2 2 2 3" xfId="5300" xr:uid="{00000000-0005-0000-0000-0000121F0000}"/>
    <cellStyle name="Normal 9 2 3 2 2 2 3 2" xfId="13742" xr:uid="{9F56693A-707E-41D4-8042-DD87EB9E3A04}"/>
    <cellStyle name="Normal 9 2 3 2 2 2 3 3" xfId="22188" xr:uid="{C9379104-CDC4-4A62-ADDF-9CEE9567B122}"/>
    <cellStyle name="Normal 9 2 3 2 2 2 4" xfId="9524" xr:uid="{81040791-0866-4259-A400-7583459052A5}"/>
    <cellStyle name="Normal 9 2 3 2 2 2 5" xfId="17969" xr:uid="{6A973A42-4897-478E-8A9C-238ED177CB65}"/>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78B31F0F-5D23-41A5-96BA-DF02C92FC037}"/>
    <cellStyle name="Normal 9 2 3 2 2 3 2 2 3" xfId="24746" xr:uid="{6A4084B5-9278-4230-B640-B42175A763C8}"/>
    <cellStyle name="Normal 9 2 3 2 2 3 2 3" xfId="12082" xr:uid="{B770D66A-7E1C-4C4A-8B04-864BFB7D11AF}"/>
    <cellStyle name="Normal 9 2 3 2 2 3 2 4" xfId="20529" xr:uid="{CB881361-40C1-4DF5-9D39-7FA9FC0E4D29}"/>
    <cellStyle name="Normal 9 2 3 2 2 3 3" xfId="5713" xr:uid="{00000000-0005-0000-0000-0000161F0000}"/>
    <cellStyle name="Normal 9 2 3 2 2 3 3 2" xfId="14155" xr:uid="{BE9D884D-F29C-4FE2-AE0E-D30862C90373}"/>
    <cellStyle name="Normal 9 2 3 2 2 3 3 3" xfId="22601" xr:uid="{4645009F-9442-4ED4-AB9F-7B99957243B4}"/>
    <cellStyle name="Normal 9 2 3 2 2 3 4" xfId="9937" xr:uid="{5B0CB452-525F-48D3-968E-765E1FC6DFBF}"/>
    <cellStyle name="Normal 9 2 3 2 2 3 5" xfId="18382" xr:uid="{21CC1782-5566-40B9-89D8-6C5FCF126AF4}"/>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7AA0CB1F-3112-4CCD-B2AD-B2B950A75D92}"/>
    <cellStyle name="Normal 9 2 3 2 2 4 2 2 3" xfId="25159" xr:uid="{4F7764CA-CD6F-43B4-A787-79B842FED638}"/>
    <cellStyle name="Normal 9 2 3 2 2 4 2 3" xfId="12495" xr:uid="{D348EBF4-235E-49C6-9E21-B9CB40DCE2C7}"/>
    <cellStyle name="Normal 9 2 3 2 2 4 2 4" xfId="20942" xr:uid="{DFD24B8C-9A80-43E6-8FB6-26D2202BA436}"/>
    <cellStyle name="Normal 9 2 3 2 2 4 3" xfId="6126" xr:uid="{00000000-0005-0000-0000-00001A1F0000}"/>
    <cellStyle name="Normal 9 2 3 2 2 4 3 2" xfId="14568" xr:uid="{423B2396-D951-4B6D-8325-C8C7DB91641F}"/>
    <cellStyle name="Normal 9 2 3 2 2 4 3 3" xfId="23014" xr:uid="{1589FB74-E127-4502-8577-3DAFA6AC7F19}"/>
    <cellStyle name="Normal 9 2 3 2 2 4 4" xfId="10350" xr:uid="{863FA712-B832-4A47-862A-4B08175D2816}"/>
    <cellStyle name="Normal 9 2 3 2 2 4 5" xfId="18795" xr:uid="{5CC915A6-B88D-4BC9-8EEC-C62B5D7A20FA}"/>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CD70E58F-56A8-4D79-86C4-F7A00BAA3CDD}"/>
    <cellStyle name="Normal 9 2 3 2 2 5 2 2 3" xfId="25572" xr:uid="{067B31BF-0999-48DE-A382-A2064417C6D5}"/>
    <cellStyle name="Normal 9 2 3 2 2 5 2 3" xfId="12908" xr:uid="{70A48BA8-0268-41A3-8C72-CE2F02E1C133}"/>
    <cellStyle name="Normal 9 2 3 2 2 5 2 4" xfId="21355" xr:uid="{153642CF-E0FE-44BD-B284-3B7942789BC2}"/>
    <cellStyle name="Normal 9 2 3 2 2 5 3" xfId="6539" xr:uid="{00000000-0005-0000-0000-00001E1F0000}"/>
    <cellStyle name="Normal 9 2 3 2 2 5 3 2" xfId="14981" xr:uid="{570EB7A6-7684-41EA-9102-A1D567717C2D}"/>
    <cellStyle name="Normal 9 2 3 2 2 5 3 3" xfId="23427" xr:uid="{01CE38EB-FF22-4E9A-80CF-DE1E1D860D19}"/>
    <cellStyle name="Normal 9 2 3 2 2 5 4" xfId="10763" xr:uid="{EA815B9B-825B-4709-9CBE-0A33CF082C12}"/>
    <cellStyle name="Normal 9 2 3 2 2 5 5" xfId="19208" xr:uid="{9B15398E-48CC-4A55-9129-61D1D9FD9AFB}"/>
    <cellStyle name="Normal 9 2 3 2 2 6" xfId="2668" xr:uid="{00000000-0005-0000-0000-00001F1F0000}"/>
    <cellStyle name="Normal 9 2 3 2 2 6 2" xfId="6952" xr:uid="{00000000-0005-0000-0000-0000201F0000}"/>
    <cellStyle name="Normal 9 2 3 2 2 6 2 2" xfId="15394" xr:uid="{6D38C32E-5327-44F7-8335-9BF013E35A30}"/>
    <cellStyle name="Normal 9 2 3 2 2 6 2 3" xfId="23840" xr:uid="{8BF25F19-4182-4616-91D1-27C1410F90C4}"/>
    <cellStyle name="Normal 9 2 3 2 2 6 3" xfId="11176" xr:uid="{1FCF2FAA-0B66-4EA4-966D-770512039DF4}"/>
    <cellStyle name="Normal 9 2 3 2 2 6 4" xfId="19621" xr:uid="{1CE3CCE7-35B7-4597-B10E-5A1ABA30C173}"/>
    <cellStyle name="Normal 9 2 3 2 2 7" xfId="4887" xr:uid="{00000000-0005-0000-0000-0000211F0000}"/>
    <cellStyle name="Normal 9 2 3 2 2 7 2" xfId="13329" xr:uid="{CA2689EE-4AE6-4906-910E-4FC768E30DFC}"/>
    <cellStyle name="Normal 9 2 3 2 2 7 3" xfId="21775" xr:uid="{1AF349B2-BC03-4B41-AE99-232BBC683F2D}"/>
    <cellStyle name="Normal 9 2 3 2 2 8" xfId="9111" xr:uid="{D90DCAD3-4847-4EB0-A1D1-E013052F57F7}"/>
    <cellStyle name="Normal 9 2 3 2 2 9" xfId="17556" xr:uid="{E310F6C1-EA5F-4B93-A7E2-95B9FD60FEFC}"/>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4496CED7-C40E-4125-85B1-3790A36AD1B0}"/>
    <cellStyle name="Normal 9 2 3 2 3 2 2 3" xfId="24332" xr:uid="{6DF30ED3-6B21-4694-AD17-D37DBB6A436C}"/>
    <cellStyle name="Normal 9 2 3 2 3 2 3" xfId="11668" xr:uid="{B52C6AEB-0BB1-4D93-B6CD-0209ED2EFFF9}"/>
    <cellStyle name="Normal 9 2 3 2 3 2 4" xfId="20115" xr:uid="{54749FAC-B4E2-4C97-A300-19EFAA54E242}"/>
    <cellStyle name="Normal 9 2 3 2 3 3" xfId="5299" xr:uid="{00000000-0005-0000-0000-0000251F0000}"/>
    <cellStyle name="Normal 9 2 3 2 3 3 2" xfId="13741" xr:uid="{718EAF75-26C5-4DDC-B9EA-762440DA7153}"/>
    <cellStyle name="Normal 9 2 3 2 3 3 3" xfId="22187" xr:uid="{DCCF51D0-08D6-4525-BBB8-56F50E9A8631}"/>
    <cellStyle name="Normal 9 2 3 2 3 4" xfId="9523" xr:uid="{95D785BD-E317-4269-8FDE-8AA872D3417D}"/>
    <cellStyle name="Normal 9 2 3 2 3 5" xfId="17968" xr:uid="{217589EB-CB0C-478F-BEA0-F593D547EAAA}"/>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97F8EA75-AF5B-4612-B96D-E815C0A63E16}"/>
    <cellStyle name="Normal 9 2 3 2 4 2 2 3" xfId="24745" xr:uid="{89041DD3-E628-44FA-B41B-2378FD9D0C2D}"/>
    <cellStyle name="Normal 9 2 3 2 4 2 3" xfId="12081" xr:uid="{A6EEA6E2-97CD-4370-9B5A-FA54956E7920}"/>
    <cellStyle name="Normal 9 2 3 2 4 2 4" xfId="20528" xr:uid="{9E5C14CD-62C0-41E6-A0F8-98AE02C3E892}"/>
    <cellStyle name="Normal 9 2 3 2 4 3" xfId="5712" xr:uid="{00000000-0005-0000-0000-0000291F0000}"/>
    <cellStyle name="Normal 9 2 3 2 4 3 2" xfId="14154" xr:uid="{E3B1E6EF-D463-434D-95A5-7CEE07D881D9}"/>
    <cellStyle name="Normal 9 2 3 2 4 3 3" xfId="22600" xr:uid="{D2532E74-4DDF-41DA-94E2-5F83B665CF90}"/>
    <cellStyle name="Normal 9 2 3 2 4 4" xfId="9936" xr:uid="{50BA20FD-CBCC-4094-AD17-BF8D7AFE4CCB}"/>
    <cellStyle name="Normal 9 2 3 2 4 5" xfId="18381" xr:uid="{EFB9449A-1946-47CA-ACC8-1A7C7ED67C13}"/>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16E20ED3-739D-4825-B616-43248F99A00D}"/>
    <cellStyle name="Normal 9 2 3 2 5 2 2 3" xfId="25158" xr:uid="{F4093EDF-0A3A-4EAF-AA27-D04FB16572E2}"/>
    <cellStyle name="Normal 9 2 3 2 5 2 3" xfId="12494" xr:uid="{D5B1771F-4B2D-46D8-9B6C-72507D670037}"/>
    <cellStyle name="Normal 9 2 3 2 5 2 4" xfId="20941" xr:uid="{7421A43C-22A9-4423-9AB9-F1E6EE8AC1E6}"/>
    <cellStyle name="Normal 9 2 3 2 5 3" xfId="6125" xr:uid="{00000000-0005-0000-0000-00002D1F0000}"/>
    <cellStyle name="Normal 9 2 3 2 5 3 2" xfId="14567" xr:uid="{030845AB-FC8F-415B-887B-4534D3B1D05F}"/>
    <cellStyle name="Normal 9 2 3 2 5 3 3" xfId="23013" xr:uid="{613B4740-6F40-4CA1-A589-0FB31E9F8C7D}"/>
    <cellStyle name="Normal 9 2 3 2 5 4" xfId="10349" xr:uid="{3EE73D7E-EF57-4199-BA2C-C79C9F58CDA6}"/>
    <cellStyle name="Normal 9 2 3 2 5 5" xfId="18794" xr:uid="{93DBFFB8-8DD7-490B-B8A8-C03FE8E69C8D}"/>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46A372F8-B655-411B-93DB-C95D71DCB8D1}"/>
    <cellStyle name="Normal 9 2 3 2 6 2 2 3" xfId="25571" xr:uid="{84086096-44B6-4F2D-A6C5-BB03CB5A4B52}"/>
    <cellStyle name="Normal 9 2 3 2 6 2 3" xfId="12907" xr:uid="{634163D4-E727-4E97-AD40-1FFBD940D5FF}"/>
    <cellStyle name="Normal 9 2 3 2 6 2 4" xfId="21354" xr:uid="{EDCD03A2-B1B8-4A05-9780-A4A2D80CF2E3}"/>
    <cellStyle name="Normal 9 2 3 2 6 3" xfId="6538" xr:uid="{00000000-0005-0000-0000-0000311F0000}"/>
    <cellStyle name="Normal 9 2 3 2 6 3 2" xfId="14980" xr:uid="{E3C41C72-5A31-4F01-92FB-144D1C332455}"/>
    <cellStyle name="Normal 9 2 3 2 6 3 3" xfId="23426" xr:uid="{6A833779-85B3-407C-8D64-4B3EE11D3686}"/>
    <cellStyle name="Normal 9 2 3 2 6 4" xfId="10762" xr:uid="{69198F69-155A-4BFC-9823-8DD80294F454}"/>
    <cellStyle name="Normal 9 2 3 2 6 5" xfId="19207" xr:uid="{1DC33425-88A9-4658-A9EF-7A776049040F}"/>
    <cellStyle name="Normal 9 2 3 2 7" xfId="2667" xr:uid="{00000000-0005-0000-0000-0000321F0000}"/>
    <cellStyle name="Normal 9 2 3 2 7 2" xfId="6951" xr:uid="{00000000-0005-0000-0000-0000331F0000}"/>
    <cellStyle name="Normal 9 2 3 2 7 2 2" xfId="15393" xr:uid="{FA8165A7-140F-4320-BE55-6B46B0F37BDA}"/>
    <cellStyle name="Normal 9 2 3 2 7 2 3" xfId="23839" xr:uid="{FAE97DDB-D580-45F4-BA10-E4A43A8C6B67}"/>
    <cellStyle name="Normal 9 2 3 2 7 3" xfId="11175" xr:uid="{A8E07C4F-5B74-4498-A249-76BCB5F70A76}"/>
    <cellStyle name="Normal 9 2 3 2 7 4" xfId="19620" xr:uid="{C41D726F-63CA-4289-A454-97A4BA6FC107}"/>
    <cellStyle name="Normal 9 2 3 2 8" xfId="4886" xr:uid="{00000000-0005-0000-0000-0000341F0000}"/>
    <cellStyle name="Normal 9 2 3 2 8 2" xfId="13328" xr:uid="{BDBC0FE4-32FC-4E77-BC94-39D3BC69F07F}"/>
    <cellStyle name="Normal 9 2 3 2 8 3" xfId="21774" xr:uid="{93BD62B7-0DE0-4DFB-BE1B-4B880D859BC3}"/>
    <cellStyle name="Normal 9 2 3 2 9" xfId="9110" xr:uid="{BB852264-33C3-4AB6-B43B-410981C2F2A9}"/>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E6EBA0CA-8F07-41FA-82AE-43A5DCCC3049}"/>
    <cellStyle name="Normal 9 2 3 3 2 2 2 3" xfId="24334" xr:uid="{E0D657F7-95C0-4A2F-B214-A9D858DED937}"/>
    <cellStyle name="Normal 9 2 3 3 2 2 3" xfId="11670" xr:uid="{31B45241-F3FB-4CCD-8CAF-713AAF51D78B}"/>
    <cellStyle name="Normal 9 2 3 3 2 2 4" xfId="20117" xr:uid="{FC54517F-2C10-43E8-A72F-4D35B2D2A8A3}"/>
    <cellStyle name="Normal 9 2 3 3 2 3" xfId="5301" xr:uid="{00000000-0005-0000-0000-0000391F0000}"/>
    <cellStyle name="Normal 9 2 3 3 2 3 2" xfId="13743" xr:uid="{4718F7B8-46FB-47A6-AFF3-F41DD29FCF0B}"/>
    <cellStyle name="Normal 9 2 3 3 2 3 3" xfId="22189" xr:uid="{3126A519-0812-46DC-9BE5-85FC4F1BB1C7}"/>
    <cellStyle name="Normal 9 2 3 3 2 4" xfId="9525" xr:uid="{B531B6D7-9A87-45D8-BCE3-B371D3A0B764}"/>
    <cellStyle name="Normal 9 2 3 3 2 5" xfId="17970" xr:uid="{4C72F4AC-1466-4CBD-AFBB-3F10074A0382}"/>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239FAF87-6B8B-42E0-8985-F15357A8D207}"/>
    <cellStyle name="Normal 9 2 3 3 3 2 2 3" xfId="24747" xr:uid="{54916D26-E703-42E0-AC14-3DEEABB8D9E6}"/>
    <cellStyle name="Normal 9 2 3 3 3 2 3" xfId="12083" xr:uid="{EFB66B27-AF0E-4626-B12C-CDBC47C2E162}"/>
    <cellStyle name="Normal 9 2 3 3 3 2 4" xfId="20530" xr:uid="{2005E5BD-25DA-4AB0-A1C8-BCD99964092C}"/>
    <cellStyle name="Normal 9 2 3 3 3 3" xfId="5714" xr:uid="{00000000-0005-0000-0000-00003D1F0000}"/>
    <cellStyle name="Normal 9 2 3 3 3 3 2" xfId="14156" xr:uid="{B2C4BF97-489F-4500-AE7B-64D964AC594C}"/>
    <cellStyle name="Normal 9 2 3 3 3 3 3" xfId="22602" xr:uid="{3C1B6D7F-F85E-48F9-AE3A-D1B9F5C87A52}"/>
    <cellStyle name="Normal 9 2 3 3 3 4" xfId="9938" xr:uid="{0CFD2E68-3C4F-4C2B-B10D-5332E401EE97}"/>
    <cellStyle name="Normal 9 2 3 3 3 5" xfId="18383" xr:uid="{24216AA4-EAD3-4DAE-AAEF-F4006679172B}"/>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15B0894A-6028-4906-8A0B-3B3188D61DF1}"/>
    <cellStyle name="Normal 9 2 3 3 4 2 2 3" xfId="25160" xr:uid="{8481178F-4523-4B11-8A77-05F7DC3B5EE2}"/>
    <cellStyle name="Normal 9 2 3 3 4 2 3" xfId="12496" xr:uid="{F0D7CD15-276F-49E4-A4BE-5828EAFF9365}"/>
    <cellStyle name="Normal 9 2 3 3 4 2 4" xfId="20943" xr:uid="{8C0CFFBC-8CD2-4D59-A3F6-DD126AF48CDF}"/>
    <cellStyle name="Normal 9 2 3 3 4 3" xfId="6127" xr:uid="{00000000-0005-0000-0000-0000411F0000}"/>
    <cellStyle name="Normal 9 2 3 3 4 3 2" xfId="14569" xr:uid="{401847CE-30FE-4A1B-B87D-594461715E82}"/>
    <cellStyle name="Normal 9 2 3 3 4 3 3" xfId="23015" xr:uid="{777F46B3-9C8B-4EBD-915F-912BA77CFDF3}"/>
    <cellStyle name="Normal 9 2 3 3 4 4" xfId="10351" xr:uid="{48588DC7-7624-40B6-A5B9-E1B746AE1E7F}"/>
    <cellStyle name="Normal 9 2 3 3 4 5" xfId="18796" xr:uid="{1194BB86-307E-49D3-BCAD-E09C1411708C}"/>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10E80AF4-1837-4D44-BE81-FBCF1108E4A5}"/>
    <cellStyle name="Normal 9 2 3 3 5 2 2 3" xfId="25573" xr:uid="{5D91C97A-81B6-4251-BD99-45439C9A65D8}"/>
    <cellStyle name="Normal 9 2 3 3 5 2 3" xfId="12909" xr:uid="{421ABA78-C979-4D9F-B6E0-389EECD58373}"/>
    <cellStyle name="Normal 9 2 3 3 5 2 4" xfId="21356" xr:uid="{8B22130C-2C3D-4A0B-AAEC-B08104002C84}"/>
    <cellStyle name="Normal 9 2 3 3 5 3" xfId="6540" xr:uid="{00000000-0005-0000-0000-0000451F0000}"/>
    <cellStyle name="Normal 9 2 3 3 5 3 2" xfId="14982" xr:uid="{F0DC271A-D93F-436B-BBF0-063FD12C7B98}"/>
    <cellStyle name="Normal 9 2 3 3 5 3 3" xfId="23428" xr:uid="{97F42E9F-1AE1-4234-A659-DADF19108478}"/>
    <cellStyle name="Normal 9 2 3 3 5 4" xfId="10764" xr:uid="{15FFC7B4-E6C2-45B6-8E44-1AC1C5447670}"/>
    <cellStyle name="Normal 9 2 3 3 5 5" xfId="19209" xr:uid="{979ECB3A-2C74-47A2-8E2C-8DA0F20FCA3C}"/>
    <cellStyle name="Normal 9 2 3 3 6" xfId="2669" xr:uid="{00000000-0005-0000-0000-0000461F0000}"/>
    <cellStyle name="Normal 9 2 3 3 6 2" xfId="6953" xr:uid="{00000000-0005-0000-0000-0000471F0000}"/>
    <cellStyle name="Normal 9 2 3 3 6 2 2" xfId="15395" xr:uid="{07476866-A7BD-4D79-A178-CC88B3BFF774}"/>
    <cellStyle name="Normal 9 2 3 3 6 2 3" xfId="23841" xr:uid="{17EC58F9-547C-4743-A5BC-1E2F60171C73}"/>
    <cellStyle name="Normal 9 2 3 3 6 3" xfId="11177" xr:uid="{D9B3B85A-E1CA-441B-BCD8-7BF473C252E0}"/>
    <cellStyle name="Normal 9 2 3 3 6 4" xfId="19622" xr:uid="{00B4F17D-0FBE-4DFD-AEAD-35A391015263}"/>
    <cellStyle name="Normal 9 2 3 3 7" xfId="4888" xr:uid="{00000000-0005-0000-0000-0000481F0000}"/>
    <cellStyle name="Normal 9 2 3 3 7 2" xfId="13330" xr:uid="{C4165411-B333-43F1-9672-2AC8AAF2CE8F}"/>
    <cellStyle name="Normal 9 2 3 3 7 3" xfId="21776" xr:uid="{928C8019-7C97-41FA-A7E2-449B9351FFAF}"/>
    <cellStyle name="Normal 9 2 3 3 8" xfId="9112" xr:uid="{AA9C4247-97BB-4AAB-B78E-1F7E80957D11}"/>
    <cellStyle name="Normal 9 2 3 3 9" xfId="17557" xr:uid="{77BDB858-144C-4A50-B9BA-A44BBAF52D75}"/>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23C67F12-5988-4B23-B1F2-03CEA764F549}"/>
    <cellStyle name="Normal 9 2 3 4 2 2 3" xfId="24331" xr:uid="{0D96FF23-B175-4F65-BFBD-3E379659F6AC}"/>
    <cellStyle name="Normal 9 2 3 4 2 3" xfId="11667" xr:uid="{DF52390D-A7F2-4B52-90FA-F380B10C3EAF}"/>
    <cellStyle name="Normal 9 2 3 4 2 4" xfId="20114" xr:uid="{912E6160-EF30-409F-BFFB-1A585DAC4BDD}"/>
    <cellStyle name="Normal 9 2 3 4 3" xfId="5298" xr:uid="{00000000-0005-0000-0000-00004C1F0000}"/>
    <cellStyle name="Normal 9 2 3 4 3 2" xfId="13740" xr:uid="{418AFA3C-1244-4B34-8C56-A26436B4767A}"/>
    <cellStyle name="Normal 9 2 3 4 3 3" xfId="22186" xr:uid="{235F435C-792E-4A31-A4BD-2B22D630FF60}"/>
    <cellStyle name="Normal 9 2 3 4 4" xfId="9522" xr:uid="{C0025D0D-F511-4168-A48A-9922C50E87CB}"/>
    <cellStyle name="Normal 9 2 3 4 5" xfId="17967" xr:uid="{8AD61FF7-C7B2-4649-91AC-35B39DCD5DD2}"/>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DE0F595F-EF8D-4B7A-B180-F99A368164E0}"/>
    <cellStyle name="Normal 9 2 3 5 2 2 3" xfId="24744" xr:uid="{E26B29BA-5527-467C-8F22-CE1C2D0ECFF7}"/>
    <cellStyle name="Normal 9 2 3 5 2 3" xfId="12080" xr:uid="{ECFE4388-EE7A-40B7-859E-046AA2B7BAF5}"/>
    <cellStyle name="Normal 9 2 3 5 2 4" xfId="20527" xr:uid="{10469644-8C60-4726-AE32-791271248C30}"/>
    <cellStyle name="Normal 9 2 3 5 3" xfId="5711" xr:uid="{00000000-0005-0000-0000-0000501F0000}"/>
    <cellStyle name="Normal 9 2 3 5 3 2" xfId="14153" xr:uid="{19AEF189-19CC-49D6-96D7-F39581C3A57C}"/>
    <cellStyle name="Normal 9 2 3 5 3 3" xfId="22599" xr:uid="{6ECC0303-E916-4FCF-A3C3-EA1EEA4DC0FD}"/>
    <cellStyle name="Normal 9 2 3 5 4" xfId="9935" xr:uid="{0AF210B6-621E-4229-BD74-D7E513C048E4}"/>
    <cellStyle name="Normal 9 2 3 5 5" xfId="18380" xr:uid="{179F98C0-1E86-43EC-B651-4ECD1BFDA644}"/>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F0FC1082-5DCB-4A43-A67F-AA693E9A9511}"/>
    <cellStyle name="Normal 9 2 3 6 2 2 3" xfId="25157" xr:uid="{A72EE971-A402-421D-8292-0863F1B842D8}"/>
    <cellStyle name="Normal 9 2 3 6 2 3" xfId="12493" xr:uid="{2E237281-424F-4404-AE1F-77476110612E}"/>
    <cellStyle name="Normal 9 2 3 6 2 4" xfId="20940" xr:uid="{3F3E79BC-CF19-4E51-B277-0AE8A01BE777}"/>
    <cellStyle name="Normal 9 2 3 6 3" xfId="6124" xr:uid="{00000000-0005-0000-0000-0000541F0000}"/>
    <cellStyle name="Normal 9 2 3 6 3 2" xfId="14566" xr:uid="{B92BA314-1481-4C81-875B-145E4183F722}"/>
    <cellStyle name="Normal 9 2 3 6 3 3" xfId="23012" xr:uid="{B1F429BA-05B0-430D-95AD-B11501B204E5}"/>
    <cellStyle name="Normal 9 2 3 6 4" xfId="10348" xr:uid="{EFD87415-6E22-4932-B9ED-6FB9EB17C942}"/>
    <cellStyle name="Normal 9 2 3 6 5" xfId="18793" xr:uid="{9AF6C4D7-5C5D-4F46-A4BC-ED9BF42E112A}"/>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F0F55D73-3FB6-42EC-8267-E5BBD4B51AF7}"/>
    <cellStyle name="Normal 9 2 3 7 2 2 3" xfId="25570" xr:uid="{50426BB9-F9DC-492F-A679-2306C83D28B9}"/>
    <cellStyle name="Normal 9 2 3 7 2 3" xfId="12906" xr:uid="{00E8F64C-49C9-4EBD-BE87-F223C2724F26}"/>
    <cellStyle name="Normal 9 2 3 7 2 4" xfId="21353" xr:uid="{FC5D1D74-B8B2-4DA5-81C2-F9D358C033A8}"/>
    <cellStyle name="Normal 9 2 3 7 3" xfId="6537" xr:uid="{00000000-0005-0000-0000-0000581F0000}"/>
    <cellStyle name="Normal 9 2 3 7 3 2" xfId="14979" xr:uid="{52B84AC9-4776-47EC-82DB-C30AFC105043}"/>
    <cellStyle name="Normal 9 2 3 7 3 3" xfId="23425" xr:uid="{6299835A-6D45-46E4-92E2-DC0049321912}"/>
    <cellStyle name="Normal 9 2 3 7 4" xfId="10761" xr:uid="{D7CD543A-311B-4106-AD3A-BF22A0BC07EA}"/>
    <cellStyle name="Normal 9 2 3 7 5" xfId="19206" xr:uid="{4361452D-E249-4023-82A2-AE9539730573}"/>
    <cellStyle name="Normal 9 2 3 8" xfId="2666" xr:uid="{00000000-0005-0000-0000-0000591F0000}"/>
    <cellStyle name="Normal 9 2 3 8 2" xfId="6950" xr:uid="{00000000-0005-0000-0000-00005A1F0000}"/>
    <cellStyle name="Normal 9 2 3 8 2 2" xfId="15392" xr:uid="{1E5915C2-A2E3-4319-A72B-1323B740D329}"/>
    <cellStyle name="Normal 9 2 3 8 2 3" xfId="23838" xr:uid="{481EEBCF-50A7-471C-B083-7FF12BFC3E6A}"/>
    <cellStyle name="Normal 9 2 3 8 3" xfId="11174" xr:uid="{E4E5E7B4-0521-4FA2-9259-974FBF833240}"/>
    <cellStyle name="Normal 9 2 3 8 4" xfId="19619" xr:uid="{07A98274-F45E-4908-ADC5-ED70EAA989B1}"/>
    <cellStyle name="Normal 9 2 3 9" xfId="4885" xr:uid="{00000000-0005-0000-0000-00005B1F0000}"/>
    <cellStyle name="Normal 9 2 3 9 2" xfId="13327" xr:uid="{0ADFBB8B-D2D2-481A-8D8C-E2DC91A3A00F}"/>
    <cellStyle name="Normal 9 2 3 9 3" xfId="21773" xr:uid="{8447A4CC-66A2-44CD-A654-1DDB2BBB7404}"/>
    <cellStyle name="Normal 9 2 4" xfId="524" xr:uid="{00000000-0005-0000-0000-00005C1F0000}"/>
    <cellStyle name="Normal 9 2 4 10" xfId="17558" xr:uid="{C466F421-ABEB-4D83-8184-1FC2C507B239}"/>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9BAFDC1A-2F65-42F9-873D-685734AC709E}"/>
    <cellStyle name="Normal 9 2 4 2 2 2 2 3" xfId="24336" xr:uid="{C5737703-B623-4620-914C-6AFD80BCCA2C}"/>
    <cellStyle name="Normal 9 2 4 2 2 2 3" xfId="11672" xr:uid="{0CFA3276-ED08-4252-AD3E-65824AC54081}"/>
    <cellStyle name="Normal 9 2 4 2 2 2 4" xfId="20119" xr:uid="{E5868391-9B93-443A-8CAE-C9CF17FB5F96}"/>
    <cellStyle name="Normal 9 2 4 2 2 3" xfId="5303" xr:uid="{00000000-0005-0000-0000-0000611F0000}"/>
    <cellStyle name="Normal 9 2 4 2 2 3 2" xfId="13745" xr:uid="{3B3A3C62-6312-46AA-8E71-ADFF7AD59DF0}"/>
    <cellStyle name="Normal 9 2 4 2 2 3 3" xfId="22191" xr:uid="{A978C12A-F766-4662-A598-F8787F272C9A}"/>
    <cellStyle name="Normal 9 2 4 2 2 4" xfId="9527" xr:uid="{AFA0945E-1F89-41A8-878A-A64CCB1E0F81}"/>
    <cellStyle name="Normal 9 2 4 2 2 5" xfId="17972" xr:uid="{9E3448C9-319F-459F-AE8F-32EB2FAA22E2}"/>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46A08B19-1EA1-4527-9078-DC7C15248189}"/>
    <cellStyle name="Normal 9 2 4 2 3 2 2 3" xfId="24749" xr:uid="{60226838-1E76-4CB9-8712-B63FD6711580}"/>
    <cellStyle name="Normal 9 2 4 2 3 2 3" xfId="12085" xr:uid="{8646CE48-965C-4439-9EEF-3C60706A2AED}"/>
    <cellStyle name="Normal 9 2 4 2 3 2 4" xfId="20532" xr:uid="{0454DD23-D5D6-46D6-9C99-3129AC3ADC90}"/>
    <cellStyle name="Normal 9 2 4 2 3 3" xfId="5716" xr:uid="{00000000-0005-0000-0000-0000651F0000}"/>
    <cellStyle name="Normal 9 2 4 2 3 3 2" xfId="14158" xr:uid="{C81048E5-AF92-4CF4-B85F-9450AD9CF89F}"/>
    <cellStyle name="Normal 9 2 4 2 3 3 3" xfId="22604" xr:uid="{C0F3743C-9C0F-4E09-8A4B-D90839DBD301}"/>
    <cellStyle name="Normal 9 2 4 2 3 4" xfId="9940" xr:uid="{E69C11FC-B5DE-4FE2-9C00-85D27D2939DC}"/>
    <cellStyle name="Normal 9 2 4 2 3 5" xfId="18385" xr:uid="{FFCD681D-1FC1-4972-B8C0-E1A2CD1A7D16}"/>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A7FCE9BF-C964-419A-BF90-4E383095A41C}"/>
    <cellStyle name="Normal 9 2 4 2 4 2 2 3" xfId="25162" xr:uid="{97E33FB4-0051-479C-A977-8172AD45CC8C}"/>
    <cellStyle name="Normal 9 2 4 2 4 2 3" xfId="12498" xr:uid="{59D50DA8-FD49-42C6-86F5-2C8FD655ACA6}"/>
    <cellStyle name="Normal 9 2 4 2 4 2 4" xfId="20945" xr:uid="{6C1C8104-66DC-46D3-A047-C85E65B7A235}"/>
    <cellStyle name="Normal 9 2 4 2 4 3" xfId="6129" xr:uid="{00000000-0005-0000-0000-0000691F0000}"/>
    <cellStyle name="Normal 9 2 4 2 4 3 2" xfId="14571" xr:uid="{4E277A94-0B77-4351-A95B-D3D880A31362}"/>
    <cellStyle name="Normal 9 2 4 2 4 3 3" xfId="23017" xr:uid="{F03CB8CB-6A38-4C48-984D-1FF09C451A33}"/>
    <cellStyle name="Normal 9 2 4 2 4 4" xfId="10353" xr:uid="{BC0931E3-438D-4E2D-A1C8-389AC63E6554}"/>
    <cellStyle name="Normal 9 2 4 2 4 5" xfId="18798" xr:uid="{F4505104-5A75-4B9E-9C0D-0157FDE75A33}"/>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2305C5A8-4733-42A0-96F8-FEC4E9D98B21}"/>
    <cellStyle name="Normal 9 2 4 2 5 2 2 3" xfId="25575" xr:uid="{78651C69-3583-44E7-A3CD-BB84915D0045}"/>
    <cellStyle name="Normal 9 2 4 2 5 2 3" xfId="12911" xr:uid="{7F2F3C0C-728C-43C6-B113-B8C98BC7096B}"/>
    <cellStyle name="Normal 9 2 4 2 5 2 4" xfId="21358" xr:uid="{3213D478-1176-4EFA-B133-41DC29830140}"/>
    <cellStyle name="Normal 9 2 4 2 5 3" xfId="6542" xr:uid="{00000000-0005-0000-0000-00006D1F0000}"/>
    <cellStyle name="Normal 9 2 4 2 5 3 2" xfId="14984" xr:uid="{1366D051-1BD9-45F0-9C8E-75C3A3444FE9}"/>
    <cellStyle name="Normal 9 2 4 2 5 3 3" xfId="23430" xr:uid="{4BE7CE10-5C87-429F-B3DB-A3E20B00E1BF}"/>
    <cellStyle name="Normal 9 2 4 2 5 4" xfId="10766" xr:uid="{07DA2420-A525-4785-A41D-A4C8E7D1844A}"/>
    <cellStyle name="Normal 9 2 4 2 5 5" xfId="19211" xr:uid="{C80EB610-3593-4480-B401-F45CE39AFB9F}"/>
    <cellStyle name="Normal 9 2 4 2 6" xfId="2671" xr:uid="{00000000-0005-0000-0000-00006E1F0000}"/>
    <cellStyle name="Normal 9 2 4 2 6 2" xfId="6955" xr:uid="{00000000-0005-0000-0000-00006F1F0000}"/>
    <cellStyle name="Normal 9 2 4 2 6 2 2" xfId="15397" xr:uid="{B3212677-460F-4AFB-836B-012431295514}"/>
    <cellStyle name="Normal 9 2 4 2 6 2 3" xfId="23843" xr:uid="{34872C54-59D7-4998-99C4-0D1338E397B4}"/>
    <cellStyle name="Normal 9 2 4 2 6 3" xfId="11179" xr:uid="{F820C873-44F2-4485-A4C4-33C361172C6A}"/>
    <cellStyle name="Normal 9 2 4 2 6 4" xfId="19624" xr:uid="{1B9BF645-3AD0-40A1-9651-652F551799DF}"/>
    <cellStyle name="Normal 9 2 4 2 7" xfId="4890" xr:uid="{00000000-0005-0000-0000-0000701F0000}"/>
    <cellStyle name="Normal 9 2 4 2 7 2" xfId="13332" xr:uid="{C4B066FE-84F4-45A4-9124-9CAA1AADAC17}"/>
    <cellStyle name="Normal 9 2 4 2 7 3" xfId="21778" xr:uid="{6CCF33D1-F073-4E73-AECE-4FEC19C923B8}"/>
    <cellStyle name="Normal 9 2 4 2 8" xfId="9114" xr:uid="{18780135-7B64-4C56-844C-B7A0D789C23A}"/>
    <cellStyle name="Normal 9 2 4 2 9" xfId="17559" xr:uid="{7C018171-9254-4190-9458-690375FB979C}"/>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F96D02C1-D383-47BC-A1F0-DA1F338A0388}"/>
    <cellStyle name="Normal 9 2 4 3 2 2 3" xfId="24335" xr:uid="{A75F7865-0C4D-4E98-B5FB-C00C23B8EBB2}"/>
    <cellStyle name="Normal 9 2 4 3 2 3" xfId="11671" xr:uid="{91C37FA7-2B9E-4D2B-B31D-A85C17E4801B}"/>
    <cellStyle name="Normal 9 2 4 3 2 4" xfId="20118" xr:uid="{16B380EF-D2F6-4738-A53C-15966EDE3168}"/>
    <cellStyle name="Normal 9 2 4 3 3" xfId="5302" xr:uid="{00000000-0005-0000-0000-0000741F0000}"/>
    <cellStyle name="Normal 9 2 4 3 3 2" xfId="13744" xr:uid="{042620C9-F9FC-41B2-8A48-F420C182DAD6}"/>
    <cellStyle name="Normal 9 2 4 3 3 3" xfId="22190" xr:uid="{2376BB11-63ED-49F8-9423-4A974428CEB6}"/>
    <cellStyle name="Normal 9 2 4 3 4" xfId="9526" xr:uid="{943DA074-4527-4E94-9EBC-8CBE4FFA7ED3}"/>
    <cellStyle name="Normal 9 2 4 3 5" xfId="17971" xr:uid="{4CD7B213-C973-475D-A9BF-4D05ED9DDDA6}"/>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4CED98DA-8453-4FF4-8CD0-B83569EB7B18}"/>
    <cellStyle name="Normal 9 2 4 4 2 2 3" xfId="24748" xr:uid="{94407B75-BFAC-4910-AEE0-5151F0156996}"/>
    <cellStyle name="Normal 9 2 4 4 2 3" xfId="12084" xr:uid="{A42F94F2-9E47-47DB-9B0B-BA0F9177DBEC}"/>
    <cellStyle name="Normal 9 2 4 4 2 4" xfId="20531" xr:uid="{2D5E07F4-CC91-4727-9ECA-842BA7C9E8E7}"/>
    <cellStyle name="Normal 9 2 4 4 3" xfId="5715" xr:uid="{00000000-0005-0000-0000-0000781F0000}"/>
    <cellStyle name="Normal 9 2 4 4 3 2" xfId="14157" xr:uid="{3C8058AD-A35D-4AB5-A69D-A94768EC5038}"/>
    <cellStyle name="Normal 9 2 4 4 3 3" xfId="22603" xr:uid="{E49B9100-B8A6-45FC-8FC3-E94D61418753}"/>
    <cellStyle name="Normal 9 2 4 4 4" xfId="9939" xr:uid="{B899B871-B7F2-40B2-93C3-987E59603F20}"/>
    <cellStyle name="Normal 9 2 4 4 5" xfId="18384" xr:uid="{0686BDCE-5794-45AA-B9D3-2763EC41ED5D}"/>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B64CB16B-0AAE-4C1A-A7A1-6556E59F0249}"/>
    <cellStyle name="Normal 9 2 4 5 2 2 3" xfId="25161" xr:uid="{B50BCD6D-BBE1-4A17-B0C7-43508FCA8030}"/>
    <cellStyle name="Normal 9 2 4 5 2 3" xfId="12497" xr:uid="{F656EDB6-44A9-47FF-9C93-74377F50C848}"/>
    <cellStyle name="Normal 9 2 4 5 2 4" xfId="20944" xr:uid="{93550727-D88E-40BF-BF61-8F7A379AE76F}"/>
    <cellStyle name="Normal 9 2 4 5 3" xfId="6128" xr:uid="{00000000-0005-0000-0000-00007C1F0000}"/>
    <cellStyle name="Normal 9 2 4 5 3 2" xfId="14570" xr:uid="{6B362B07-C8C4-4048-9B3F-0B2D710E3EFB}"/>
    <cellStyle name="Normal 9 2 4 5 3 3" xfId="23016" xr:uid="{FCAD0102-24C8-4568-9284-A2419BEC213E}"/>
    <cellStyle name="Normal 9 2 4 5 4" xfId="10352" xr:uid="{474C8E20-92FF-4ABB-9DFE-E35B8EA14519}"/>
    <cellStyle name="Normal 9 2 4 5 5" xfId="18797" xr:uid="{31E9D3EB-E581-4F44-82AC-571B430F337C}"/>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12AFBB16-7247-4456-839D-1AA1FADA3861}"/>
    <cellStyle name="Normal 9 2 4 6 2 2 3" xfId="25574" xr:uid="{E799BF91-02C3-41E2-915A-C4311B298997}"/>
    <cellStyle name="Normal 9 2 4 6 2 3" xfId="12910" xr:uid="{C904D25B-B7EF-4103-9C7C-E40830117539}"/>
    <cellStyle name="Normal 9 2 4 6 2 4" xfId="21357" xr:uid="{6398302C-58DB-4AFB-8D2C-9000E9AA6EFB}"/>
    <cellStyle name="Normal 9 2 4 6 3" xfId="6541" xr:uid="{00000000-0005-0000-0000-0000801F0000}"/>
    <cellStyle name="Normal 9 2 4 6 3 2" xfId="14983" xr:uid="{D2928402-C32A-461A-AC5C-ECE11B19D57E}"/>
    <cellStyle name="Normal 9 2 4 6 3 3" xfId="23429" xr:uid="{7B02E96A-8777-4EC8-A115-D6A7BDEE534B}"/>
    <cellStyle name="Normal 9 2 4 6 4" xfId="10765" xr:uid="{3CC5AC43-2354-4A24-8631-F8ADAE531F1A}"/>
    <cellStyle name="Normal 9 2 4 6 5" xfId="19210" xr:uid="{F9783E57-A7AA-4988-BF3B-D5214F1DD730}"/>
    <cellStyle name="Normal 9 2 4 7" xfId="2670" xr:uid="{00000000-0005-0000-0000-0000811F0000}"/>
    <cellStyle name="Normal 9 2 4 7 2" xfId="6954" xr:uid="{00000000-0005-0000-0000-0000821F0000}"/>
    <cellStyle name="Normal 9 2 4 7 2 2" xfId="15396" xr:uid="{51CDCAFB-A8FC-4DBA-88F2-A5E18AB84AD2}"/>
    <cellStyle name="Normal 9 2 4 7 2 3" xfId="23842" xr:uid="{35009668-07AD-4D2E-8A50-F252D65E783F}"/>
    <cellStyle name="Normal 9 2 4 7 3" xfId="11178" xr:uid="{88ADF2A2-4844-422D-8743-A9588AA98D91}"/>
    <cellStyle name="Normal 9 2 4 7 4" xfId="19623" xr:uid="{1C45E73D-C5D6-4D17-8775-E8B74789760D}"/>
    <cellStyle name="Normal 9 2 4 8" xfId="4889" xr:uid="{00000000-0005-0000-0000-0000831F0000}"/>
    <cellStyle name="Normal 9 2 4 8 2" xfId="13331" xr:uid="{1FF8A65A-B7E9-430A-9066-1B41BED742AA}"/>
    <cellStyle name="Normal 9 2 4 8 3" xfId="21777" xr:uid="{7432B9CD-EC48-463C-B368-D5A58C15159B}"/>
    <cellStyle name="Normal 9 2 4 9" xfId="9113" xr:uid="{D7E8FFA5-2D1C-4285-8150-95C9F3E2D8FA}"/>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5A154726-EB15-4565-BAE8-964740DFCDF5}"/>
    <cellStyle name="Normal 9 2 5 2 2 2 3" xfId="24337" xr:uid="{7EC87085-EADD-4987-A97B-064821C8C85D}"/>
    <cellStyle name="Normal 9 2 5 2 2 3" xfId="11673" xr:uid="{07D4DD63-6D74-464B-AB97-5781C9F770EE}"/>
    <cellStyle name="Normal 9 2 5 2 2 4" xfId="20120" xr:uid="{0E179941-71F9-4E1A-A802-B2806FC8EEDB}"/>
    <cellStyle name="Normal 9 2 5 2 3" xfId="5304" xr:uid="{00000000-0005-0000-0000-0000881F0000}"/>
    <cellStyle name="Normal 9 2 5 2 3 2" xfId="13746" xr:uid="{9A4B3459-2585-458A-82BD-9379275B2DF9}"/>
    <cellStyle name="Normal 9 2 5 2 3 3" xfId="22192" xr:uid="{613CE198-67B8-4223-BC6F-5A6BF9F2B290}"/>
    <cellStyle name="Normal 9 2 5 2 4" xfId="9528" xr:uid="{903E7016-A75E-42F3-A179-B020467B7950}"/>
    <cellStyle name="Normal 9 2 5 2 5" xfId="17973" xr:uid="{9E62A104-499A-4DAA-9D50-E9FF14222A85}"/>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E93697E6-82AE-4057-9292-2200A2C6B11E}"/>
    <cellStyle name="Normal 9 2 5 3 2 2 3" xfId="24750" xr:uid="{5C2E2950-9C40-4DBB-AEB9-0C910343A058}"/>
    <cellStyle name="Normal 9 2 5 3 2 3" xfId="12086" xr:uid="{73B11CDF-C2E4-4B7B-A976-05451949761F}"/>
    <cellStyle name="Normal 9 2 5 3 2 4" xfId="20533" xr:uid="{1515D736-AADA-44F7-9E5C-6F6205CD726F}"/>
    <cellStyle name="Normal 9 2 5 3 3" xfId="5717" xr:uid="{00000000-0005-0000-0000-00008C1F0000}"/>
    <cellStyle name="Normal 9 2 5 3 3 2" xfId="14159" xr:uid="{21C952BD-1E05-42A0-9980-C7142615370B}"/>
    <cellStyle name="Normal 9 2 5 3 3 3" xfId="22605" xr:uid="{19C9BBC0-1A32-49A3-AADD-9E47C2E8BAC8}"/>
    <cellStyle name="Normal 9 2 5 3 4" xfId="9941" xr:uid="{90DF27CF-E70A-4AE2-B2F7-1B14FFCBE701}"/>
    <cellStyle name="Normal 9 2 5 3 5" xfId="18386" xr:uid="{42C4EA6E-149E-4D36-9BE6-64A4517BEEF6}"/>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EAC530A2-513D-402C-B7A0-2BCC0866258F}"/>
    <cellStyle name="Normal 9 2 5 4 2 2 3" xfId="25163" xr:uid="{1CB2D879-54CC-4314-87CC-C11F12F5D27B}"/>
    <cellStyle name="Normal 9 2 5 4 2 3" xfId="12499" xr:uid="{CFBCB21F-C10B-49DA-9C6D-7C7A5CD2345D}"/>
    <cellStyle name="Normal 9 2 5 4 2 4" xfId="20946" xr:uid="{81826A2B-9D7C-4E66-A5E5-0945BA84485C}"/>
    <cellStyle name="Normal 9 2 5 4 3" xfId="6130" xr:uid="{00000000-0005-0000-0000-0000901F0000}"/>
    <cellStyle name="Normal 9 2 5 4 3 2" xfId="14572" xr:uid="{586EF84E-E234-448A-8F7B-EF885878BF37}"/>
    <cellStyle name="Normal 9 2 5 4 3 3" xfId="23018" xr:uid="{C2CA6D50-6E37-4E0B-8247-0BEF1B35D9F6}"/>
    <cellStyle name="Normal 9 2 5 4 4" xfId="10354" xr:uid="{57A37054-F915-4922-B7D5-DA5CFAE7DFEA}"/>
    <cellStyle name="Normal 9 2 5 4 5" xfId="18799" xr:uid="{21F58C0C-83C3-4F85-A392-D3E16589D664}"/>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AE3BCE0A-C0B9-4F6B-BBBA-992ED9FFDF68}"/>
    <cellStyle name="Normal 9 2 5 5 2 2 3" xfId="25576" xr:uid="{56BD5606-05B7-4AC3-8831-AAB81626955F}"/>
    <cellStyle name="Normal 9 2 5 5 2 3" xfId="12912" xr:uid="{49605182-DE90-4673-9EC6-BEDC5158B3AE}"/>
    <cellStyle name="Normal 9 2 5 5 2 4" xfId="21359" xr:uid="{C086A9BB-1C1E-4A97-B424-4D47583A2DAB}"/>
    <cellStyle name="Normal 9 2 5 5 3" xfId="6543" xr:uid="{00000000-0005-0000-0000-0000941F0000}"/>
    <cellStyle name="Normal 9 2 5 5 3 2" xfId="14985" xr:uid="{D4800797-D94C-4522-841B-ADAD497970EE}"/>
    <cellStyle name="Normal 9 2 5 5 3 3" xfId="23431" xr:uid="{6D074A4D-C8B5-44B6-97D1-046B52BB9013}"/>
    <cellStyle name="Normal 9 2 5 5 4" xfId="10767" xr:uid="{FDBC1513-9FF5-4B62-B77B-3B881592E3C5}"/>
    <cellStyle name="Normal 9 2 5 5 5" xfId="19212" xr:uid="{8F1315A0-2267-4982-B690-F396DEDB42E6}"/>
    <cellStyle name="Normal 9 2 5 6" xfId="2672" xr:uid="{00000000-0005-0000-0000-0000951F0000}"/>
    <cellStyle name="Normal 9 2 5 6 2" xfId="6956" xr:uid="{00000000-0005-0000-0000-0000961F0000}"/>
    <cellStyle name="Normal 9 2 5 6 2 2" xfId="15398" xr:uid="{CBC2C050-C7A4-4A03-8036-D63BCC7D9CC4}"/>
    <cellStyle name="Normal 9 2 5 6 2 3" xfId="23844" xr:uid="{10FB6C0E-BE98-47C0-AE54-CD3BAEBC039C}"/>
    <cellStyle name="Normal 9 2 5 6 3" xfId="11180" xr:uid="{AEE333FA-9153-4B9C-9257-D2CA0467AA5F}"/>
    <cellStyle name="Normal 9 2 5 6 4" xfId="19625" xr:uid="{E52BA456-3BB6-40BB-B337-00C48BB80B42}"/>
    <cellStyle name="Normal 9 2 5 7" xfId="4891" xr:uid="{00000000-0005-0000-0000-0000971F0000}"/>
    <cellStyle name="Normal 9 2 5 7 2" xfId="13333" xr:uid="{FCB21448-DDB0-4DF2-A315-F260F3CED1D3}"/>
    <cellStyle name="Normal 9 2 5 7 3" xfId="21779" xr:uid="{F9596DAF-1F1C-49B8-97FD-C1C552C5C37A}"/>
    <cellStyle name="Normal 9 2 5 8" xfId="9115" xr:uid="{4DD8E811-0C6A-4815-8704-40E3F667E0A8}"/>
    <cellStyle name="Normal 9 2 5 9" xfId="17560" xr:uid="{000CD1F2-D6A7-4CD2-8837-CA85E05014D3}"/>
    <cellStyle name="Normal 9 2 6" xfId="978" xr:uid="{00000000-0005-0000-0000-0000981F0000}"/>
    <cellStyle name="Normal 9 2 6 2" xfId="3211" xr:uid="{00000000-0005-0000-0000-0000991F0000}"/>
    <cellStyle name="Normal 9 2 6 2 2" xfId="7434" xr:uid="{00000000-0005-0000-0000-00009A1F0000}"/>
    <cellStyle name="Normal 9 2 6 2 2 2" xfId="15876" xr:uid="{A4330DF7-0EDF-4D7D-A71D-6A5DD0870321}"/>
    <cellStyle name="Normal 9 2 6 2 2 3" xfId="24322" xr:uid="{B640C9F2-70C2-46F1-AB41-2A4BDFE76469}"/>
    <cellStyle name="Normal 9 2 6 2 3" xfId="11658" xr:uid="{F6B106B3-B2AD-4236-BF4A-6ED8DB6007DA}"/>
    <cellStyle name="Normal 9 2 6 2 4" xfId="20105" xr:uid="{DD8135E6-44DD-4573-A9AE-7F66971B6ED8}"/>
    <cellStyle name="Normal 9 2 6 3" xfId="5289" xr:uid="{00000000-0005-0000-0000-00009B1F0000}"/>
    <cellStyle name="Normal 9 2 6 3 2" xfId="13731" xr:uid="{B7563884-0827-4BBB-815E-45A4F3FDAE6F}"/>
    <cellStyle name="Normal 9 2 6 3 3" xfId="22177" xr:uid="{FA8D3234-E7D7-448F-9E8A-4CAD8D88FE27}"/>
    <cellStyle name="Normal 9 2 6 4" xfId="9513" xr:uid="{3BB14216-A03A-4175-B625-A884F5D99B72}"/>
    <cellStyle name="Normal 9 2 6 5" xfId="17958" xr:uid="{B82D8625-43FA-458F-83EE-FBE24A022F22}"/>
    <cellStyle name="Normal 9 2 7" xfId="1394" xr:uid="{00000000-0005-0000-0000-00009C1F0000}"/>
    <cellStyle name="Normal 9 2 7 2" xfId="3624" xr:uid="{00000000-0005-0000-0000-00009D1F0000}"/>
    <cellStyle name="Normal 9 2 7 2 2" xfId="7847" xr:uid="{00000000-0005-0000-0000-00009E1F0000}"/>
    <cellStyle name="Normal 9 2 7 2 2 2" xfId="16289" xr:uid="{0BA9C6C5-25F5-44AD-AFA2-C66023CFF094}"/>
    <cellStyle name="Normal 9 2 7 2 2 3" xfId="24735" xr:uid="{10B4E653-7E0F-4B30-A84F-F527D909649B}"/>
    <cellStyle name="Normal 9 2 7 2 3" xfId="12071" xr:uid="{D160BDBE-A390-4D5C-AB82-6B3556304688}"/>
    <cellStyle name="Normal 9 2 7 2 4" xfId="20518" xr:uid="{5BADD944-7211-4B78-A3CF-6B906379952D}"/>
    <cellStyle name="Normal 9 2 7 3" xfId="5702" xr:uid="{00000000-0005-0000-0000-00009F1F0000}"/>
    <cellStyle name="Normal 9 2 7 3 2" xfId="14144" xr:uid="{2B8A9FFF-F1DF-4DD5-A512-4BF69677C982}"/>
    <cellStyle name="Normal 9 2 7 3 3" xfId="22590" xr:uid="{98AFDF7B-73CD-4D0E-8481-24D7BD1D2902}"/>
    <cellStyle name="Normal 9 2 7 4" xfId="9926" xr:uid="{94694040-B320-45F0-922D-520EACD9F2F3}"/>
    <cellStyle name="Normal 9 2 7 5" xfId="18371" xr:uid="{604BFDC1-F756-4ADB-8B7F-426737B76D6C}"/>
    <cellStyle name="Normal 9 2 8" xfId="1807" xr:uid="{00000000-0005-0000-0000-0000A01F0000}"/>
    <cellStyle name="Normal 9 2 8 2" xfId="4037" xr:uid="{00000000-0005-0000-0000-0000A11F0000}"/>
    <cellStyle name="Normal 9 2 8 2 2" xfId="8260" xr:uid="{00000000-0005-0000-0000-0000A21F0000}"/>
    <cellStyle name="Normal 9 2 8 2 2 2" xfId="16702" xr:uid="{90F5AEB3-B054-4A3A-B195-F4136540BEC0}"/>
    <cellStyle name="Normal 9 2 8 2 2 3" xfId="25148" xr:uid="{7E6F5D75-0D56-435B-8628-4D2C8A204AB4}"/>
    <cellStyle name="Normal 9 2 8 2 3" xfId="12484" xr:uid="{FDF26CDC-E979-4C2E-AB87-D6114D9DA349}"/>
    <cellStyle name="Normal 9 2 8 2 4" xfId="20931" xr:uid="{6F4E76A3-3E74-44EA-85A5-E6F4DE4E4EF8}"/>
    <cellStyle name="Normal 9 2 8 3" xfId="6115" xr:uid="{00000000-0005-0000-0000-0000A31F0000}"/>
    <cellStyle name="Normal 9 2 8 3 2" xfId="14557" xr:uid="{E211C043-38FE-4A3B-B3B3-935ED7D69AF0}"/>
    <cellStyle name="Normal 9 2 8 3 3" xfId="23003" xr:uid="{594C7284-0D38-417A-B32E-3057B0812814}"/>
    <cellStyle name="Normal 9 2 8 4" xfId="10339" xr:uid="{F8CB7431-4DC9-4F6C-B7F7-8330D53F5AE3}"/>
    <cellStyle name="Normal 9 2 8 5" xfId="18784" xr:uid="{BE3B2818-AC1B-41F4-B437-58D4AE2A4275}"/>
    <cellStyle name="Normal 9 2 9" xfId="2221" xr:uid="{00000000-0005-0000-0000-0000A41F0000}"/>
    <cellStyle name="Normal 9 2 9 2" xfId="4450" xr:uid="{00000000-0005-0000-0000-0000A51F0000}"/>
    <cellStyle name="Normal 9 2 9 2 2" xfId="8673" xr:uid="{00000000-0005-0000-0000-0000A61F0000}"/>
    <cellStyle name="Normal 9 2 9 2 2 2" xfId="17115" xr:uid="{5C131E6C-F2D5-4FE0-B475-F4B3E97FC257}"/>
    <cellStyle name="Normal 9 2 9 2 2 3" xfId="25561" xr:uid="{D2BFCC83-DFAF-4AE4-B994-7746D41EB848}"/>
    <cellStyle name="Normal 9 2 9 2 3" xfId="12897" xr:uid="{2AB9B9DB-F204-4EB6-B694-08ABF3931941}"/>
    <cellStyle name="Normal 9 2 9 2 4" xfId="21344" xr:uid="{B103C994-8AD3-4364-B36D-4E51CA0AFFE4}"/>
    <cellStyle name="Normal 9 2 9 3" xfId="6528" xr:uid="{00000000-0005-0000-0000-0000A71F0000}"/>
    <cellStyle name="Normal 9 2 9 3 2" xfId="14970" xr:uid="{4140A858-72F0-4A6D-9232-C8A7D9F222EC}"/>
    <cellStyle name="Normal 9 2 9 3 3" xfId="23416" xr:uid="{05AB7294-75F2-4AE4-B958-B8C1B7115DA5}"/>
    <cellStyle name="Normal 9 2 9 4" xfId="10752" xr:uid="{AEE088E4-4A10-45C9-881A-09024C6ABA31}"/>
    <cellStyle name="Normal 9 2 9 5" xfId="19197" xr:uid="{A4746307-6198-44A2-8767-2387A5B23F0E}"/>
    <cellStyle name="Normal 9 3" xfId="527" xr:uid="{00000000-0005-0000-0000-0000A81F0000}"/>
    <cellStyle name="Normal 9 3 10" xfId="4892" xr:uid="{00000000-0005-0000-0000-0000A91F0000}"/>
    <cellStyle name="Normal 9 3 10 2" xfId="13334" xr:uid="{593FD2F6-1039-4E93-BB8B-B688D3C54FD2}"/>
    <cellStyle name="Normal 9 3 10 3" xfId="21780" xr:uid="{77F26C3E-2972-4C1D-8551-D643C4DF07E3}"/>
    <cellStyle name="Normal 9 3 11" xfId="9116" xr:uid="{A56393CE-2EF8-4F2C-8116-A57F211097F6}"/>
    <cellStyle name="Normal 9 3 12" xfId="17561" xr:uid="{F2A6DF7C-08F6-4C7C-91E7-8CAECE721854}"/>
    <cellStyle name="Normal 9 3 2" xfId="528" xr:uid="{00000000-0005-0000-0000-0000AA1F0000}"/>
    <cellStyle name="Normal 9 3 2 10" xfId="9117" xr:uid="{CDFBFBAE-0691-49FD-8B46-975F65628A05}"/>
    <cellStyle name="Normal 9 3 2 11" xfId="17562" xr:uid="{A59DA5E2-F21D-4665-A309-FBB5A1BF5B8B}"/>
    <cellStyle name="Normal 9 3 2 2" xfId="529" xr:uid="{00000000-0005-0000-0000-0000AB1F0000}"/>
    <cellStyle name="Normal 9 3 2 2 10" xfId="17563" xr:uid="{F56899F9-6DF3-4480-A8D7-4A8BB0B83116}"/>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D344D316-14DE-40F5-98EF-582EF510B3AD}"/>
    <cellStyle name="Normal 9 3 2 2 2 2 2 2 3" xfId="24341" xr:uid="{3AE9FCF0-E0C1-40B3-9D2B-8E3AE8C744F4}"/>
    <cellStyle name="Normal 9 3 2 2 2 2 2 3" xfId="11677" xr:uid="{9E3AA433-9B1C-4DFC-912F-5FFBBCB1FAC3}"/>
    <cellStyle name="Normal 9 3 2 2 2 2 2 4" xfId="20124" xr:uid="{55AE0582-9E5F-4AA7-A67F-33F2DEF5273E}"/>
    <cellStyle name="Normal 9 3 2 2 2 2 3" xfId="5308" xr:uid="{00000000-0005-0000-0000-0000B01F0000}"/>
    <cellStyle name="Normal 9 3 2 2 2 2 3 2" xfId="13750" xr:uid="{0A362EB9-CF7B-40D7-B387-81C535A3288B}"/>
    <cellStyle name="Normal 9 3 2 2 2 2 3 3" xfId="22196" xr:uid="{A1507A8A-2277-42EB-8A02-937784562E51}"/>
    <cellStyle name="Normal 9 3 2 2 2 2 4" xfId="9532" xr:uid="{017837AF-F4B3-46D7-86EF-0014E1E83EA9}"/>
    <cellStyle name="Normal 9 3 2 2 2 2 5" xfId="17977" xr:uid="{6215C7C3-14DE-4F6A-B7DE-E9F132966D66}"/>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FF401883-DF13-4DE9-88B4-BA86FC74CCE4}"/>
    <cellStyle name="Normal 9 3 2 2 2 3 2 2 3" xfId="24754" xr:uid="{88B39933-6C4D-46C6-B78E-764F62AAA799}"/>
    <cellStyle name="Normal 9 3 2 2 2 3 2 3" xfId="12090" xr:uid="{0610197A-697E-4ADA-B0F7-0871EB1C1149}"/>
    <cellStyle name="Normal 9 3 2 2 2 3 2 4" xfId="20537" xr:uid="{16D89594-CE3D-4D7D-B3CE-6826D3E2A795}"/>
    <cellStyle name="Normal 9 3 2 2 2 3 3" xfId="5721" xr:uid="{00000000-0005-0000-0000-0000B41F0000}"/>
    <cellStyle name="Normal 9 3 2 2 2 3 3 2" xfId="14163" xr:uid="{236FBE60-854D-4CE2-8258-4BD3C30FFFD0}"/>
    <cellStyle name="Normal 9 3 2 2 2 3 3 3" xfId="22609" xr:uid="{2D4AE888-9CB0-4596-9387-81CFBF9D1FEC}"/>
    <cellStyle name="Normal 9 3 2 2 2 3 4" xfId="9945" xr:uid="{68D0ECCC-D300-4450-978F-000F6500E10C}"/>
    <cellStyle name="Normal 9 3 2 2 2 3 5" xfId="18390" xr:uid="{BA481300-D225-4F41-88FD-D9767300B986}"/>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F31F9F3B-6A2E-4E4D-BBD0-2EBEACBB374C}"/>
    <cellStyle name="Normal 9 3 2 2 2 4 2 2 3" xfId="25167" xr:uid="{7215D34A-F74D-4238-8CC1-3CDE4B4D6736}"/>
    <cellStyle name="Normal 9 3 2 2 2 4 2 3" xfId="12503" xr:uid="{E0F502EC-758A-42D7-AA4C-132217420EDE}"/>
    <cellStyle name="Normal 9 3 2 2 2 4 2 4" xfId="20950" xr:uid="{91A19CF7-B4A4-41E6-80FC-6641E7D335BE}"/>
    <cellStyle name="Normal 9 3 2 2 2 4 3" xfId="6134" xr:uid="{00000000-0005-0000-0000-0000B81F0000}"/>
    <cellStyle name="Normal 9 3 2 2 2 4 3 2" xfId="14576" xr:uid="{0BB58DDA-C521-4B91-85C8-3A864CE58C45}"/>
    <cellStyle name="Normal 9 3 2 2 2 4 3 3" xfId="23022" xr:uid="{A2B661F7-4FE1-46FF-B526-3A63DF944666}"/>
    <cellStyle name="Normal 9 3 2 2 2 4 4" xfId="10358" xr:uid="{0E234C0E-2863-4849-A064-F6563CAB28A1}"/>
    <cellStyle name="Normal 9 3 2 2 2 4 5" xfId="18803" xr:uid="{1F02C672-915E-448D-B914-7AFFBEA844CB}"/>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E5B69945-EA8C-4C5B-80BD-4D78BF96455D}"/>
    <cellStyle name="Normal 9 3 2 2 2 5 2 2 3" xfId="25580" xr:uid="{7BF6A259-C067-4858-B08A-9AF038C0495F}"/>
    <cellStyle name="Normal 9 3 2 2 2 5 2 3" xfId="12916" xr:uid="{D5926A03-813A-481C-9660-1A9D89B182E4}"/>
    <cellStyle name="Normal 9 3 2 2 2 5 2 4" xfId="21363" xr:uid="{A40AA496-E85B-4E0D-A120-511DEC6CE5B5}"/>
    <cellStyle name="Normal 9 3 2 2 2 5 3" xfId="6547" xr:uid="{00000000-0005-0000-0000-0000BC1F0000}"/>
    <cellStyle name="Normal 9 3 2 2 2 5 3 2" xfId="14989" xr:uid="{BFFB0FDB-9EEB-48F1-9A6F-94C71D652D82}"/>
    <cellStyle name="Normal 9 3 2 2 2 5 3 3" xfId="23435" xr:uid="{FA634C34-D354-447C-BDCE-5BFF837CD7C7}"/>
    <cellStyle name="Normal 9 3 2 2 2 5 4" xfId="10771" xr:uid="{93606CD0-47BB-45FB-B2F4-68CFC12A2FEF}"/>
    <cellStyle name="Normal 9 3 2 2 2 5 5" xfId="19216" xr:uid="{02C6150B-3B28-446F-922F-66384B3F7CE8}"/>
    <cellStyle name="Normal 9 3 2 2 2 6" xfId="2676" xr:uid="{00000000-0005-0000-0000-0000BD1F0000}"/>
    <cellStyle name="Normal 9 3 2 2 2 6 2" xfId="6960" xr:uid="{00000000-0005-0000-0000-0000BE1F0000}"/>
    <cellStyle name="Normal 9 3 2 2 2 6 2 2" xfId="15402" xr:uid="{50DFECE4-40DC-4370-8962-3B0C1E6D32E7}"/>
    <cellStyle name="Normal 9 3 2 2 2 6 2 3" xfId="23848" xr:uid="{0ABC46BD-92D4-4E0E-8828-3DCD72420129}"/>
    <cellStyle name="Normal 9 3 2 2 2 6 3" xfId="11184" xr:uid="{71F25E6E-31F3-4394-905B-E87A589D0F45}"/>
    <cellStyle name="Normal 9 3 2 2 2 6 4" xfId="19629" xr:uid="{1F6E69A2-AF5C-44AE-AC4D-F54A698FF120}"/>
    <cellStyle name="Normal 9 3 2 2 2 7" xfId="4895" xr:uid="{00000000-0005-0000-0000-0000BF1F0000}"/>
    <cellStyle name="Normal 9 3 2 2 2 7 2" xfId="13337" xr:uid="{1B3764D7-3B0F-48CB-A220-B9D0628E1005}"/>
    <cellStyle name="Normal 9 3 2 2 2 7 3" xfId="21783" xr:uid="{1CEE988B-3D72-4AFA-BB05-7BD244D5A13C}"/>
    <cellStyle name="Normal 9 3 2 2 2 8" xfId="9119" xr:uid="{F2EFA00A-A586-4876-8977-A4E1B992AEF0}"/>
    <cellStyle name="Normal 9 3 2 2 2 9" xfId="17564" xr:uid="{91FF9505-9F92-42E0-9221-7A42C4E333E8}"/>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E00A0EAE-3304-4BB4-B028-136408FB232F}"/>
    <cellStyle name="Normal 9 3 2 2 3 2 2 3" xfId="24340" xr:uid="{0F7CB5AB-4CBE-46AC-8F69-AE2DDAA78D14}"/>
    <cellStyle name="Normal 9 3 2 2 3 2 3" xfId="11676" xr:uid="{2E345ACD-D176-4390-802D-0CC83C4A735B}"/>
    <cellStyle name="Normal 9 3 2 2 3 2 4" xfId="20123" xr:uid="{A181AD74-08BB-46F1-9C35-8DEF203C155E}"/>
    <cellStyle name="Normal 9 3 2 2 3 3" xfId="5307" xr:uid="{00000000-0005-0000-0000-0000C31F0000}"/>
    <cellStyle name="Normal 9 3 2 2 3 3 2" xfId="13749" xr:uid="{25F48AA1-E746-41B9-A6B6-8A5B645237FB}"/>
    <cellStyle name="Normal 9 3 2 2 3 3 3" xfId="22195" xr:uid="{D44188EF-A243-4EBF-B647-DD93026B0CC5}"/>
    <cellStyle name="Normal 9 3 2 2 3 4" xfId="9531" xr:uid="{91627D91-6CFE-4DEB-A1EF-A112291CD205}"/>
    <cellStyle name="Normal 9 3 2 2 3 5" xfId="17976" xr:uid="{C25EF297-05D8-4919-90A8-C6DA41AE9AA9}"/>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24D31428-DF0F-40D1-91C8-A99313FC2CAB}"/>
    <cellStyle name="Normal 9 3 2 2 4 2 2 3" xfId="24753" xr:uid="{89CFB0CC-92FE-44C5-8E00-3B76707E8B4A}"/>
    <cellStyle name="Normal 9 3 2 2 4 2 3" xfId="12089" xr:uid="{9560293E-2EB3-4108-B766-19143C854454}"/>
    <cellStyle name="Normal 9 3 2 2 4 2 4" xfId="20536" xr:uid="{F8785C04-182A-4ABD-B0C4-4E5DFD15B6A5}"/>
    <cellStyle name="Normal 9 3 2 2 4 3" xfId="5720" xr:uid="{00000000-0005-0000-0000-0000C71F0000}"/>
    <cellStyle name="Normal 9 3 2 2 4 3 2" xfId="14162" xr:uid="{1093F06D-A624-4847-8A89-4D60BFE2E7E4}"/>
    <cellStyle name="Normal 9 3 2 2 4 3 3" xfId="22608" xr:uid="{0AC0358E-D7FE-4C87-9607-9108CB7A0730}"/>
    <cellStyle name="Normal 9 3 2 2 4 4" xfId="9944" xr:uid="{25A47700-2999-42D3-A492-69B8DB41548B}"/>
    <cellStyle name="Normal 9 3 2 2 4 5" xfId="18389" xr:uid="{00FB73F4-5867-482E-BD69-8DE7C32BD202}"/>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C24383BA-937A-4191-96C7-9A4544A9725F}"/>
    <cellStyle name="Normal 9 3 2 2 5 2 2 3" xfId="25166" xr:uid="{78CE1F8D-4A8A-41A7-B6D2-5F97584A92F1}"/>
    <cellStyle name="Normal 9 3 2 2 5 2 3" xfId="12502" xr:uid="{6CB5E40F-7F12-48C8-A232-1906DB42DD4A}"/>
    <cellStyle name="Normal 9 3 2 2 5 2 4" xfId="20949" xr:uid="{859346DC-09F2-40F8-ADEC-8976AE27BDCE}"/>
    <cellStyle name="Normal 9 3 2 2 5 3" xfId="6133" xr:uid="{00000000-0005-0000-0000-0000CB1F0000}"/>
    <cellStyle name="Normal 9 3 2 2 5 3 2" xfId="14575" xr:uid="{C6A3813C-6D88-4671-AED9-87BF3DAFC95D}"/>
    <cellStyle name="Normal 9 3 2 2 5 3 3" xfId="23021" xr:uid="{3216CED9-C0B2-44C7-81ED-FB436FDDEE1D}"/>
    <cellStyle name="Normal 9 3 2 2 5 4" xfId="10357" xr:uid="{3B1D81DA-693A-4CAF-B230-6F051DE1813F}"/>
    <cellStyle name="Normal 9 3 2 2 5 5" xfId="18802" xr:uid="{BC9CFBD8-1F91-4C04-BF78-531351382A51}"/>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A39E63A2-38F5-477E-BB29-31501E2E17FB}"/>
    <cellStyle name="Normal 9 3 2 2 6 2 2 3" xfId="25579" xr:uid="{464BEA06-96FE-4CAB-A4BC-A5F445940CF8}"/>
    <cellStyle name="Normal 9 3 2 2 6 2 3" xfId="12915" xr:uid="{9E6CEBE3-5AA0-47A4-BE48-CC2AD1C2358F}"/>
    <cellStyle name="Normal 9 3 2 2 6 2 4" xfId="21362" xr:uid="{6AA507C9-52F4-499F-8D41-59567DCA3789}"/>
    <cellStyle name="Normal 9 3 2 2 6 3" xfId="6546" xr:uid="{00000000-0005-0000-0000-0000CF1F0000}"/>
    <cellStyle name="Normal 9 3 2 2 6 3 2" xfId="14988" xr:uid="{0E4C4D7F-CCCD-41D4-BAFA-64AF97778E0A}"/>
    <cellStyle name="Normal 9 3 2 2 6 3 3" xfId="23434" xr:uid="{B234A4FA-A75E-40AD-8AB7-37C2A1167CA7}"/>
    <cellStyle name="Normal 9 3 2 2 6 4" xfId="10770" xr:uid="{C7EA46F2-6481-4E79-AB67-1D4A0BDAAB86}"/>
    <cellStyle name="Normal 9 3 2 2 6 5" xfId="19215" xr:uid="{75663345-0C64-4819-89F6-508C787C9374}"/>
    <cellStyle name="Normal 9 3 2 2 7" xfId="2675" xr:uid="{00000000-0005-0000-0000-0000D01F0000}"/>
    <cellStyle name="Normal 9 3 2 2 7 2" xfId="6959" xr:uid="{00000000-0005-0000-0000-0000D11F0000}"/>
    <cellStyle name="Normal 9 3 2 2 7 2 2" xfId="15401" xr:uid="{FEFCF4C4-8685-400B-9F63-15246F4584EC}"/>
    <cellStyle name="Normal 9 3 2 2 7 2 3" xfId="23847" xr:uid="{4BF529AE-4182-4579-8C41-82D1DA1DA5DD}"/>
    <cellStyle name="Normal 9 3 2 2 7 3" xfId="11183" xr:uid="{AC7486E0-E732-43FB-AACC-DEDBA8497BC2}"/>
    <cellStyle name="Normal 9 3 2 2 7 4" xfId="19628" xr:uid="{846C9078-A03B-4F42-AB42-75623837EFF9}"/>
    <cellStyle name="Normal 9 3 2 2 8" xfId="4894" xr:uid="{00000000-0005-0000-0000-0000D21F0000}"/>
    <cellStyle name="Normal 9 3 2 2 8 2" xfId="13336" xr:uid="{378B4014-C691-4EF0-B8CD-FC96D6517889}"/>
    <cellStyle name="Normal 9 3 2 2 8 3" xfId="21782" xr:uid="{82C31E06-1E9A-43DD-9BE0-18CEF9E0D1DD}"/>
    <cellStyle name="Normal 9 3 2 2 9" xfId="9118" xr:uid="{69C63DDA-233C-4AA3-B98A-D5CC0BED9EBE}"/>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9BBE7376-8656-40D6-BC13-170806ED7F2B}"/>
    <cellStyle name="Normal 9 3 2 3 2 2 2 3" xfId="24342" xr:uid="{0BD91E53-8EF9-4DF8-A16F-1F08B4AA981E}"/>
    <cellStyle name="Normal 9 3 2 3 2 2 3" xfId="11678" xr:uid="{9A63A549-F450-4522-8AC0-13120D975178}"/>
    <cellStyle name="Normal 9 3 2 3 2 2 4" xfId="20125" xr:uid="{C9A1C1E8-0804-4A46-A367-BFC25898B1CE}"/>
    <cellStyle name="Normal 9 3 2 3 2 3" xfId="5309" xr:uid="{00000000-0005-0000-0000-0000D71F0000}"/>
    <cellStyle name="Normal 9 3 2 3 2 3 2" xfId="13751" xr:uid="{FBF645FB-F9AC-41DC-ACB6-621BBAC5F594}"/>
    <cellStyle name="Normal 9 3 2 3 2 3 3" xfId="22197" xr:uid="{E10A5141-AE8F-4055-BBF3-32A677B4E6F4}"/>
    <cellStyle name="Normal 9 3 2 3 2 4" xfId="9533" xr:uid="{75202EAE-F679-4793-A435-E59C3CA75DD7}"/>
    <cellStyle name="Normal 9 3 2 3 2 5" xfId="17978" xr:uid="{185149CC-0AFF-4B5A-8FA4-8C5E11AD986D}"/>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0C83D58F-16EC-49AC-8850-55BD3B2CF4BF}"/>
    <cellStyle name="Normal 9 3 2 3 3 2 2 3" xfId="24755" xr:uid="{161EA906-006E-4BDC-8217-630DB25EAD48}"/>
    <cellStyle name="Normal 9 3 2 3 3 2 3" xfId="12091" xr:uid="{0A69B695-2EA3-43CF-8576-745F6C6A27C9}"/>
    <cellStyle name="Normal 9 3 2 3 3 2 4" xfId="20538" xr:uid="{65BC1775-829F-43C5-BE03-DA39235AD926}"/>
    <cellStyle name="Normal 9 3 2 3 3 3" xfId="5722" xr:uid="{00000000-0005-0000-0000-0000DB1F0000}"/>
    <cellStyle name="Normal 9 3 2 3 3 3 2" xfId="14164" xr:uid="{E7C8066E-8047-4426-8ACF-10C02C11DEE3}"/>
    <cellStyle name="Normal 9 3 2 3 3 3 3" xfId="22610" xr:uid="{1B103211-55C9-4E7F-9AE4-940E73D9045F}"/>
    <cellStyle name="Normal 9 3 2 3 3 4" xfId="9946" xr:uid="{9973A3A9-2707-4F85-AD65-8F9F1706D6A3}"/>
    <cellStyle name="Normal 9 3 2 3 3 5" xfId="18391" xr:uid="{D7D5EE87-DF41-4245-BF42-3DB4A2A317D5}"/>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812AD534-818E-494D-99BD-4510C3BF97BC}"/>
    <cellStyle name="Normal 9 3 2 3 4 2 2 3" xfId="25168" xr:uid="{80DE5E7F-9348-4FF6-B8DD-7269FDDCBD45}"/>
    <cellStyle name="Normal 9 3 2 3 4 2 3" xfId="12504" xr:uid="{F8EF5475-1C7C-4635-B56C-4810CB65B5C4}"/>
    <cellStyle name="Normal 9 3 2 3 4 2 4" xfId="20951" xr:uid="{F96DC8E9-89B9-40A7-89C9-41C6A6B2D6BF}"/>
    <cellStyle name="Normal 9 3 2 3 4 3" xfId="6135" xr:uid="{00000000-0005-0000-0000-0000DF1F0000}"/>
    <cellStyle name="Normal 9 3 2 3 4 3 2" xfId="14577" xr:uid="{3F074535-F8D7-48A7-87CD-3EBE74BC5A6D}"/>
    <cellStyle name="Normal 9 3 2 3 4 3 3" xfId="23023" xr:uid="{EE0B2BAB-3C49-499C-AC73-BF82504D9373}"/>
    <cellStyle name="Normal 9 3 2 3 4 4" xfId="10359" xr:uid="{1E47C3FC-A759-413D-95C7-AB76AB95048B}"/>
    <cellStyle name="Normal 9 3 2 3 4 5" xfId="18804" xr:uid="{2A9B1FDA-E1D4-4A72-BC9A-D596FE42BC11}"/>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A1DCD28B-731F-4953-8301-E5FECE89BED9}"/>
    <cellStyle name="Normal 9 3 2 3 5 2 2 3" xfId="25581" xr:uid="{07A3FED5-7261-452D-8F7C-5028589270C5}"/>
    <cellStyle name="Normal 9 3 2 3 5 2 3" xfId="12917" xr:uid="{42E4021F-C2D9-4645-83F8-BB7E1AB40E92}"/>
    <cellStyle name="Normal 9 3 2 3 5 2 4" xfId="21364" xr:uid="{89D4B98B-5861-4514-95BA-AB95C33C4857}"/>
    <cellStyle name="Normal 9 3 2 3 5 3" xfId="6548" xr:uid="{00000000-0005-0000-0000-0000E31F0000}"/>
    <cellStyle name="Normal 9 3 2 3 5 3 2" xfId="14990" xr:uid="{34281684-E9C4-4FB5-A48B-63A32D9F5619}"/>
    <cellStyle name="Normal 9 3 2 3 5 3 3" xfId="23436" xr:uid="{3AE24667-3689-4B3E-A930-0F19F89997F1}"/>
    <cellStyle name="Normal 9 3 2 3 5 4" xfId="10772" xr:uid="{9791A269-1C7F-454E-AFD5-E0658C866AAC}"/>
    <cellStyle name="Normal 9 3 2 3 5 5" xfId="19217" xr:uid="{9A09F0F3-BC44-4798-AE9D-695420CC8761}"/>
    <cellStyle name="Normal 9 3 2 3 6" xfId="2677" xr:uid="{00000000-0005-0000-0000-0000E41F0000}"/>
    <cellStyle name="Normal 9 3 2 3 6 2" xfId="6961" xr:uid="{00000000-0005-0000-0000-0000E51F0000}"/>
    <cellStyle name="Normal 9 3 2 3 6 2 2" xfId="15403" xr:uid="{D7E51765-7729-4A93-8C3B-D141695B50C7}"/>
    <cellStyle name="Normal 9 3 2 3 6 2 3" xfId="23849" xr:uid="{D9998C65-B3CE-4F90-9148-A44A6E204758}"/>
    <cellStyle name="Normal 9 3 2 3 6 3" xfId="11185" xr:uid="{C893E264-8AC4-4FEB-B2DC-EAE37DA6BE45}"/>
    <cellStyle name="Normal 9 3 2 3 6 4" xfId="19630" xr:uid="{F7675A79-294E-458D-9B32-A520D6C1ABEC}"/>
    <cellStyle name="Normal 9 3 2 3 7" xfId="4896" xr:uid="{00000000-0005-0000-0000-0000E61F0000}"/>
    <cellStyle name="Normal 9 3 2 3 7 2" xfId="13338" xr:uid="{69B33B6C-4011-4EB5-9E65-0C00D803D707}"/>
    <cellStyle name="Normal 9 3 2 3 7 3" xfId="21784" xr:uid="{F8B8C9EF-5EB4-49E0-B37B-AEEEED047830}"/>
    <cellStyle name="Normal 9 3 2 3 8" xfId="9120" xr:uid="{5D983C87-BDEC-48B7-A6FC-BA285462CDE1}"/>
    <cellStyle name="Normal 9 3 2 3 9" xfId="17565" xr:uid="{06401A93-F80D-490A-9516-95B8DE0E9CB5}"/>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23FBF29E-1FE3-402E-9C7C-46BA0B00FE82}"/>
    <cellStyle name="Normal 9 3 2 4 2 2 3" xfId="24339" xr:uid="{ECE21EB1-92CB-4B57-827A-2360682847B0}"/>
    <cellStyle name="Normal 9 3 2 4 2 3" xfId="11675" xr:uid="{AF15A633-EBC9-4753-A743-4DEC87D35FBF}"/>
    <cellStyle name="Normal 9 3 2 4 2 4" xfId="20122" xr:uid="{C88B4349-288C-4375-A68C-5642DB74ABDF}"/>
    <cellStyle name="Normal 9 3 2 4 3" xfId="5306" xr:uid="{00000000-0005-0000-0000-0000EA1F0000}"/>
    <cellStyle name="Normal 9 3 2 4 3 2" xfId="13748" xr:uid="{CA695669-9790-4814-888C-6A11A5BC40F7}"/>
    <cellStyle name="Normal 9 3 2 4 3 3" xfId="22194" xr:uid="{2EF07196-9624-4E74-A318-EC9C5A2A4E20}"/>
    <cellStyle name="Normal 9 3 2 4 4" xfId="9530" xr:uid="{F196A00E-CA69-4162-881D-BA64B04B048E}"/>
    <cellStyle name="Normal 9 3 2 4 5" xfId="17975" xr:uid="{B61ED708-98D5-4F49-9E0F-58F181384A7C}"/>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72CB23E6-687B-43D3-8120-FCDBECFCEB6C}"/>
    <cellStyle name="Normal 9 3 2 5 2 2 3" xfId="24752" xr:uid="{E22CDD9E-43B3-4DE4-B19B-719A0F73F686}"/>
    <cellStyle name="Normal 9 3 2 5 2 3" xfId="12088" xr:uid="{38A39FE6-1E5E-4D09-ADD6-35AA2A894BA0}"/>
    <cellStyle name="Normal 9 3 2 5 2 4" xfId="20535" xr:uid="{E37F2B15-5767-4C7B-93C2-827523E1C4C0}"/>
    <cellStyle name="Normal 9 3 2 5 3" xfId="5719" xr:uid="{00000000-0005-0000-0000-0000EE1F0000}"/>
    <cellStyle name="Normal 9 3 2 5 3 2" xfId="14161" xr:uid="{B4B1EFD6-2F78-4037-B7E3-BAF3F451A404}"/>
    <cellStyle name="Normal 9 3 2 5 3 3" xfId="22607" xr:uid="{E4F4CF22-10F7-4D33-BC8B-DC46E0DCB79B}"/>
    <cellStyle name="Normal 9 3 2 5 4" xfId="9943" xr:uid="{05E4F60A-5E7E-4262-8C19-6A099EEB360A}"/>
    <cellStyle name="Normal 9 3 2 5 5" xfId="18388" xr:uid="{4C78A232-6AC3-4F16-926E-B8027246A1C3}"/>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3AE29869-9C06-4027-A0EA-FA2D86AEEF41}"/>
    <cellStyle name="Normal 9 3 2 6 2 2 3" xfId="25165" xr:uid="{0327383C-8493-49B4-94C4-4865AACCDB74}"/>
    <cellStyle name="Normal 9 3 2 6 2 3" xfId="12501" xr:uid="{60D1BC1C-8AF6-414A-AD71-15081B5F52E8}"/>
    <cellStyle name="Normal 9 3 2 6 2 4" xfId="20948" xr:uid="{165A2906-D130-43A5-9983-74CB707DFCFC}"/>
    <cellStyle name="Normal 9 3 2 6 3" xfId="6132" xr:uid="{00000000-0005-0000-0000-0000F21F0000}"/>
    <cellStyle name="Normal 9 3 2 6 3 2" xfId="14574" xr:uid="{ACDC62E9-BEC0-4189-BB76-68AACA9F74AF}"/>
    <cellStyle name="Normal 9 3 2 6 3 3" xfId="23020" xr:uid="{74FB4A3D-677D-43DF-9C25-39A0A52BCEC7}"/>
    <cellStyle name="Normal 9 3 2 6 4" xfId="10356" xr:uid="{010C95E7-3755-4497-AE4A-9801565E9026}"/>
    <cellStyle name="Normal 9 3 2 6 5" xfId="18801" xr:uid="{9FA2A3DB-4118-418B-A775-8B315CD44DE3}"/>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058D753B-0BE1-4F2F-A9D0-070D8F7859EA}"/>
    <cellStyle name="Normal 9 3 2 7 2 2 3" xfId="25578" xr:uid="{61AD7A25-8903-404D-9D11-A4BD1730EB09}"/>
    <cellStyle name="Normal 9 3 2 7 2 3" xfId="12914" xr:uid="{EBB202B4-DE65-4046-9F9D-711C3CEAE233}"/>
    <cellStyle name="Normal 9 3 2 7 2 4" xfId="21361" xr:uid="{26B7476A-0650-4895-BC75-3417013DA9B1}"/>
    <cellStyle name="Normal 9 3 2 7 3" xfId="6545" xr:uid="{00000000-0005-0000-0000-0000F61F0000}"/>
    <cellStyle name="Normal 9 3 2 7 3 2" xfId="14987" xr:uid="{56D6925B-90E1-48F2-87D5-3D1FB3578690}"/>
    <cellStyle name="Normal 9 3 2 7 3 3" xfId="23433" xr:uid="{C4E29AB7-C3C1-4334-B79F-4D0848BF52D2}"/>
    <cellStyle name="Normal 9 3 2 7 4" xfId="10769" xr:uid="{64ED3349-C264-4054-BF7F-9D3ED537AAE2}"/>
    <cellStyle name="Normal 9 3 2 7 5" xfId="19214" xr:uid="{25666EF2-2BC3-475C-8A65-61019507B8D9}"/>
    <cellStyle name="Normal 9 3 2 8" xfId="2674" xr:uid="{00000000-0005-0000-0000-0000F71F0000}"/>
    <cellStyle name="Normal 9 3 2 8 2" xfId="6958" xr:uid="{00000000-0005-0000-0000-0000F81F0000}"/>
    <cellStyle name="Normal 9 3 2 8 2 2" xfId="15400" xr:uid="{65E4A1CB-4C49-4D0C-B09B-A8EC4ABF6BF3}"/>
    <cellStyle name="Normal 9 3 2 8 2 3" xfId="23846" xr:uid="{2F83F67A-B98C-457E-AFCC-568CF5194FDB}"/>
    <cellStyle name="Normal 9 3 2 8 3" xfId="11182" xr:uid="{D26AEEA9-0D02-4F68-A01C-6A0192766443}"/>
    <cellStyle name="Normal 9 3 2 8 4" xfId="19627" xr:uid="{8B217F32-A1F2-4CB1-8AF4-E6A3FF1BB1E1}"/>
    <cellStyle name="Normal 9 3 2 9" xfId="4893" xr:uid="{00000000-0005-0000-0000-0000F91F0000}"/>
    <cellStyle name="Normal 9 3 2 9 2" xfId="13335" xr:uid="{C6876B59-F2C4-4B7F-8D5C-1CFB8CFBD224}"/>
    <cellStyle name="Normal 9 3 2 9 3" xfId="21781" xr:uid="{5011016F-C781-456C-8A6B-683DF2721D0D}"/>
    <cellStyle name="Normal 9 3 3" xfId="532" xr:uid="{00000000-0005-0000-0000-0000FA1F0000}"/>
    <cellStyle name="Normal 9 3 3 10" xfId="17566" xr:uid="{225EE5B3-CCD4-48DF-9CA2-C07FCFFD9F4F}"/>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E73ED731-A078-421E-B2E9-355985E84ADE}"/>
    <cellStyle name="Normal 9 3 3 2 2 2 2 3" xfId="24344" xr:uid="{84420998-D89C-48D2-894D-4E260D530B23}"/>
    <cellStyle name="Normal 9 3 3 2 2 2 3" xfId="11680" xr:uid="{8672A12B-2DE7-4411-A63A-2A8C29E82922}"/>
    <cellStyle name="Normal 9 3 3 2 2 2 4" xfId="20127" xr:uid="{03C01CED-5B60-4DFC-899C-53E957902B18}"/>
    <cellStyle name="Normal 9 3 3 2 2 3" xfId="5311" xr:uid="{00000000-0005-0000-0000-0000FF1F0000}"/>
    <cellStyle name="Normal 9 3 3 2 2 3 2" xfId="13753" xr:uid="{7CA83F79-80B9-477E-8EC4-F940AAA7AE12}"/>
    <cellStyle name="Normal 9 3 3 2 2 3 3" xfId="22199" xr:uid="{AF94013E-E44E-47AB-8187-77A848CB2D47}"/>
    <cellStyle name="Normal 9 3 3 2 2 4" xfId="9535" xr:uid="{92C9C68C-C7DB-43E1-8074-5D9FB893DE37}"/>
    <cellStyle name="Normal 9 3 3 2 2 5" xfId="17980" xr:uid="{6EC92919-3880-47C3-8DB7-C3A28AE25B56}"/>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9AAE74CD-0F2B-4086-B81E-29E6D93FB0F1}"/>
    <cellStyle name="Normal 9 3 3 2 3 2 2 3" xfId="24757" xr:uid="{C6C9B6B3-5571-42EB-A9F7-959FE7AE8330}"/>
    <cellStyle name="Normal 9 3 3 2 3 2 3" xfId="12093" xr:uid="{DEC01B3E-6D7B-4E8F-B7D0-02D5C9A17F5D}"/>
    <cellStyle name="Normal 9 3 3 2 3 2 4" xfId="20540" xr:uid="{EE1A5A55-AB4C-4CE1-BB18-5230C5B82F0F}"/>
    <cellStyle name="Normal 9 3 3 2 3 3" xfId="5724" xr:uid="{00000000-0005-0000-0000-000003200000}"/>
    <cellStyle name="Normal 9 3 3 2 3 3 2" xfId="14166" xr:uid="{46125730-CD8A-41E6-ACD9-DF8CCE31864B}"/>
    <cellStyle name="Normal 9 3 3 2 3 3 3" xfId="22612" xr:uid="{AEDE2F8A-F3B1-46DE-9B2E-BF0BCEC68277}"/>
    <cellStyle name="Normal 9 3 3 2 3 4" xfId="9948" xr:uid="{B72E5F01-900B-485F-9DB0-E41A67A12765}"/>
    <cellStyle name="Normal 9 3 3 2 3 5" xfId="18393" xr:uid="{DA0014A4-F043-4BDF-89CB-5818D4E8A0E4}"/>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EB2BDCA0-02C5-4256-854C-54FCC1A5C55C}"/>
    <cellStyle name="Normal 9 3 3 2 4 2 2 3" xfId="25170" xr:uid="{8EAE1247-A98B-4EFD-B998-359720C9B274}"/>
    <cellStyle name="Normal 9 3 3 2 4 2 3" xfId="12506" xr:uid="{BA3E6592-4107-4ED5-9263-362689107B8F}"/>
    <cellStyle name="Normal 9 3 3 2 4 2 4" xfId="20953" xr:uid="{F2CE0B51-5A94-4D0D-9816-0EDAAFE30185}"/>
    <cellStyle name="Normal 9 3 3 2 4 3" xfId="6137" xr:uid="{00000000-0005-0000-0000-000007200000}"/>
    <cellStyle name="Normal 9 3 3 2 4 3 2" xfId="14579" xr:uid="{1B32ABB8-E3C8-416A-9905-6E449774A697}"/>
    <cellStyle name="Normal 9 3 3 2 4 3 3" xfId="23025" xr:uid="{C8CAA30B-EC8B-4544-8334-2254BAE57DC4}"/>
    <cellStyle name="Normal 9 3 3 2 4 4" xfId="10361" xr:uid="{74014B14-5C33-44BC-A9F7-34E9FE210469}"/>
    <cellStyle name="Normal 9 3 3 2 4 5" xfId="18806" xr:uid="{39B22CC6-5675-4D88-A66E-F9F81D15C763}"/>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F2DE4742-3014-4764-B70A-A9FE1C5D78FC}"/>
    <cellStyle name="Normal 9 3 3 2 5 2 2 3" xfId="25583" xr:uid="{10798269-AF69-4B28-AC15-6B5DD3542891}"/>
    <cellStyle name="Normal 9 3 3 2 5 2 3" xfId="12919" xr:uid="{CAC9FE15-9AFA-4EC5-B940-404133816F68}"/>
    <cellStyle name="Normal 9 3 3 2 5 2 4" xfId="21366" xr:uid="{10669728-DA76-4662-B75A-F7B7443DD842}"/>
    <cellStyle name="Normal 9 3 3 2 5 3" xfId="6550" xr:uid="{00000000-0005-0000-0000-00000B200000}"/>
    <cellStyle name="Normal 9 3 3 2 5 3 2" xfId="14992" xr:uid="{9E603ACB-607C-42E5-99E5-FC9DBACE361D}"/>
    <cellStyle name="Normal 9 3 3 2 5 3 3" xfId="23438" xr:uid="{997630AC-FC54-4797-955B-A1D5DA300A0D}"/>
    <cellStyle name="Normal 9 3 3 2 5 4" xfId="10774" xr:uid="{8FA35868-9CD7-43CD-805B-069FF3FB1F41}"/>
    <cellStyle name="Normal 9 3 3 2 5 5" xfId="19219" xr:uid="{F04DE0BB-0689-43B7-97FD-9C6A9FF8C732}"/>
    <cellStyle name="Normal 9 3 3 2 6" xfId="2679" xr:uid="{00000000-0005-0000-0000-00000C200000}"/>
    <cellStyle name="Normal 9 3 3 2 6 2" xfId="6963" xr:uid="{00000000-0005-0000-0000-00000D200000}"/>
    <cellStyle name="Normal 9 3 3 2 6 2 2" xfId="15405" xr:uid="{CEF693CE-56EC-4C11-8CF6-32CB8C03C587}"/>
    <cellStyle name="Normal 9 3 3 2 6 2 3" xfId="23851" xr:uid="{B9925510-EFFF-4D49-A5BA-4A57AA048E86}"/>
    <cellStyle name="Normal 9 3 3 2 6 3" xfId="11187" xr:uid="{3AD75786-2B94-4FDB-A696-A72E4B71E7A9}"/>
    <cellStyle name="Normal 9 3 3 2 6 4" xfId="19632" xr:uid="{11C3074F-E690-4872-B14A-1EB547E0A1DD}"/>
    <cellStyle name="Normal 9 3 3 2 7" xfId="4898" xr:uid="{00000000-0005-0000-0000-00000E200000}"/>
    <cellStyle name="Normal 9 3 3 2 7 2" xfId="13340" xr:uid="{F2F8EA4D-9F97-4CBE-B051-4CC1722B6C95}"/>
    <cellStyle name="Normal 9 3 3 2 7 3" xfId="21786" xr:uid="{6AF9B6B7-7D2F-4734-9D49-147143B4C9A4}"/>
    <cellStyle name="Normal 9 3 3 2 8" xfId="9122" xr:uid="{C1060117-00D0-49D5-90AD-1B4D5CFCB18E}"/>
    <cellStyle name="Normal 9 3 3 2 9" xfId="17567" xr:uid="{57DA0ADC-1FF0-4600-B608-E50D7CADA344}"/>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F2CAC286-4965-40AE-918F-C833AAF779F3}"/>
    <cellStyle name="Normal 9 3 3 3 2 2 3" xfId="24343" xr:uid="{EED83DCD-68BB-4421-8F1A-EFD505C85FB7}"/>
    <cellStyle name="Normal 9 3 3 3 2 3" xfId="11679" xr:uid="{2BACF7F8-FD54-4345-AAE4-26DD3F774394}"/>
    <cellStyle name="Normal 9 3 3 3 2 4" xfId="20126" xr:uid="{B7E3B5D6-BE81-46C5-8F7B-82000B170952}"/>
    <cellStyle name="Normal 9 3 3 3 3" xfId="5310" xr:uid="{00000000-0005-0000-0000-000012200000}"/>
    <cellStyle name="Normal 9 3 3 3 3 2" xfId="13752" xr:uid="{1A9BCC45-F0CF-4367-9D65-F97FD9A1FEAE}"/>
    <cellStyle name="Normal 9 3 3 3 3 3" xfId="22198" xr:uid="{1727B014-B9F5-4DC4-93D7-D1A48A0FF4B6}"/>
    <cellStyle name="Normal 9 3 3 3 4" xfId="9534" xr:uid="{36E40AD4-945C-47C4-9AF0-8A8AA2E4E271}"/>
    <cellStyle name="Normal 9 3 3 3 5" xfId="17979" xr:uid="{3ED8D807-6BB6-45AB-B26D-9C77557CC3CA}"/>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40E62AEB-E0CB-44BA-9547-EFA2C3FB8625}"/>
    <cellStyle name="Normal 9 3 3 4 2 2 3" xfId="24756" xr:uid="{8126354D-E2EF-4D42-B00E-A9747E1C5C98}"/>
    <cellStyle name="Normal 9 3 3 4 2 3" xfId="12092" xr:uid="{198667CA-0CE9-424A-82C5-631334596233}"/>
    <cellStyle name="Normal 9 3 3 4 2 4" xfId="20539" xr:uid="{3051DA69-527A-45B0-A5DB-9BCE1A62CAAA}"/>
    <cellStyle name="Normal 9 3 3 4 3" xfId="5723" xr:uid="{00000000-0005-0000-0000-000016200000}"/>
    <cellStyle name="Normal 9 3 3 4 3 2" xfId="14165" xr:uid="{D1091496-8BE3-41B8-8B47-DCFB3AA08044}"/>
    <cellStyle name="Normal 9 3 3 4 3 3" xfId="22611" xr:uid="{19E2F750-B36E-4CE9-B7A9-BEBF4C4F5481}"/>
    <cellStyle name="Normal 9 3 3 4 4" xfId="9947" xr:uid="{C09B6474-2932-43D9-A0DA-AF63081933AB}"/>
    <cellStyle name="Normal 9 3 3 4 5" xfId="18392" xr:uid="{A9B4786E-C516-426D-829A-3BB1F863890C}"/>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E7F089A6-77FD-4BAD-9A75-D27ECA244CE6}"/>
    <cellStyle name="Normal 9 3 3 5 2 2 3" xfId="25169" xr:uid="{83CC863F-B116-4EA2-9200-B324E67A9B82}"/>
    <cellStyle name="Normal 9 3 3 5 2 3" xfId="12505" xr:uid="{19D89186-DAAA-447C-BDAA-874C0AB4E3FB}"/>
    <cellStyle name="Normal 9 3 3 5 2 4" xfId="20952" xr:uid="{A69106B5-D898-4B32-A53C-B1D98747BB37}"/>
    <cellStyle name="Normal 9 3 3 5 3" xfId="6136" xr:uid="{00000000-0005-0000-0000-00001A200000}"/>
    <cellStyle name="Normal 9 3 3 5 3 2" xfId="14578" xr:uid="{E8F04816-5D42-4E3D-9261-D2CC746F501E}"/>
    <cellStyle name="Normal 9 3 3 5 3 3" xfId="23024" xr:uid="{F4A94D1E-03CF-4C42-AAB0-78EAE8099E30}"/>
    <cellStyle name="Normal 9 3 3 5 4" xfId="10360" xr:uid="{B34857A3-2C18-4F1B-BDA6-EF9F5020A544}"/>
    <cellStyle name="Normal 9 3 3 5 5" xfId="18805" xr:uid="{73648AD9-051D-4B48-9912-72AE08AE4189}"/>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EA55EFF4-061A-43DE-B002-BBD057F9BA43}"/>
    <cellStyle name="Normal 9 3 3 6 2 2 3" xfId="25582" xr:uid="{F7BC617C-A8D2-403C-9D43-444637DED1E7}"/>
    <cellStyle name="Normal 9 3 3 6 2 3" xfId="12918" xr:uid="{B9BDC2C1-4807-4B66-B732-5B9725DAE768}"/>
    <cellStyle name="Normal 9 3 3 6 2 4" xfId="21365" xr:uid="{3AB4ED76-F3EE-4657-9B05-0AB410FBF016}"/>
    <cellStyle name="Normal 9 3 3 6 3" xfId="6549" xr:uid="{00000000-0005-0000-0000-00001E200000}"/>
    <cellStyle name="Normal 9 3 3 6 3 2" xfId="14991" xr:uid="{483D87FD-1154-4D26-BAB5-5D3A3B9D2047}"/>
    <cellStyle name="Normal 9 3 3 6 3 3" xfId="23437" xr:uid="{BA9CEB9F-E9B5-4D7F-9686-60D597D728CC}"/>
    <cellStyle name="Normal 9 3 3 6 4" xfId="10773" xr:uid="{18E9725B-DEFF-4E12-B980-69E3230AE1EE}"/>
    <cellStyle name="Normal 9 3 3 6 5" xfId="19218" xr:uid="{5A6A5BAA-DDA1-45DC-B4E7-F3F6499967FE}"/>
    <cellStyle name="Normal 9 3 3 7" xfId="2678" xr:uid="{00000000-0005-0000-0000-00001F200000}"/>
    <cellStyle name="Normal 9 3 3 7 2" xfId="6962" xr:uid="{00000000-0005-0000-0000-000020200000}"/>
    <cellStyle name="Normal 9 3 3 7 2 2" xfId="15404" xr:uid="{1BB253DA-E4F6-482A-998A-80BFC6FB2001}"/>
    <cellStyle name="Normal 9 3 3 7 2 3" xfId="23850" xr:uid="{3F3B429B-98F8-452A-AA4F-364FCAEE292D}"/>
    <cellStyle name="Normal 9 3 3 7 3" xfId="11186" xr:uid="{172D7D09-2BD0-456D-8C84-46FC0D5F5A5A}"/>
    <cellStyle name="Normal 9 3 3 7 4" xfId="19631" xr:uid="{6E99E292-D536-4568-8D1D-6A41CD0D879E}"/>
    <cellStyle name="Normal 9 3 3 8" xfId="4897" xr:uid="{00000000-0005-0000-0000-000021200000}"/>
    <cellStyle name="Normal 9 3 3 8 2" xfId="13339" xr:uid="{CB3B3187-DC12-419D-A9CB-24D90D0DDEBE}"/>
    <cellStyle name="Normal 9 3 3 8 3" xfId="21785" xr:uid="{681176CF-3960-49BE-BFDA-FFD6E60E5427}"/>
    <cellStyle name="Normal 9 3 3 9" xfId="9121" xr:uid="{E8F9CF52-482F-4B01-A355-27BA93F39AD9}"/>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C0585A03-30A6-4F25-821E-6DB6809FE50E}"/>
    <cellStyle name="Normal 9 3 4 2 2 2 3" xfId="24345" xr:uid="{1CF6B892-2C3E-42FE-9B14-C3D814C602DB}"/>
    <cellStyle name="Normal 9 3 4 2 2 3" xfId="11681" xr:uid="{5188786E-F3D5-4667-AF87-AC149C9C75D3}"/>
    <cellStyle name="Normal 9 3 4 2 2 4" xfId="20128" xr:uid="{14875D3E-14AB-4BAC-AFDD-ED9393BA0B8A}"/>
    <cellStyle name="Normal 9 3 4 2 3" xfId="5312" xr:uid="{00000000-0005-0000-0000-000026200000}"/>
    <cellStyle name="Normal 9 3 4 2 3 2" xfId="13754" xr:uid="{6673D9C7-6CBD-4978-AA2D-633637C602DB}"/>
    <cellStyle name="Normal 9 3 4 2 3 3" xfId="22200" xr:uid="{48730D5D-C565-485A-852A-DB6E1A3A4AB1}"/>
    <cellStyle name="Normal 9 3 4 2 4" xfId="9536" xr:uid="{92A5DC00-C925-4D6C-BAF5-B20B134E618E}"/>
    <cellStyle name="Normal 9 3 4 2 5" xfId="17981" xr:uid="{722DFCDD-777F-4C89-AD6F-AEB43C82778C}"/>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3F04B58F-F224-465D-A6FE-F458AD79675C}"/>
    <cellStyle name="Normal 9 3 4 3 2 2 3" xfId="24758" xr:uid="{B9DAB6BF-CDB1-46F1-ACA6-40BD27E2CE57}"/>
    <cellStyle name="Normal 9 3 4 3 2 3" xfId="12094" xr:uid="{8D9D93E3-69B2-4D2F-B9A1-46A73830B389}"/>
    <cellStyle name="Normal 9 3 4 3 2 4" xfId="20541" xr:uid="{2C193589-77A5-44BF-8D74-8FA6CDBDA2A0}"/>
    <cellStyle name="Normal 9 3 4 3 3" xfId="5725" xr:uid="{00000000-0005-0000-0000-00002A200000}"/>
    <cellStyle name="Normal 9 3 4 3 3 2" xfId="14167" xr:uid="{6BCE0B39-19EE-40AA-BF59-10EF476FD661}"/>
    <cellStyle name="Normal 9 3 4 3 3 3" xfId="22613" xr:uid="{78648CDF-F031-4D58-94B2-3A58F918D329}"/>
    <cellStyle name="Normal 9 3 4 3 4" xfId="9949" xr:uid="{D10147D7-6757-49E4-8828-6CBDC419E6FE}"/>
    <cellStyle name="Normal 9 3 4 3 5" xfId="18394" xr:uid="{F078E376-44CF-46BC-AF20-8F5A1B9E77D0}"/>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266C7E86-6F78-4630-9B35-088A56781CB2}"/>
    <cellStyle name="Normal 9 3 4 4 2 2 3" xfId="25171" xr:uid="{DFC518A2-C14D-49E9-9235-59A7E101B67B}"/>
    <cellStyle name="Normal 9 3 4 4 2 3" xfId="12507" xr:uid="{41325D6A-C57B-4B09-A8A8-3CD90BBCDAA5}"/>
    <cellStyle name="Normal 9 3 4 4 2 4" xfId="20954" xr:uid="{BA7E7E00-41D0-4D34-9A21-75524CF5E312}"/>
    <cellStyle name="Normal 9 3 4 4 3" xfId="6138" xr:uid="{00000000-0005-0000-0000-00002E200000}"/>
    <cellStyle name="Normal 9 3 4 4 3 2" xfId="14580" xr:uid="{02662E62-3DF3-4709-83EC-3D81B84088B9}"/>
    <cellStyle name="Normal 9 3 4 4 3 3" xfId="23026" xr:uid="{8B6DA043-BFCD-4D9F-89E7-B27C9BF9A885}"/>
    <cellStyle name="Normal 9 3 4 4 4" xfId="10362" xr:uid="{6C16F47D-3EEB-46FC-85E4-A6C5B748896C}"/>
    <cellStyle name="Normal 9 3 4 4 5" xfId="18807" xr:uid="{4C8F4D2C-5D1F-4DCC-9C71-32579966EB58}"/>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0BC74A0B-3D1D-4D09-8ADD-0D5E6B8E63EC}"/>
    <cellStyle name="Normal 9 3 4 5 2 2 3" xfId="25584" xr:uid="{2268F4FE-8002-4B10-9CEF-DE19F58AE314}"/>
    <cellStyle name="Normal 9 3 4 5 2 3" xfId="12920" xr:uid="{20D9B3AE-46EF-4E22-9EFB-E73585BA5CFE}"/>
    <cellStyle name="Normal 9 3 4 5 2 4" xfId="21367" xr:uid="{EE241715-2D81-491B-9F36-0ECE31B9EBBB}"/>
    <cellStyle name="Normal 9 3 4 5 3" xfId="6551" xr:uid="{00000000-0005-0000-0000-000032200000}"/>
    <cellStyle name="Normal 9 3 4 5 3 2" xfId="14993" xr:uid="{B115391B-B750-4F64-A4AC-D422EF5B76FD}"/>
    <cellStyle name="Normal 9 3 4 5 3 3" xfId="23439" xr:uid="{34BA15DE-5A70-4BDF-8E2E-00CAF22ED0F7}"/>
    <cellStyle name="Normal 9 3 4 5 4" xfId="10775" xr:uid="{7C46BE58-66EA-4F97-AD00-00B8298EE4E3}"/>
    <cellStyle name="Normal 9 3 4 5 5" xfId="19220" xr:uid="{3881F592-4F84-4FF3-ADE4-02928CC159BC}"/>
    <cellStyle name="Normal 9 3 4 6" xfId="2680" xr:uid="{00000000-0005-0000-0000-000033200000}"/>
    <cellStyle name="Normal 9 3 4 6 2" xfId="6964" xr:uid="{00000000-0005-0000-0000-000034200000}"/>
    <cellStyle name="Normal 9 3 4 6 2 2" xfId="15406" xr:uid="{A81E218A-155B-41EC-94D1-E915800B5B6F}"/>
    <cellStyle name="Normal 9 3 4 6 2 3" xfId="23852" xr:uid="{D357D838-8F48-4D6F-90C6-4EDACEA1EDF7}"/>
    <cellStyle name="Normal 9 3 4 6 3" xfId="11188" xr:uid="{62034817-733F-4F5C-98E6-0B434FD114AB}"/>
    <cellStyle name="Normal 9 3 4 6 4" xfId="19633" xr:uid="{1C1B34E5-9E6A-4D9C-A87D-A7C32707E313}"/>
    <cellStyle name="Normal 9 3 4 7" xfId="4899" xr:uid="{00000000-0005-0000-0000-000035200000}"/>
    <cellStyle name="Normal 9 3 4 7 2" xfId="13341" xr:uid="{6BDE6E7B-8956-4D33-9A35-11B02A6D4560}"/>
    <cellStyle name="Normal 9 3 4 7 3" xfId="21787" xr:uid="{3CBD2E04-265B-4171-A7F6-88F4BFFF9866}"/>
    <cellStyle name="Normal 9 3 4 8" xfId="9123" xr:uid="{7C880B3D-DB7B-4A23-812E-30712EC45CC6}"/>
    <cellStyle name="Normal 9 3 4 9" xfId="17568" xr:uid="{63A12863-D21A-4546-9488-D0A0849BA62C}"/>
    <cellStyle name="Normal 9 3 5" xfId="994" xr:uid="{00000000-0005-0000-0000-000036200000}"/>
    <cellStyle name="Normal 9 3 5 2" xfId="3227" xr:uid="{00000000-0005-0000-0000-000037200000}"/>
    <cellStyle name="Normal 9 3 5 2 2" xfId="7450" xr:uid="{00000000-0005-0000-0000-000038200000}"/>
    <cellStyle name="Normal 9 3 5 2 2 2" xfId="15892" xr:uid="{3AE76108-A7C3-49FE-B024-B2836701A31F}"/>
    <cellStyle name="Normal 9 3 5 2 2 3" xfId="24338" xr:uid="{5D62386E-A7B1-4A74-B75C-570850DD6EE4}"/>
    <cellStyle name="Normal 9 3 5 2 3" xfId="11674" xr:uid="{43A37C93-890A-47E4-81CA-B39A9E17EC50}"/>
    <cellStyle name="Normal 9 3 5 2 4" xfId="20121" xr:uid="{443B7265-670F-4B6A-84A5-0014CC7AF90B}"/>
    <cellStyle name="Normal 9 3 5 3" xfId="5305" xr:uid="{00000000-0005-0000-0000-000039200000}"/>
    <cellStyle name="Normal 9 3 5 3 2" xfId="13747" xr:uid="{F98D8DFF-7B49-4F70-A4A8-363983F0AF84}"/>
    <cellStyle name="Normal 9 3 5 3 3" xfId="22193" xr:uid="{37958F8B-4D4D-40AC-A899-803B4F60C796}"/>
    <cellStyle name="Normal 9 3 5 4" xfId="9529" xr:uid="{052B5511-EA0C-445F-9D40-A78F71BEAE04}"/>
    <cellStyle name="Normal 9 3 5 5" xfId="17974" xr:uid="{2B14ACC0-F2AE-49C0-96D0-776237CCB2FD}"/>
    <cellStyle name="Normal 9 3 6" xfId="1410" xr:uid="{00000000-0005-0000-0000-00003A200000}"/>
    <cellStyle name="Normal 9 3 6 2" xfId="3640" xr:uid="{00000000-0005-0000-0000-00003B200000}"/>
    <cellStyle name="Normal 9 3 6 2 2" xfId="7863" xr:uid="{00000000-0005-0000-0000-00003C200000}"/>
    <cellStyle name="Normal 9 3 6 2 2 2" xfId="16305" xr:uid="{DB413471-59A0-4BD3-8B47-628DD486361F}"/>
    <cellStyle name="Normal 9 3 6 2 2 3" xfId="24751" xr:uid="{5A3B6523-6DE1-4BBB-852F-66660A5CADF1}"/>
    <cellStyle name="Normal 9 3 6 2 3" xfId="12087" xr:uid="{80579CB2-7213-49AE-A681-F5291B597E42}"/>
    <cellStyle name="Normal 9 3 6 2 4" xfId="20534" xr:uid="{9165410E-6F9A-4005-8CDF-E0EAD2A03464}"/>
    <cellStyle name="Normal 9 3 6 3" xfId="5718" xr:uid="{00000000-0005-0000-0000-00003D200000}"/>
    <cellStyle name="Normal 9 3 6 3 2" xfId="14160" xr:uid="{AB9BE739-0063-41AE-A88E-2D2CDAC67F37}"/>
    <cellStyle name="Normal 9 3 6 3 3" xfId="22606" xr:uid="{C5C473EF-06E4-48DB-BDD7-749A90C2138F}"/>
    <cellStyle name="Normal 9 3 6 4" xfId="9942" xr:uid="{CB7984C7-1957-40A4-9C38-CBB78FABFAAA}"/>
    <cellStyle name="Normal 9 3 6 5" xfId="18387" xr:uid="{F77A04E4-18C1-431C-9670-D237B0A14863}"/>
    <cellStyle name="Normal 9 3 7" xfId="1823" xr:uid="{00000000-0005-0000-0000-00003E200000}"/>
    <cellStyle name="Normal 9 3 7 2" xfId="4053" xr:uid="{00000000-0005-0000-0000-00003F200000}"/>
    <cellStyle name="Normal 9 3 7 2 2" xfId="8276" xr:uid="{00000000-0005-0000-0000-000040200000}"/>
    <cellStyle name="Normal 9 3 7 2 2 2" xfId="16718" xr:uid="{9A9613A4-45E5-49B6-853B-82A7D0F19EEB}"/>
    <cellStyle name="Normal 9 3 7 2 2 3" xfId="25164" xr:uid="{ABF54CFC-3BD3-4F1A-846D-FDB5F7CF2707}"/>
    <cellStyle name="Normal 9 3 7 2 3" xfId="12500" xr:uid="{EC1B1505-F92B-450E-8779-D188908BC25D}"/>
    <cellStyle name="Normal 9 3 7 2 4" xfId="20947" xr:uid="{AE60766A-5496-4548-BE99-B723C626E701}"/>
    <cellStyle name="Normal 9 3 7 3" xfId="6131" xr:uid="{00000000-0005-0000-0000-000041200000}"/>
    <cellStyle name="Normal 9 3 7 3 2" xfId="14573" xr:uid="{D5E52595-53A6-4577-B526-A742E576B2CF}"/>
    <cellStyle name="Normal 9 3 7 3 3" xfId="23019" xr:uid="{AF2F0C1B-BA8C-4210-A7A1-8F7C83DB16BA}"/>
    <cellStyle name="Normal 9 3 7 4" xfId="10355" xr:uid="{1C753ABA-9FCE-4C74-A3FD-C0B703198BE1}"/>
    <cellStyle name="Normal 9 3 7 5" xfId="18800" xr:uid="{BDA32680-A70E-4DE5-91DF-C8A4861AE2EA}"/>
    <cellStyle name="Normal 9 3 8" xfId="2237" xr:uid="{00000000-0005-0000-0000-000042200000}"/>
    <cellStyle name="Normal 9 3 8 2" xfId="4466" xr:uid="{00000000-0005-0000-0000-000043200000}"/>
    <cellStyle name="Normal 9 3 8 2 2" xfId="8689" xr:uid="{00000000-0005-0000-0000-000044200000}"/>
    <cellStyle name="Normal 9 3 8 2 2 2" xfId="17131" xr:uid="{35853127-2859-4E3C-ACD4-677A816E6672}"/>
    <cellStyle name="Normal 9 3 8 2 2 3" xfId="25577" xr:uid="{96CCE09E-096C-4E28-ABFF-77641408060A}"/>
    <cellStyle name="Normal 9 3 8 2 3" xfId="12913" xr:uid="{4B50355D-0117-4CFC-8AD9-08F04854C7DB}"/>
    <cellStyle name="Normal 9 3 8 2 4" xfId="21360" xr:uid="{E2CF0C35-2A68-4ED2-9301-C7404C99CC59}"/>
    <cellStyle name="Normal 9 3 8 3" xfId="6544" xr:uid="{00000000-0005-0000-0000-000045200000}"/>
    <cellStyle name="Normal 9 3 8 3 2" xfId="14986" xr:uid="{AA1EED83-6D4A-4DA5-A821-382738EEF785}"/>
    <cellStyle name="Normal 9 3 8 3 3" xfId="23432" xr:uid="{AE2A054B-7390-4466-9241-4C81759BAAEE}"/>
    <cellStyle name="Normal 9 3 8 4" xfId="10768" xr:uid="{B123356B-E5EB-4833-9129-C39AABBE41B0}"/>
    <cellStyle name="Normal 9 3 8 5" xfId="19213" xr:uid="{9D1D8196-5301-4967-AFEA-1967C943C8B7}"/>
    <cellStyle name="Normal 9 3 9" xfId="2673" xr:uid="{00000000-0005-0000-0000-000046200000}"/>
    <cellStyle name="Normal 9 3 9 2" xfId="6957" xr:uid="{00000000-0005-0000-0000-000047200000}"/>
    <cellStyle name="Normal 9 3 9 2 2" xfId="15399" xr:uid="{FD24BBB9-9BBC-485D-8116-6002FDA0A1E0}"/>
    <cellStyle name="Normal 9 3 9 2 3" xfId="23845" xr:uid="{46A47F56-2DFC-449E-8926-A4D097B03671}"/>
    <cellStyle name="Normal 9 3 9 3" xfId="11181" xr:uid="{24C17263-9406-4BCF-9A52-E5308FB6E0FD}"/>
    <cellStyle name="Normal 9 3 9 4" xfId="19626" xr:uid="{51EDE6B2-2C9F-436E-BA3B-7340407382CF}"/>
    <cellStyle name="Normal 9 4" xfId="535" xr:uid="{00000000-0005-0000-0000-000048200000}"/>
    <cellStyle name="Normal 9 4 2" xfId="1002" xr:uid="{00000000-0005-0000-0000-000049200000}"/>
    <cellStyle name="Normal 9 5" xfId="536" xr:uid="{00000000-0005-0000-0000-00004A200000}"/>
    <cellStyle name="Normal 9 5 10" xfId="17569" xr:uid="{ED78AAAE-C3B0-4AC7-8AAC-399144832277}"/>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53B9A34C-6BDC-43AF-BB2B-F99CA9F12E69}"/>
    <cellStyle name="Normal 9 5 2 2 2 2 3" xfId="24347" xr:uid="{15D312DF-E1D4-4E64-8979-E699FA4B4E1F}"/>
    <cellStyle name="Normal 9 5 2 2 2 3" xfId="11683" xr:uid="{035BE7AB-99DD-43AA-9C43-97C468BCA32A}"/>
    <cellStyle name="Normal 9 5 2 2 2 4" xfId="20130" xr:uid="{6A226E3E-8AAA-4433-82EC-6F7E20311DFF}"/>
    <cellStyle name="Normal 9 5 2 2 3" xfId="5314" xr:uid="{00000000-0005-0000-0000-00004F200000}"/>
    <cellStyle name="Normal 9 5 2 2 3 2" xfId="13756" xr:uid="{506ECF12-146E-481E-9BFE-279BF4CEBAED}"/>
    <cellStyle name="Normal 9 5 2 2 3 3" xfId="22202" xr:uid="{4186562C-1B6F-411B-AE13-6BCEED34756F}"/>
    <cellStyle name="Normal 9 5 2 2 4" xfId="9538" xr:uid="{C6888159-75AC-4E75-8BE8-7EE23F561D91}"/>
    <cellStyle name="Normal 9 5 2 2 5" xfId="17983" xr:uid="{8AC8F6AB-EC0C-488C-AC0A-EE481AE431E8}"/>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9BD18D39-0B95-4285-A126-D6ADF2930704}"/>
    <cellStyle name="Normal 9 5 2 3 2 2 3" xfId="24760" xr:uid="{66F18243-A98F-4A8D-8F8E-DB00C6CE0243}"/>
    <cellStyle name="Normal 9 5 2 3 2 3" xfId="12096" xr:uid="{76D66FFB-3174-41FD-BF54-A7250087C67E}"/>
    <cellStyle name="Normal 9 5 2 3 2 4" xfId="20543" xr:uid="{F3C0769E-72F9-4862-BDAA-152ED1C46EF4}"/>
    <cellStyle name="Normal 9 5 2 3 3" xfId="5727" xr:uid="{00000000-0005-0000-0000-000053200000}"/>
    <cellStyle name="Normal 9 5 2 3 3 2" xfId="14169" xr:uid="{F51DD7CC-5F01-435A-8AA7-35A8768C23E4}"/>
    <cellStyle name="Normal 9 5 2 3 3 3" xfId="22615" xr:uid="{7C56F00B-8944-494B-BB83-0D3DFEB833D5}"/>
    <cellStyle name="Normal 9 5 2 3 4" xfId="9951" xr:uid="{AE0010E5-2837-4C7A-9C6D-ACEDA5E4CE70}"/>
    <cellStyle name="Normal 9 5 2 3 5" xfId="18396" xr:uid="{23689088-C5DC-41DE-AFDC-2A38C3A2BAE4}"/>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1FC3F2A8-F33B-465F-9F26-8779E36470DA}"/>
    <cellStyle name="Normal 9 5 2 4 2 2 3" xfId="25173" xr:uid="{943A5EE8-44C7-4710-8819-1FDE3A9A14F9}"/>
    <cellStyle name="Normal 9 5 2 4 2 3" xfId="12509" xr:uid="{0D492837-7064-4A5B-B511-547922175799}"/>
    <cellStyle name="Normal 9 5 2 4 2 4" xfId="20956" xr:uid="{22D495B7-67EF-42D4-8494-3197EB585659}"/>
    <cellStyle name="Normal 9 5 2 4 3" xfId="6140" xr:uid="{00000000-0005-0000-0000-000057200000}"/>
    <cellStyle name="Normal 9 5 2 4 3 2" xfId="14582" xr:uid="{8C42D988-0853-4C4C-A7BC-C7F881982D87}"/>
    <cellStyle name="Normal 9 5 2 4 3 3" xfId="23028" xr:uid="{00EB7A2A-236F-4AB5-BF1F-5076271825C4}"/>
    <cellStyle name="Normal 9 5 2 4 4" xfId="10364" xr:uid="{409CB4DE-06ED-4A42-AF59-94F0D1D42AD2}"/>
    <cellStyle name="Normal 9 5 2 4 5" xfId="18809" xr:uid="{24AB4A64-5A05-4060-83BF-93E55C019BAB}"/>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B8980993-B324-4C05-8716-891AEDB5F359}"/>
    <cellStyle name="Normal 9 5 2 5 2 2 3" xfId="25586" xr:uid="{BE23BA19-1E13-425F-9902-EB409657EE03}"/>
    <cellStyle name="Normal 9 5 2 5 2 3" xfId="12922" xr:uid="{5B58064B-3A0B-4DDB-A288-FBB2A53A38B0}"/>
    <cellStyle name="Normal 9 5 2 5 2 4" xfId="21369" xr:uid="{EC6E9BED-129B-4758-9436-C7F6024884E7}"/>
    <cellStyle name="Normal 9 5 2 5 3" xfId="6553" xr:uid="{00000000-0005-0000-0000-00005B200000}"/>
    <cellStyle name="Normal 9 5 2 5 3 2" xfId="14995" xr:uid="{28C932CE-7487-432F-A7BA-1E72F6F182E0}"/>
    <cellStyle name="Normal 9 5 2 5 3 3" xfId="23441" xr:uid="{221C5F79-9601-4C54-A778-674C15B7022F}"/>
    <cellStyle name="Normal 9 5 2 5 4" xfId="10777" xr:uid="{4EE65642-75BE-4F79-9F85-136B06DCF572}"/>
    <cellStyle name="Normal 9 5 2 5 5" xfId="19222" xr:uid="{C144E3DC-B01F-49EA-A84C-917ACFD0D2A7}"/>
    <cellStyle name="Normal 9 5 2 6" xfId="2682" xr:uid="{00000000-0005-0000-0000-00005C200000}"/>
    <cellStyle name="Normal 9 5 2 6 2" xfId="6966" xr:uid="{00000000-0005-0000-0000-00005D200000}"/>
    <cellStyle name="Normal 9 5 2 6 2 2" xfId="15408" xr:uid="{90FBE8D9-7B3B-4BB1-98A0-E3DB9A7AED16}"/>
    <cellStyle name="Normal 9 5 2 6 2 3" xfId="23854" xr:uid="{C6183A22-415C-43FD-95AA-E971AE11D636}"/>
    <cellStyle name="Normal 9 5 2 6 3" xfId="11190" xr:uid="{19259E40-312E-431F-A81C-427695AF9CF1}"/>
    <cellStyle name="Normal 9 5 2 6 4" xfId="19635" xr:uid="{7E49E753-17BF-41CB-A2B6-4252F5CCA7D1}"/>
    <cellStyle name="Normal 9 5 2 7" xfId="4901" xr:uid="{00000000-0005-0000-0000-00005E200000}"/>
    <cellStyle name="Normal 9 5 2 7 2" xfId="13343" xr:uid="{E477A03E-13B8-40F2-9168-7363FABE51B8}"/>
    <cellStyle name="Normal 9 5 2 7 3" xfId="21789" xr:uid="{F2D7FA85-6514-4971-8B2B-60CB742652CA}"/>
    <cellStyle name="Normal 9 5 2 8" xfId="9125" xr:uid="{93D47D0B-5E84-4AE3-BB87-9E049C9372B0}"/>
    <cellStyle name="Normal 9 5 2 9" xfId="17570" xr:uid="{3BD9B7FC-0193-4371-AEC4-1682645890A4}"/>
    <cellStyle name="Normal 9 5 3" xfId="1003" xr:uid="{00000000-0005-0000-0000-00005F200000}"/>
    <cellStyle name="Normal 9 5 3 2" xfId="3235" xr:uid="{00000000-0005-0000-0000-000060200000}"/>
    <cellStyle name="Normal 9 5 3 2 2" xfId="7458" xr:uid="{00000000-0005-0000-0000-000061200000}"/>
    <cellStyle name="Normal 9 5 3 2 2 2" xfId="15900" xr:uid="{5EE1A47C-727B-4A05-AC83-3D1D498DC1E1}"/>
    <cellStyle name="Normal 9 5 3 2 2 3" xfId="24346" xr:uid="{6DF0EA39-078C-4777-92CD-E716A52E76EB}"/>
    <cellStyle name="Normal 9 5 3 2 3" xfId="11682" xr:uid="{35DCC0BA-F37E-4F24-B753-F0CD65DFFDDC}"/>
    <cellStyle name="Normal 9 5 3 2 4" xfId="20129" xr:uid="{3EE92E91-7D99-4806-9E1A-A9BCF012A0D2}"/>
    <cellStyle name="Normal 9 5 3 3" xfId="5313" xr:uid="{00000000-0005-0000-0000-000062200000}"/>
    <cellStyle name="Normal 9 5 3 3 2" xfId="13755" xr:uid="{7A2795E7-24A7-469F-9322-341A3E607265}"/>
    <cellStyle name="Normal 9 5 3 3 3" xfId="22201" xr:uid="{56C3A33E-FB9D-4D83-A41F-99AFBA3531E7}"/>
    <cellStyle name="Normal 9 5 3 4" xfId="9537" xr:uid="{6DC8594E-1A67-4069-A152-182C1183D7DB}"/>
    <cellStyle name="Normal 9 5 3 5" xfId="17982" xr:uid="{21657577-A5B7-4104-BDEF-804F07ADDDA3}"/>
    <cellStyle name="Normal 9 5 4" xfId="1418" xr:uid="{00000000-0005-0000-0000-000063200000}"/>
    <cellStyle name="Normal 9 5 4 2" xfId="3648" xr:uid="{00000000-0005-0000-0000-000064200000}"/>
    <cellStyle name="Normal 9 5 4 2 2" xfId="7871" xr:uid="{00000000-0005-0000-0000-000065200000}"/>
    <cellStyle name="Normal 9 5 4 2 2 2" xfId="16313" xr:uid="{0F581148-A734-436C-BE09-ED5DAF483FF8}"/>
    <cellStyle name="Normal 9 5 4 2 2 3" xfId="24759" xr:uid="{FCC6783F-0F16-47C5-A2A2-32BC5EE0E744}"/>
    <cellStyle name="Normal 9 5 4 2 3" xfId="12095" xr:uid="{F3C3CE32-2459-48A4-958D-5A6801FDB583}"/>
    <cellStyle name="Normal 9 5 4 2 4" xfId="20542" xr:uid="{DA6B54ED-C077-47B9-B3E6-E37EB8625DB4}"/>
    <cellStyle name="Normal 9 5 4 3" xfId="5726" xr:uid="{00000000-0005-0000-0000-000066200000}"/>
    <cellStyle name="Normal 9 5 4 3 2" xfId="14168" xr:uid="{297BDF9D-538E-4C38-AA40-7D7E20A9FFCD}"/>
    <cellStyle name="Normal 9 5 4 3 3" xfId="22614" xr:uid="{36D16DCC-BD73-4DF5-A7E9-7CF9B5FE3FEC}"/>
    <cellStyle name="Normal 9 5 4 4" xfId="9950" xr:uid="{724C28D6-CE35-4483-A121-C3E14EB8129A}"/>
    <cellStyle name="Normal 9 5 4 5" xfId="18395" xr:uid="{5083A3B3-98FB-4724-8279-17BBE0DC4700}"/>
    <cellStyle name="Normal 9 5 5" xfId="1831" xr:uid="{00000000-0005-0000-0000-000067200000}"/>
    <cellStyle name="Normal 9 5 5 2" xfId="4061" xr:uid="{00000000-0005-0000-0000-000068200000}"/>
    <cellStyle name="Normal 9 5 5 2 2" xfId="8284" xr:uid="{00000000-0005-0000-0000-000069200000}"/>
    <cellStyle name="Normal 9 5 5 2 2 2" xfId="16726" xr:uid="{7C4D7369-766B-4976-9782-5635EB373C15}"/>
    <cellStyle name="Normal 9 5 5 2 2 3" xfId="25172" xr:uid="{AEDE0B9A-923C-4217-8E49-E1915C677E2D}"/>
    <cellStyle name="Normal 9 5 5 2 3" xfId="12508" xr:uid="{63DEADB3-04BE-4CED-8F0A-7FE0854478BF}"/>
    <cellStyle name="Normal 9 5 5 2 4" xfId="20955" xr:uid="{E5C9989B-5ABB-4EB8-890A-C232C4BD9195}"/>
    <cellStyle name="Normal 9 5 5 3" xfId="6139" xr:uid="{00000000-0005-0000-0000-00006A200000}"/>
    <cellStyle name="Normal 9 5 5 3 2" xfId="14581" xr:uid="{4C5D062F-8459-4404-9879-077A450F7C22}"/>
    <cellStyle name="Normal 9 5 5 3 3" xfId="23027" xr:uid="{6BAC0976-1FF3-4740-8684-9CDF2EFF5510}"/>
    <cellStyle name="Normal 9 5 5 4" xfId="10363" xr:uid="{D809CA12-E81B-468A-86B8-8E4C947FF3D3}"/>
    <cellStyle name="Normal 9 5 5 5" xfId="18808" xr:uid="{2E9004E4-4526-41FE-9B69-962F8C1E0716}"/>
    <cellStyle name="Normal 9 5 6" xfId="2245" xr:uid="{00000000-0005-0000-0000-00006B200000}"/>
    <cellStyle name="Normal 9 5 6 2" xfId="4474" xr:uid="{00000000-0005-0000-0000-00006C200000}"/>
    <cellStyle name="Normal 9 5 6 2 2" xfId="8697" xr:uid="{00000000-0005-0000-0000-00006D200000}"/>
    <cellStyle name="Normal 9 5 6 2 2 2" xfId="17139" xr:uid="{8CADD542-DA1E-42DC-A45C-48944C3229AD}"/>
    <cellStyle name="Normal 9 5 6 2 2 3" xfId="25585" xr:uid="{CD1D4A63-1087-4741-835F-8B9FB58293F1}"/>
    <cellStyle name="Normal 9 5 6 2 3" xfId="12921" xr:uid="{D5EFE1F2-1D0F-481A-9079-4EE2C9533081}"/>
    <cellStyle name="Normal 9 5 6 2 4" xfId="21368" xr:uid="{2F1AE718-B300-4C76-85C1-5078018EDEE4}"/>
    <cellStyle name="Normal 9 5 6 3" xfId="6552" xr:uid="{00000000-0005-0000-0000-00006E200000}"/>
    <cellStyle name="Normal 9 5 6 3 2" xfId="14994" xr:uid="{D46F7339-CAA6-493A-BE34-E181FB863B9A}"/>
    <cellStyle name="Normal 9 5 6 3 3" xfId="23440" xr:uid="{88710DB5-7920-4B49-89E0-90A68062CE81}"/>
    <cellStyle name="Normal 9 5 6 4" xfId="10776" xr:uid="{1DB23239-F21D-4B63-AE1B-3F41A923B66C}"/>
    <cellStyle name="Normal 9 5 6 5" xfId="19221" xr:uid="{D0345BAB-0D65-4C39-8FBA-6022126587DE}"/>
    <cellStyle name="Normal 9 5 7" xfId="2681" xr:uid="{00000000-0005-0000-0000-00006F200000}"/>
    <cellStyle name="Normal 9 5 7 2" xfId="6965" xr:uid="{00000000-0005-0000-0000-000070200000}"/>
    <cellStyle name="Normal 9 5 7 2 2" xfId="15407" xr:uid="{E49B64AE-8213-481F-9C8B-E6D992BC35B1}"/>
    <cellStyle name="Normal 9 5 7 2 3" xfId="23853" xr:uid="{70C96377-15B9-4419-9A66-DAAC285C9D81}"/>
    <cellStyle name="Normal 9 5 7 3" xfId="11189" xr:uid="{9B676AEC-56A5-48F3-8660-C7A0D72A16C7}"/>
    <cellStyle name="Normal 9 5 7 4" xfId="19634" xr:uid="{F166ED48-99C6-4B77-B2E4-6F09E97C4158}"/>
    <cellStyle name="Normal 9 5 8" xfId="4900" xr:uid="{00000000-0005-0000-0000-000071200000}"/>
    <cellStyle name="Normal 9 5 8 2" xfId="13342" xr:uid="{359565CE-9F16-4494-8E65-E64D68CA810C}"/>
    <cellStyle name="Normal 9 5 8 3" xfId="21788" xr:uid="{0FCFE804-64E7-4748-BF0A-97A72AF81C5D}"/>
    <cellStyle name="Normal 9 5 9" xfId="9124" xr:uid="{1C7B0FD8-AD38-43FE-9332-DF947C639303}"/>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BE58D706-EAE5-4F31-B7C0-4DBC2D67AF70}"/>
    <cellStyle name="Normal 9 6 2 2 2 3" xfId="24348" xr:uid="{254CED7A-99E0-4B5B-98B0-F6E6FB0682D8}"/>
    <cellStyle name="Normal 9 6 2 2 3" xfId="11684" xr:uid="{B9CAC688-7A8A-46B4-9746-A30F37F0607B}"/>
    <cellStyle name="Normal 9 6 2 2 4" xfId="20131" xr:uid="{82F4660A-AB91-497C-B767-3FB29E3530F7}"/>
    <cellStyle name="Normal 9 6 2 3" xfId="5315" xr:uid="{00000000-0005-0000-0000-000076200000}"/>
    <cellStyle name="Normal 9 6 2 3 2" xfId="13757" xr:uid="{983BF1AB-FB04-4B76-9914-559DF876327D}"/>
    <cellStyle name="Normal 9 6 2 3 3" xfId="22203" xr:uid="{EE371AE7-1023-4D93-8272-1BDC89FA3387}"/>
    <cellStyle name="Normal 9 6 2 4" xfId="9539" xr:uid="{4ED4AAA8-42DB-40B7-A1CF-8C531A284944}"/>
    <cellStyle name="Normal 9 6 2 5" xfId="17984" xr:uid="{8D092E0D-0799-40D0-9F18-4A9344AA07CD}"/>
    <cellStyle name="Normal 9 6 3" xfId="1420" xr:uid="{00000000-0005-0000-0000-000077200000}"/>
    <cellStyle name="Normal 9 6 3 2" xfId="3650" xr:uid="{00000000-0005-0000-0000-000078200000}"/>
    <cellStyle name="Normal 9 6 3 2 2" xfId="7873" xr:uid="{00000000-0005-0000-0000-000079200000}"/>
    <cellStyle name="Normal 9 6 3 2 2 2" xfId="16315" xr:uid="{EB61FA3B-5DE0-4DB3-8B3C-2A683435D083}"/>
    <cellStyle name="Normal 9 6 3 2 2 3" xfId="24761" xr:uid="{34C91409-98AF-4CEF-A47E-5B3B616A2AD9}"/>
    <cellStyle name="Normal 9 6 3 2 3" xfId="12097" xr:uid="{A5AA8942-32D5-4805-BDD6-3DC4FF565093}"/>
    <cellStyle name="Normal 9 6 3 2 4" xfId="20544" xr:uid="{F9ACD3C7-3C04-4C7F-B3EA-ABF470B8ADB1}"/>
    <cellStyle name="Normal 9 6 3 3" xfId="5728" xr:uid="{00000000-0005-0000-0000-00007A200000}"/>
    <cellStyle name="Normal 9 6 3 3 2" xfId="14170" xr:uid="{8E7E9514-8032-479F-A621-4FBB685098EA}"/>
    <cellStyle name="Normal 9 6 3 3 3" xfId="22616" xr:uid="{0AAFFAF4-0B00-40BB-B466-53A074AC081B}"/>
    <cellStyle name="Normal 9 6 3 4" xfId="9952" xr:uid="{57434DE7-2DAD-40FD-80FA-83927C318553}"/>
    <cellStyle name="Normal 9 6 3 5" xfId="18397" xr:uid="{D5DFF576-AB52-461D-AE53-1A0104EAD414}"/>
    <cellStyle name="Normal 9 6 4" xfId="1833" xr:uid="{00000000-0005-0000-0000-00007B200000}"/>
    <cellStyle name="Normal 9 6 4 2" xfId="4063" xr:uid="{00000000-0005-0000-0000-00007C200000}"/>
    <cellStyle name="Normal 9 6 4 2 2" xfId="8286" xr:uid="{00000000-0005-0000-0000-00007D200000}"/>
    <cellStyle name="Normal 9 6 4 2 2 2" xfId="16728" xr:uid="{FB9FACC1-F108-4565-B4BF-D0C6E5B9AF3A}"/>
    <cellStyle name="Normal 9 6 4 2 2 3" xfId="25174" xr:uid="{11BC679B-C976-4D2C-BEE1-BECDDC9EA9EB}"/>
    <cellStyle name="Normal 9 6 4 2 3" xfId="12510" xr:uid="{8E61ED21-3900-428E-B57A-C94DD4ED07CB}"/>
    <cellStyle name="Normal 9 6 4 2 4" xfId="20957" xr:uid="{89B1D601-CC70-40B3-B5A1-1F925F548F3A}"/>
    <cellStyle name="Normal 9 6 4 3" xfId="6141" xr:uid="{00000000-0005-0000-0000-00007E200000}"/>
    <cellStyle name="Normal 9 6 4 3 2" xfId="14583" xr:uid="{12E738FD-4FBE-434F-86CC-2B1D4DDC8E19}"/>
    <cellStyle name="Normal 9 6 4 3 3" xfId="23029" xr:uid="{D70D9825-B7AC-4AE9-902C-6171B7785B14}"/>
    <cellStyle name="Normal 9 6 4 4" xfId="10365" xr:uid="{87CC145A-1C09-47B1-B05C-26CBB99DF255}"/>
    <cellStyle name="Normal 9 6 4 5" xfId="18810" xr:uid="{98DA9905-1908-4806-8D79-1A9CEA1F5DBD}"/>
    <cellStyle name="Normal 9 6 5" xfId="2247" xr:uid="{00000000-0005-0000-0000-00007F200000}"/>
    <cellStyle name="Normal 9 6 5 2" xfId="4476" xr:uid="{00000000-0005-0000-0000-000080200000}"/>
    <cellStyle name="Normal 9 6 5 2 2" xfId="8699" xr:uid="{00000000-0005-0000-0000-000081200000}"/>
    <cellStyle name="Normal 9 6 5 2 2 2" xfId="17141" xr:uid="{7E57ABD8-2789-429A-A9AE-B27A6A6F99C2}"/>
    <cellStyle name="Normal 9 6 5 2 2 3" xfId="25587" xr:uid="{06136436-8953-43D0-BC11-47BDEAD846DD}"/>
    <cellStyle name="Normal 9 6 5 2 3" xfId="12923" xr:uid="{6BC70D53-1620-42DB-8A82-F0D828916964}"/>
    <cellStyle name="Normal 9 6 5 2 4" xfId="21370" xr:uid="{F7259E77-AA8D-47A1-AF7C-F9E27BF13B30}"/>
    <cellStyle name="Normal 9 6 5 3" xfId="6554" xr:uid="{00000000-0005-0000-0000-000082200000}"/>
    <cellStyle name="Normal 9 6 5 3 2" xfId="14996" xr:uid="{F4EBE09F-3342-45AA-BA59-AFA4289EA71C}"/>
    <cellStyle name="Normal 9 6 5 3 3" xfId="23442" xr:uid="{43D0F066-575D-4A02-B8DD-C4EA5693583F}"/>
    <cellStyle name="Normal 9 6 5 4" xfId="10778" xr:uid="{C867F39A-82C4-4DDF-A263-C383F87ED65C}"/>
    <cellStyle name="Normal 9 6 5 5" xfId="19223" xr:uid="{2F3ABC88-1CE7-41FC-8945-8B5999B336DD}"/>
    <cellStyle name="Normal 9 6 6" xfId="2683" xr:uid="{00000000-0005-0000-0000-000083200000}"/>
    <cellStyle name="Normal 9 6 6 2" xfId="6967" xr:uid="{00000000-0005-0000-0000-000084200000}"/>
    <cellStyle name="Normal 9 6 6 2 2" xfId="15409" xr:uid="{D079F4BB-1D8B-473D-9AC1-CA0607E8D472}"/>
    <cellStyle name="Normal 9 6 6 2 3" xfId="23855" xr:uid="{C70380D6-828F-42DB-BB31-8954A80481FC}"/>
    <cellStyle name="Normal 9 6 6 3" xfId="11191" xr:uid="{BBD70FBF-59EE-457D-9207-9CFFE9173761}"/>
    <cellStyle name="Normal 9 6 6 4" xfId="19636" xr:uid="{3F4A5C6D-DB90-4931-B36D-308E7385AA1D}"/>
    <cellStyle name="Normal 9 6 7" xfId="4902" xr:uid="{00000000-0005-0000-0000-000085200000}"/>
    <cellStyle name="Normal 9 6 7 2" xfId="13344" xr:uid="{CB73BE09-37BE-4B97-9480-C9851D35022B}"/>
    <cellStyle name="Normal 9 6 7 3" xfId="21790" xr:uid="{29AAB0BA-C69F-474E-977D-6D39C831110F}"/>
    <cellStyle name="Normal 9 6 8" xfId="9126" xr:uid="{4B2D4AD5-F38A-49F2-9726-2EE5D49B73D6}"/>
    <cellStyle name="Normal 9 6 9" xfId="17571" xr:uid="{C355B39F-359D-4B8B-93C7-FA0E0DFB09B5}"/>
    <cellStyle name="Normal 9 7" xfId="977" xr:uid="{00000000-0005-0000-0000-000086200000}"/>
    <cellStyle name="Normal 9 8" xfId="25748" xr:uid="{8B4B7896-F374-4B16-9A0C-2143EE123D1F}"/>
    <cellStyle name="Normal 9_Dropdowns" xfId="25664" xr:uid="{0F09799C-05AD-4897-BE94-3AE85FC4CA27}"/>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3D2D8652-713D-42B8-B381-8D8C9A11BBC6}"/>
    <cellStyle name="Note 2 2 10 2 3" xfId="23936" xr:uid="{ABD27CE3-27BF-4D75-926C-837AAAB20934}"/>
    <cellStyle name="Note 2 2 10 3" xfId="11272" xr:uid="{59135554-A9C9-400F-A501-A0DF88F5E428}"/>
    <cellStyle name="Note 2 2 10 4" xfId="19719" xr:uid="{8B84BC8B-D98F-4636-8FE9-886D6CC1EDDE}"/>
    <cellStyle name="Note 2 2 11" xfId="4903" xr:uid="{00000000-0005-0000-0000-000094200000}"/>
    <cellStyle name="Note 2 2 11 2" xfId="13345" xr:uid="{222865B3-3183-4014-8967-53D18D86743A}"/>
    <cellStyle name="Note 2 2 11 3" xfId="21791" xr:uid="{487FB339-0DFE-46C6-A919-0DE7669C3F52}"/>
    <cellStyle name="Note 2 2 12" xfId="9127" xr:uid="{BD6B6FD5-213C-48D8-85FE-71D40B7D62C2}"/>
    <cellStyle name="Note 2 2 13" xfId="17572" xr:uid="{58335890-4DAA-4B3D-8C1C-A377F4109A00}"/>
    <cellStyle name="Note 2 2 2" xfId="546" xr:uid="{00000000-0005-0000-0000-000095200000}"/>
    <cellStyle name="Note 2 2 2 10" xfId="4904" xr:uid="{00000000-0005-0000-0000-000096200000}"/>
    <cellStyle name="Note 2 2 2 10 2" xfId="13346" xr:uid="{A3211AA0-7C6A-43AE-B817-8DCA66BE5C51}"/>
    <cellStyle name="Note 2 2 2 10 3" xfId="21792" xr:uid="{640ED097-78C5-4584-90D7-7743EC94ADD2}"/>
    <cellStyle name="Note 2 2 2 11" xfId="9128" xr:uid="{F51E689E-572A-4AAE-947D-76E557EAE778}"/>
    <cellStyle name="Note 2 2 2 12" xfId="17573" xr:uid="{F1F27B69-6053-4E5E-B395-7395D4A74696}"/>
    <cellStyle name="Note 2 2 2 2" xfId="547" xr:uid="{00000000-0005-0000-0000-000097200000}"/>
    <cellStyle name="Note 2 2 2 2 10" xfId="9129" xr:uid="{568A383C-BB61-4A4C-8882-EDE7EBAD26EE}"/>
    <cellStyle name="Note 2 2 2 2 11" xfId="17574" xr:uid="{09012D56-A770-4CA1-BC75-F3DCE66AA505}"/>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77126B61-2CCB-405B-99AF-3CEEC76BF2DB}"/>
    <cellStyle name="Note 2 2 2 2 2 2 2 3" xfId="24351" xr:uid="{62212068-1B73-47E8-A219-6C52E85606F9}"/>
    <cellStyle name="Note 2 2 2 2 2 2 3" xfId="11687" xr:uid="{40950EAC-2175-441F-A2A9-CF9F428C4EE0}"/>
    <cellStyle name="Note 2 2 2 2 2 2 4" xfId="20134" xr:uid="{5329B564-A2C3-47FA-9974-39B33DDC1A34}"/>
    <cellStyle name="Note 2 2 2 2 2 3" xfId="5318" xr:uid="{00000000-0005-0000-0000-00009B200000}"/>
    <cellStyle name="Note 2 2 2 2 2 3 2" xfId="13760" xr:uid="{D7B8F992-E30F-4E2C-94A3-E2C51793485F}"/>
    <cellStyle name="Note 2 2 2 2 2 3 3" xfId="22206" xr:uid="{2ED77ED0-2564-4E05-9E4F-1E6700654D32}"/>
    <cellStyle name="Note 2 2 2 2 2 4" xfId="9542" xr:uid="{FE710EDB-6610-4203-9621-F127ADCA7DAB}"/>
    <cellStyle name="Note 2 2 2 2 2 5" xfId="17987" xr:uid="{27178528-DBBD-440A-91CB-A1C3F71B38EA}"/>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3B1CAE27-D306-4F2F-AA77-FC79FB253A6C}"/>
    <cellStyle name="Note 2 2 2 2 3 2 2 3" xfId="24764" xr:uid="{0BE6C00E-D5F2-48BA-9E7B-26E003C27666}"/>
    <cellStyle name="Note 2 2 2 2 3 2 3" xfId="12100" xr:uid="{F1C22107-C4D8-4935-B987-F717EC9E0872}"/>
    <cellStyle name="Note 2 2 2 2 3 2 4" xfId="20547" xr:uid="{BC617FB7-604E-4436-B7F1-2D8D17C5FDB5}"/>
    <cellStyle name="Note 2 2 2 2 3 3" xfId="5731" xr:uid="{00000000-0005-0000-0000-00009F200000}"/>
    <cellStyle name="Note 2 2 2 2 3 3 2" xfId="14173" xr:uid="{DCE5F195-F427-4046-84A6-75B2555BF03E}"/>
    <cellStyle name="Note 2 2 2 2 3 3 3" xfId="22619" xr:uid="{195D7DE9-1733-436F-B8EF-559D1A41F46B}"/>
    <cellStyle name="Note 2 2 2 2 3 4" xfId="9955" xr:uid="{A653302F-7B96-4FAF-BEBB-CADB86D89E63}"/>
    <cellStyle name="Note 2 2 2 2 3 5" xfId="18400" xr:uid="{597C4A5E-1E27-4A49-A116-7EFC95818BBA}"/>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717EA488-7E9F-4AD1-80E1-281361FF72B5}"/>
    <cellStyle name="Note 2 2 2 2 4 2 2 3" xfId="25177" xr:uid="{3FEF52DE-F068-4ED9-8E9C-F7E861EF9DB7}"/>
    <cellStyle name="Note 2 2 2 2 4 2 3" xfId="12513" xr:uid="{D609D77C-715E-4725-99CE-118253E4A877}"/>
    <cellStyle name="Note 2 2 2 2 4 2 4" xfId="20960" xr:uid="{BADBF397-16BF-4CDE-9FA9-50BEE54CECBC}"/>
    <cellStyle name="Note 2 2 2 2 4 3" xfId="6144" xr:uid="{00000000-0005-0000-0000-0000A3200000}"/>
    <cellStyle name="Note 2 2 2 2 4 3 2" xfId="14586" xr:uid="{06ACBA42-AEA2-4F26-9687-7486EE752F53}"/>
    <cellStyle name="Note 2 2 2 2 4 3 3" xfId="23032" xr:uid="{CB7E6906-C435-44C5-B8E0-7E4384485E01}"/>
    <cellStyle name="Note 2 2 2 2 4 4" xfId="10368" xr:uid="{30CAA6EB-B6C6-4F7E-B068-7786C5C31226}"/>
    <cellStyle name="Note 2 2 2 2 4 5" xfId="18813" xr:uid="{28F07AC5-BDC4-4BBD-8CA5-7D3DCFD968B2}"/>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E4E2A1CB-C749-4F5D-A6D6-9E47E3D4E405}"/>
    <cellStyle name="Note 2 2 2 2 5 2 2 3" xfId="25590" xr:uid="{0D652686-ED82-4F7A-A3D1-6CCCF96B1A87}"/>
    <cellStyle name="Note 2 2 2 2 5 2 3" xfId="12926" xr:uid="{1D178BEA-DC71-476C-8071-0EAA2B0225F9}"/>
    <cellStyle name="Note 2 2 2 2 5 2 4" xfId="21373" xr:uid="{E883E65F-DF71-4CE0-BBEC-A18C644436C8}"/>
    <cellStyle name="Note 2 2 2 2 5 3" xfId="6557" xr:uid="{00000000-0005-0000-0000-0000A7200000}"/>
    <cellStyle name="Note 2 2 2 2 5 3 2" xfId="14999" xr:uid="{13F08093-EB3A-4F1F-9633-F1BD610DD367}"/>
    <cellStyle name="Note 2 2 2 2 5 3 3" xfId="23445" xr:uid="{311C39C6-6DFE-427F-B9AD-8E908ABCCC1D}"/>
    <cellStyle name="Note 2 2 2 2 5 4" xfId="10781" xr:uid="{7EDC320B-55D8-41DE-9849-B710394394F1}"/>
    <cellStyle name="Note 2 2 2 2 5 5" xfId="19226" xr:uid="{14BE6312-045A-43D4-9199-7847C8BEC74E}"/>
    <cellStyle name="Note 2 2 2 2 6" xfId="2686" xr:uid="{00000000-0005-0000-0000-0000A8200000}"/>
    <cellStyle name="Note 2 2 2 2 6 2" xfId="6970" xr:uid="{00000000-0005-0000-0000-0000A9200000}"/>
    <cellStyle name="Note 2 2 2 2 6 2 2" xfId="15412" xr:uid="{57632DBE-5F72-4973-A34F-823CD4D14983}"/>
    <cellStyle name="Note 2 2 2 2 6 2 3" xfId="23858" xr:uid="{2A707BF4-D40F-4073-88E7-3946AEF35159}"/>
    <cellStyle name="Note 2 2 2 2 6 3" xfId="11194" xr:uid="{0E5D2769-CD62-4AE9-B326-6B9B7055E26C}"/>
    <cellStyle name="Note 2 2 2 2 6 4" xfId="19639" xr:uid="{F636644E-CFCE-4897-9B63-8F2DFE280D1C}"/>
    <cellStyle name="Note 2 2 2 2 7" xfId="2745" xr:uid="{00000000-0005-0000-0000-0000AA200000}"/>
    <cellStyle name="Note 2 2 2 2 8" xfId="2826" xr:uid="{00000000-0005-0000-0000-0000AB200000}"/>
    <cellStyle name="Note 2 2 2 2 8 2" xfId="7050" xr:uid="{00000000-0005-0000-0000-0000AC200000}"/>
    <cellStyle name="Note 2 2 2 2 8 2 2" xfId="15492" xr:uid="{0A53649C-7D93-4C66-95AF-AC8B74BE6EAA}"/>
    <cellStyle name="Note 2 2 2 2 8 2 3" xfId="23938" xr:uid="{47360E8E-E5C4-4B0C-A9B4-45B991C110B9}"/>
    <cellStyle name="Note 2 2 2 2 8 3" xfId="11274" xr:uid="{A102F8AA-BF23-4C20-9B86-39B7FBAC2D92}"/>
    <cellStyle name="Note 2 2 2 2 8 4" xfId="19721" xr:uid="{8CE23E4B-0772-4E2E-B0C1-7656A68F3464}"/>
    <cellStyle name="Note 2 2 2 2 9" xfId="4905" xr:uid="{00000000-0005-0000-0000-0000AD200000}"/>
    <cellStyle name="Note 2 2 2 2 9 2" xfId="13347" xr:uid="{95D06FB1-90D3-47B0-91CD-D9B1B41714F0}"/>
    <cellStyle name="Note 2 2 2 2 9 3" xfId="21793" xr:uid="{9F44C481-6C3C-4884-8304-C80AFEB77873}"/>
    <cellStyle name="Note 2 2 2 3" xfId="1007" xr:uid="{00000000-0005-0000-0000-0000AE200000}"/>
    <cellStyle name="Note 2 2 2 3 2" xfId="3239" xr:uid="{00000000-0005-0000-0000-0000AF200000}"/>
    <cellStyle name="Note 2 2 2 3 2 2" xfId="7462" xr:uid="{00000000-0005-0000-0000-0000B0200000}"/>
    <cellStyle name="Note 2 2 2 3 2 2 2" xfId="15904" xr:uid="{26711AF5-58AF-4B7B-801A-61EF3D1A8897}"/>
    <cellStyle name="Note 2 2 2 3 2 2 3" xfId="24350" xr:uid="{C7058DFC-6618-4762-B47F-40B564DBDF3B}"/>
    <cellStyle name="Note 2 2 2 3 2 3" xfId="11686" xr:uid="{0A274D88-B1A3-4EB7-97BE-7DCDFAC741EE}"/>
    <cellStyle name="Note 2 2 2 3 2 4" xfId="20133" xr:uid="{B6A74933-924F-4556-9F65-D2F7CFB9CA84}"/>
    <cellStyle name="Note 2 2 2 3 3" xfId="5317" xr:uid="{00000000-0005-0000-0000-0000B1200000}"/>
    <cellStyle name="Note 2 2 2 3 3 2" xfId="13759" xr:uid="{936684BF-1DB0-4413-99EA-96FB2EB937DB}"/>
    <cellStyle name="Note 2 2 2 3 3 3" xfId="22205" xr:uid="{9F31B0AD-7F72-40EC-83D6-3BD43B52867C}"/>
    <cellStyle name="Note 2 2 2 3 4" xfId="9541" xr:uid="{29D3D214-42B6-44FA-B320-A8FF875F557A}"/>
    <cellStyle name="Note 2 2 2 3 5" xfId="17986" xr:uid="{A6B09527-8A3F-471C-9AE8-C17C03D3220D}"/>
    <cellStyle name="Note 2 2 2 4" xfId="1422" xr:uid="{00000000-0005-0000-0000-0000B2200000}"/>
    <cellStyle name="Note 2 2 2 4 2" xfId="3652" xr:uid="{00000000-0005-0000-0000-0000B3200000}"/>
    <cellStyle name="Note 2 2 2 4 2 2" xfId="7875" xr:uid="{00000000-0005-0000-0000-0000B4200000}"/>
    <cellStyle name="Note 2 2 2 4 2 2 2" xfId="16317" xr:uid="{F4A0A4B0-79E5-4351-B6CB-9A5576F65D96}"/>
    <cellStyle name="Note 2 2 2 4 2 2 3" xfId="24763" xr:uid="{4C41A224-2270-4FE3-8A7C-FEC773291B3F}"/>
    <cellStyle name="Note 2 2 2 4 2 3" xfId="12099" xr:uid="{80761B61-60DC-4522-B139-752516B82FDB}"/>
    <cellStyle name="Note 2 2 2 4 2 4" xfId="20546" xr:uid="{17CFD629-A279-4AD4-964D-4260AE77B5E2}"/>
    <cellStyle name="Note 2 2 2 4 3" xfId="5730" xr:uid="{00000000-0005-0000-0000-0000B5200000}"/>
    <cellStyle name="Note 2 2 2 4 3 2" xfId="14172" xr:uid="{BDA40670-0AA6-4A2C-A84B-52A005A62FBD}"/>
    <cellStyle name="Note 2 2 2 4 3 3" xfId="22618" xr:uid="{BAD8C7F2-6B90-4EE8-915C-CAF3F959B11E}"/>
    <cellStyle name="Note 2 2 2 4 4" xfId="9954" xr:uid="{5975BB0D-5CC8-4B38-94C7-EF58E1D550B0}"/>
    <cellStyle name="Note 2 2 2 4 5" xfId="18399" xr:uid="{14142B6F-0479-4EF1-A59F-2E8E11AA9DA3}"/>
    <cellStyle name="Note 2 2 2 5" xfId="1836" xr:uid="{00000000-0005-0000-0000-0000B6200000}"/>
    <cellStyle name="Note 2 2 2 5 2" xfId="4065" xr:uid="{00000000-0005-0000-0000-0000B7200000}"/>
    <cellStyle name="Note 2 2 2 5 2 2" xfId="8288" xr:uid="{00000000-0005-0000-0000-0000B8200000}"/>
    <cellStyle name="Note 2 2 2 5 2 2 2" xfId="16730" xr:uid="{63ED1948-08FA-4995-BE87-17684838579A}"/>
    <cellStyle name="Note 2 2 2 5 2 2 3" xfId="25176" xr:uid="{E72EAF2E-4043-4995-B2F0-F8ECD5D414A8}"/>
    <cellStyle name="Note 2 2 2 5 2 3" xfId="12512" xr:uid="{8EE16105-8508-407E-BDF1-AD2FD6F070BD}"/>
    <cellStyle name="Note 2 2 2 5 2 4" xfId="20959" xr:uid="{A1A88126-FB9B-48C6-930E-AD8B4D779236}"/>
    <cellStyle name="Note 2 2 2 5 3" xfId="6143" xr:uid="{00000000-0005-0000-0000-0000B9200000}"/>
    <cellStyle name="Note 2 2 2 5 3 2" xfId="14585" xr:uid="{DDCD67CF-3CDD-48DA-A70F-BADA16C0AFFB}"/>
    <cellStyle name="Note 2 2 2 5 3 3" xfId="23031" xr:uid="{F19AD0F5-6B41-44DE-85F4-A96773909D84}"/>
    <cellStyle name="Note 2 2 2 5 4" xfId="10367" xr:uid="{074DABE0-0134-4EDF-839C-02BE8A8449C2}"/>
    <cellStyle name="Note 2 2 2 5 5" xfId="18812" xr:uid="{56F63944-0FC1-4F97-BAA5-6E303417E9FB}"/>
    <cellStyle name="Note 2 2 2 6" xfId="2249" xr:uid="{00000000-0005-0000-0000-0000BA200000}"/>
    <cellStyle name="Note 2 2 2 6 2" xfId="4478" xr:uid="{00000000-0005-0000-0000-0000BB200000}"/>
    <cellStyle name="Note 2 2 2 6 2 2" xfId="8701" xr:uid="{00000000-0005-0000-0000-0000BC200000}"/>
    <cellStyle name="Note 2 2 2 6 2 2 2" xfId="17143" xr:uid="{670D3016-6BA3-41A6-90B6-E4FB88D71B92}"/>
    <cellStyle name="Note 2 2 2 6 2 2 3" xfId="25589" xr:uid="{A29AB9C5-5833-432C-BFEB-116E58144788}"/>
    <cellStyle name="Note 2 2 2 6 2 3" xfId="12925" xr:uid="{A40C5945-448B-4B6E-A940-188D9BAB175E}"/>
    <cellStyle name="Note 2 2 2 6 2 4" xfId="21372" xr:uid="{604D14C1-E30E-4CDD-BA6E-84709A5AE832}"/>
    <cellStyle name="Note 2 2 2 6 3" xfId="6556" xr:uid="{00000000-0005-0000-0000-0000BD200000}"/>
    <cellStyle name="Note 2 2 2 6 3 2" xfId="14998" xr:uid="{67AF1B46-F2D9-4DE8-A3CA-D0DB4BEE2BA4}"/>
    <cellStyle name="Note 2 2 2 6 3 3" xfId="23444" xr:uid="{030EFC6E-95D5-4178-B1A0-9DE3508DCC89}"/>
    <cellStyle name="Note 2 2 2 6 4" xfId="10780" xr:uid="{B0F601A0-D3CD-4113-A8E8-AC300D28AC4F}"/>
    <cellStyle name="Note 2 2 2 6 5" xfId="19225" xr:uid="{85517F01-5BFF-4A8B-861B-C455491D40EF}"/>
    <cellStyle name="Note 2 2 2 7" xfId="2685" xr:uid="{00000000-0005-0000-0000-0000BE200000}"/>
    <cellStyle name="Note 2 2 2 7 2" xfId="6969" xr:uid="{00000000-0005-0000-0000-0000BF200000}"/>
    <cellStyle name="Note 2 2 2 7 2 2" xfId="15411" xr:uid="{3B4CEFAD-12DD-4531-8B1C-289B1CD28A46}"/>
    <cellStyle name="Note 2 2 2 7 2 3" xfId="23857" xr:uid="{02B4135E-3187-45F7-9817-B83A1E0B5309}"/>
    <cellStyle name="Note 2 2 2 7 3" xfId="11193" xr:uid="{69FEE568-5FE2-4ADC-A0EA-118C403FCF75}"/>
    <cellStyle name="Note 2 2 2 7 4" xfId="19638" xr:uid="{65F1125A-7C52-4FB5-A7B0-76448DA5D904}"/>
    <cellStyle name="Note 2 2 2 8" xfId="2744" xr:uid="{00000000-0005-0000-0000-0000C0200000}"/>
    <cellStyle name="Note 2 2 2 9" xfId="2825" xr:uid="{00000000-0005-0000-0000-0000C1200000}"/>
    <cellStyle name="Note 2 2 2 9 2" xfId="7049" xr:uid="{00000000-0005-0000-0000-0000C2200000}"/>
    <cellStyle name="Note 2 2 2 9 2 2" xfId="15491" xr:uid="{4BACBD16-37DE-42DE-91D6-6BD9A44B932F}"/>
    <cellStyle name="Note 2 2 2 9 2 3" xfId="23937" xr:uid="{E7447A1B-C918-4B1A-8954-27867B2A92B9}"/>
    <cellStyle name="Note 2 2 2 9 3" xfId="11273" xr:uid="{C28056E4-7346-45B1-BCC1-A0A528000E24}"/>
    <cellStyle name="Note 2 2 2 9 4" xfId="19720" xr:uid="{D289717C-124C-4E82-B1F5-9590D408D50A}"/>
    <cellStyle name="Note 2 2 3" xfId="548" xr:uid="{00000000-0005-0000-0000-0000C3200000}"/>
    <cellStyle name="Note 2 2 3 10" xfId="9130" xr:uid="{09F76944-2145-4D47-A6DB-BB497FF0528E}"/>
    <cellStyle name="Note 2 2 3 11" xfId="17575" xr:uid="{F6BD4D87-FCBD-4AA0-B3AB-273D067C23E2}"/>
    <cellStyle name="Note 2 2 3 2" xfId="1009" xr:uid="{00000000-0005-0000-0000-0000C4200000}"/>
    <cellStyle name="Note 2 2 3 2 2" xfId="3241" xr:uid="{00000000-0005-0000-0000-0000C5200000}"/>
    <cellStyle name="Note 2 2 3 2 2 2" xfId="7464" xr:uid="{00000000-0005-0000-0000-0000C6200000}"/>
    <cellStyle name="Note 2 2 3 2 2 2 2" xfId="15906" xr:uid="{5B0B8365-6BB4-492A-B59B-1B6ABA55BE24}"/>
    <cellStyle name="Note 2 2 3 2 2 2 3" xfId="24352" xr:uid="{E0E162A7-DDF1-45E5-A709-DB231DBFB680}"/>
    <cellStyle name="Note 2 2 3 2 2 3" xfId="11688" xr:uid="{2A01BDDF-8B1C-431F-BC1C-31A07A4E219E}"/>
    <cellStyle name="Note 2 2 3 2 2 4" xfId="20135" xr:uid="{96CDA30B-87B0-4D54-9E23-EEB095C5AB7A}"/>
    <cellStyle name="Note 2 2 3 2 3" xfId="5319" xr:uid="{00000000-0005-0000-0000-0000C7200000}"/>
    <cellStyle name="Note 2 2 3 2 3 2" xfId="13761" xr:uid="{AF6C2BB9-DC2A-4068-81CA-1757D311A95A}"/>
    <cellStyle name="Note 2 2 3 2 3 3" xfId="22207" xr:uid="{45A026BF-A6E7-4E96-B3DD-D5DA16D9632B}"/>
    <cellStyle name="Note 2 2 3 2 4" xfId="9543" xr:uid="{FB3A997B-5547-43B2-80DD-BBF3C2754A6B}"/>
    <cellStyle name="Note 2 2 3 2 5" xfId="17988" xr:uid="{928DE9FC-BFCC-4C24-9497-B14D459DD4FB}"/>
    <cellStyle name="Note 2 2 3 3" xfId="1424" xr:uid="{00000000-0005-0000-0000-0000C8200000}"/>
    <cellStyle name="Note 2 2 3 3 2" xfId="3654" xr:uid="{00000000-0005-0000-0000-0000C9200000}"/>
    <cellStyle name="Note 2 2 3 3 2 2" xfId="7877" xr:uid="{00000000-0005-0000-0000-0000CA200000}"/>
    <cellStyle name="Note 2 2 3 3 2 2 2" xfId="16319" xr:uid="{2447FB9A-D823-4B81-8537-163E73F385FC}"/>
    <cellStyle name="Note 2 2 3 3 2 2 3" xfId="24765" xr:uid="{2797C481-0822-405E-BDFF-990E425A4770}"/>
    <cellStyle name="Note 2 2 3 3 2 3" xfId="12101" xr:uid="{13820C21-CC57-4F2D-A400-B6C1068672B3}"/>
    <cellStyle name="Note 2 2 3 3 2 4" xfId="20548" xr:uid="{E8559EE7-8715-4F9F-A268-0DDDE13B3B28}"/>
    <cellStyle name="Note 2 2 3 3 3" xfId="5732" xr:uid="{00000000-0005-0000-0000-0000CB200000}"/>
    <cellStyle name="Note 2 2 3 3 3 2" xfId="14174" xr:uid="{7E043F73-45C6-4F7F-8418-0C6F2DE74982}"/>
    <cellStyle name="Note 2 2 3 3 3 3" xfId="22620" xr:uid="{9A55F95E-85F2-44A3-89DD-5DE0D6281BCE}"/>
    <cellStyle name="Note 2 2 3 3 4" xfId="9956" xr:uid="{65C20954-1332-4FF3-8868-02E479F8E219}"/>
    <cellStyle name="Note 2 2 3 3 5" xfId="18401" xr:uid="{35F05794-FF53-46E4-81C9-5344BD7BB542}"/>
    <cellStyle name="Note 2 2 3 4" xfId="1838" xr:uid="{00000000-0005-0000-0000-0000CC200000}"/>
    <cellStyle name="Note 2 2 3 4 2" xfId="4067" xr:uid="{00000000-0005-0000-0000-0000CD200000}"/>
    <cellStyle name="Note 2 2 3 4 2 2" xfId="8290" xr:uid="{00000000-0005-0000-0000-0000CE200000}"/>
    <cellStyle name="Note 2 2 3 4 2 2 2" xfId="16732" xr:uid="{9F4B11ED-EE3D-4374-B1E6-C9715953C32B}"/>
    <cellStyle name="Note 2 2 3 4 2 2 3" xfId="25178" xr:uid="{4E9212E8-7B44-4A8C-B707-806156A9E479}"/>
    <cellStyle name="Note 2 2 3 4 2 3" xfId="12514" xr:uid="{7292C4B4-297C-4E14-B706-4711B942D674}"/>
    <cellStyle name="Note 2 2 3 4 2 4" xfId="20961" xr:uid="{5D195F17-92FA-4F39-83AA-C8FDCC68523A}"/>
    <cellStyle name="Note 2 2 3 4 3" xfId="6145" xr:uid="{00000000-0005-0000-0000-0000CF200000}"/>
    <cellStyle name="Note 2 2 3 4 3 2" xfId="14587" xr:uid="{7CF0D726-4439-4EAE-BF50-6227D28BBEFD}"/>
    <cellStyle name="Note 2 2 3 4 3 3" xfId="23033" xr:uid="{45AF510B-FF20-44BD-A666-F6641AD018E5}"/>
    <cellStyle name="Note 2 2 3 4 4" xfId="10369" xr:uid="{B686CEEA-278A-4C8F-B759-BE476E61C93A}"/>
    <cellStyle name="Note 2 2 3 4 5" xfId="18814" xr:uid="{1F7DC685-B98D-4792-908A-5240B2EB2BA6}"/>
    <cellStyle name="Note 2 2 3 5" xfId="2251" xr:uid="{00000000-0005-0000-0000-0000D0200000}"/>
    <cellStyle name="Note 2 2 3 5 2" xfId="4480" xr:uid="{00000000-0005-0000-0000-0000D1200000}"/>
    <cellStyle name="Note 2 2 3 5 2 2" xfId="8703" xr:uid="{00000000-0005-0000-0000-0000D2200000}"/>
    <cellStyle name="Note 2 2 3 5 2 2 2" xfId="17145" xr:uid="{95651B12-B194-464C-B247-AC1D2E7082F1}"/>
    <cellStyle name="Note 2 2 3 5 2 2 3" xfId="25591" xr:uid="{1C6A336B-059B-4746-A806-8CF2EEBF9BA8}"/>
    <cellStyle name="Note 2 2 3 5 2 3" xfId="12927" xr:uid="{C222BB65-F453-44BA-9868-252B4136B40A}"/>
    <cellStyle name="Note 2 2 3 5 2 4" xfId="21374" xr:uid="{C746DDCA-DF8B-4388-9DD2-4AC3CA04663A}"/>
    <cellStyle name="Note 2 2 3 5 3" xfId="6558" xr:uid="{00000000-0005-0000-0000-0000D3200000}"/>
    <cellStyle name="Note 2 2 3 5 3 2" xfId="15000" xr:uid="{CDACBD57-9252-4223-8C73-4D00FC53F6B6}"/>
    <cellStyle name="Note 2 2 3 5 3 3" xfId="23446" xr:uid="{7196CF63-580F-4877-8258-313D2C0AA1E5}"/>
    <cellStyle name="Note 2 2 3 5 4" xfId="10782" xr:uid="{5E75A862-B54D-4E68-B99D-0020EACAD622}"/>
    <cellStyle name="Note 2 2 3 5 5" xfId="19227" xr:uid="{93F980F6-0274-441E-9607-B8DA24A70CB6}"/>
    <cellStyle name="Note 2 2 3 6" xfId="2687" xr:uid="{00000000-0005-0000-0000-0000D4200000}"/>
    <cellStyle name="Note 2 2 3 6 2" xfId="6971" xr:uid="{00000000-0005-0000-0000-0000D5200000}"/>
    <cellStyle name="Note 2 2 3 6 2 2" xfId="15413" xr:uid="{F694A709-E5F8-4300-BC46-83428D49866D}"/>
    <cellStyle name="Note 2 2 3 6 2 3" xfId="23859" xr:uid="{EDCD12F9-D1AC-4A26-B3CF-FB45843125CA}"/>
    <cellStyle name="Note 2 2 3 6 3" xfId="11195" xr:uid="{6BE47A3F-0FC6-49EB-84EC-73784FBD9604}"/>
    <cellStyle name="Note 2 2 3 6 4" xfId="19640" xr:uid="{DB3E3E5F-8F14-4278-A02B-7B07CC4160D0}"/>
    <cellStyle name="Note 2 2 3 7" xfId="2746" xr:uid="{00000000-0005-0000-0000-0000D6200000}"/>
    <cellStyle name="Note 2 2 3 8" xfId="2827" xr:uid="{00000000-0005-0000-0000-0000D7200000}"/>
    <cellStyle name="Note 2 2 3 8 2" xfId="7051" xr:uid="{00000000-0005-0000-0000-0000D8200000}"/>
    <cellStyle name="Note 2 2 3 8 2 2" xfId="15493" xr:uid="{5B3E12CC-7EFE-446C-BF8E-588DE8379CDD}"/>
    <cellStyle name="Note 2 2 3 8 2 3" xfId="23939" xr:uid="{75BCBA39-F929-4FEF-A4F3-2194CD7BD8DD}"/>
    <cellStyle name="Note 2 2 3 8 3" xfId="11275" xr:uid="{214B68CE-4342-48BE-87E7-7775304BA5A4}"/>
    <cellStyle name="Note 2 2 3 8 4" xfId="19722" xr:uid="{1A2FEFFC-4D39-4098-89A8-7A6B07F33DF7}"/>
    <cellStyle name="Note 2 2 3 9" xfId="4906" xr:uid="{00000000-0005-0000-0000-0000D9200000}"/>
    <cellStyle name="Note 2 2 3 9 2" xfId="13348" xr:uid="{CC966635-C4F4-4545-8191-D0BE99092249}"/>
    <cellStyle name="Note 2 2 3 9 3" xfId="21794" xr:uid="{D357883E-F948-49A9-A474-E3C1E5F6D1CC}"/>
    <cellStyle name="Note 2 2 4" xfId="1006" xr:uid="{00000000-0005-0000-0000-0000DA200000}"/>
    <cellStyle name="Note 2 2 4 2" xfId="3238" xr:uid="{00000000-0005-0000-0000-0000DB200000}"/>
    <cellStyle name="Note 2 2 4 2 2" xfId="7461" xr:uid="{00000000-0005-0000-0000-0000DC200000}"/>
    <cellStyle name="Note 2 2 4 2 2 2" xfId="15903" xr:uid="{4FE1DE09-4037-4B65-B365-B49EE5C5CCB1}"/>
    <cellStyle name="Note 2 2 4 2 2 3" xfId="24349" xr:uid="{30D992EA-C641-4F4D-A81B-206769CC2CB9}"/>
    <cellStyle name="Note 2 2 4 2 3" xfId="11685" xr:uid="{D4F799E6-C188-4223-B92C-12466FE4942B}"/>
    <cellStyle name="Note 2 2 4 2 4" xfId="20132" xr:uid="{DA706019-D4B0-4D4B-8665-C8F169610791}"/>
    <cellStyle name="Note 2 2 4 3" xfId="5316" xr:uid="{00000000-0005-0000-0000-0000DD200000}"/>
    <cellStyle name="Note 2 2 4 3 2" xfId="13758" xr:uid="{BB2C4E3E-3456-4EDF-9E27-918DDAC9E6F1}"/>
    <cellStyle name="Note 2 2 4 3 3" xfId="22204" xr:uid="{FEA8A6B7-A227-4A61-BDAD-DF846F03A804}"/>
    <cellStyle name="Note 2 2 4 4" xfId="9540" xr:uid="{72E3AF5B-123E-4C99-8A11-67C2B06DEA38}"/>
    <cellStyle name="Note 2 2 4 5" xfId="17985" xr:uid="{298D0E0F-7561-467B-8C58-F764F106E0A3}"/>
    <cellStyle name="Note 2 2 5" xfId="1421" xr:uid="{00000000-0005-0000-0000-0000DE200000}"/>
    <cellStyle name="Note 2 2 5 2" xfId="3651" xr:uid="{00000000-0005-0000-0000-0000DF200000}"/>
    <cellStyle name="Note 2 2 5 2 2" xfId="7874" xr:uid="{00000000-0005-0000-0000-0000E0200000}"/>
    <cellStyle name="Note 2 2 5 2 2 2" xfId="16316" xr:uid="{6AC1063E-E703-4788-9FF7-1BFAAFA714CA}"/>
    <cellStyle name="Note 2 2 5 2 2 3" xfId="24762" xr:uid="{EBCEB614-832C-4D0F-B517-E1550B9B43CD}"/>
    <cellStyle name="Note 2 2 5 2 3" xfId="12098" xr:uid="{7D34BE9B-1231-47C8-9445-96EBC8681749}"/>
    <cellStyle name="Note 2 2 5 2 4" xfId="20545" xr:uid="{E43CDFC8-9C93-42B2-BAF7-A4BBD69846A6}"/>
    <cellStyle name="Note 2 2 5 3" xfId="5729" xr:uid="{00000000-0005-0000-0000-0000E1200000}"/>
    <cellStyle name="Note 2 2 5 3 2" xfId="14171" xr:uid="{E44424EB-23EC-4D70-A725-98A63422A9A5}"/>
    <cellStyle name="Note 2 2 5 3 3" xfId="22617" xr:uid="{91CBFF06-2829-4385-AC58-1769FCF66452}"/>
    <cellStyle name="Note 2 2 5 4" xfId="9953" xr:uid="{44D1177F-D63A-4995-8DBE-3087D7779114}"/>
    <cellStyle name="Note 2 2 5 5" xfId="18398" xr:uid="{385B9D0C-E865-4823-9EF7-40758368B29E}"/>
    <cellStyle name="Note 2 2 6" xfId="1835" xr:uid="{00000000-0005-0000-0000-0000E2200000}"/>
    <cellStyle name="Note 2 2 6 2" xfId="4064" xr:uid="{00000000-0005-0000-0000-0000E3200000}"/>
    <cellStyle name="Note 2 2 6 2 2" xfId="8287" xr:uid="{00000000-0005-0000-0000-0000E4200000}"/>
    <cellStyle name="Note 2 2 6 2 2 2" xfId="16729" xr:uid="{2B1459A3-63F5-4524-9DB3-AAC224400875}"/>
    <cellStyle name="Note 2 2 6 2 2 3" xfId="25175" xr:uid="{EFF61157-1295-46CB-B941-51A586DE0D0B}"/>
    <cellStyle name="Note 2 2 6 2 3" xfId="12511" xr:uid="{660DA090-5371-4C8C-9021-0726F28406B4}"/>
    <cellStyle name="Note 2 2 6 2 4" xfId="20958" xr:uid="{58621B7C-6657-4F05-99DF-811D8B3F4CB9}"/>
    <cellStyle name="Note 2 2 6 3" xfId="6142" xr:uid="{00000000-0005-0000-0000-0000E5200000}"/>
    <cellStyle name="Note 2 2 6 3 2" xfId="14584" xr:uid="{09F82DC1-244D-4FAE-A47F-7DF74C503E0A}"/>
    <cellStyle name="Note 2 2 6 3 3" xfId="23030" xr:uid="{B4A864AF-F70C-46DB-96F0-815F25EB33C3}"/>
    <cellStyle name="Note 2 2 6 4" xfId="10366" xr:uid="{C0B467A8-01D0-4745-B540-2B9404B04ACE}"/>
    <cellStyle name="Note 2 2 6 5" xfId="18811" xr:uid="{E0E486D9-48BC-4284-8A5A-3015C8ED6073}"/>
    <cellStyle name="Note 2 2 7" xfId="2248" xr:uid="{00000000-0005-0000-0000-0000E6200000}"/>
    <cellStyle name="Note 2 2 7 2" xfId="4477" xr:uid="{00000000-0005-0000-0000-0000E7200000}"/>
    <cellStyle name="Note 2 2 7 2 2" xfId="8700" xr:uid="{00000000-0005-0000-0000-0000E8200000}"/>
    <cellStyle name="Note 2 2 7 2 2 2" xfId="17142" xr:uid="{F131D062-5EE9-4D8B-A70F-3F9AE7F7CDED}"/>
    <cellStyle name="Note 2 2 7 2 2 3" xfId="25588" xr:uid="{4D95E6FA-282A-4F4C-9694-7B42D6070F57}"/>
    <cellStyle name="Note 2 2 7 2 3" xfId="12924" xr:uid="{10B6B385-79F1-443F-84DD-A5690F43EC0F}"/>
    <cellStyle name="Note 2 2 7 2 4" xfId="21371" xr:uid="{3A6EAEBB-4AFB-40A1-AA28-D7306F6B02DE}"/>
    <cellStyle name="Note 2 2 7 3" xfId="6555" xr:uid="{00000000-0005-0000-0000-0000E9200000}"/>
    <cellStyle name="Note 2 2 7 3 2" xfId="14997" xr:uid="{7C131850-3A59-4DBF-9328-96AF7755D256}"/>
    <cellStyle name="Note 2 2 7 3 3" xfId="23443" xr:uid="{5642A0A5-771E-4503-9FCF-74A25D3EE47E}"/>
    <cellStyle name="Note 2 2 7 4" xfId="10779" xr:uid="{B235A0AF-0386-4A41-9D79-4035D37978C1}"/>
    <cellStyle name="Note 2 2 7 5" xfId="19224" xr:uid="{FD9BF1AD-9F12-4F47-AD28-EAEA04188801}"/>
    <cellStyle name="Note 2 2 8" xfId="2684" xr:uid="{00000000-0005-0000-0000-0000EA200000}"/>
    <cellStyle name="Note 2 2 8 2" xfId="6968" xr:uid="{00000000-0005-0000-0000-0000EB200000}"/>
    <cellStyle name="Note 2 2 8 2 2" xfId="15410" xr:uid="{E2FF8FFF-5EA0-4D4E-8B0A-DBA1C5BC825C}"/>
    <cellStyle name="Note 2 2 8 2 3" xfId="23856" xr:uid="{1E15A0EB-9ECE-4C36-9697-49F14B900172}"/>
    <cellStyle name="Note 2 2 8 3" xfId="11192" xr:uid="{3AA0CFC2-4AFC-4595-A018-3D713B65C788}"/>
    <cellStyle name="Note 2 2 8 4" xfId="19637" xr:uid="{67288782-154D-410B-B57E-796BBAB89E2C}"/>
    <cellStyle name="Note 2 2 9" xfId="2743" xr:uid="{00000000-0005-0000-0000-0000EC200000}"/>
    <cellStyle name="Note 2 3" xfId="549" xr:uid="{00000000-0005-0000-0000-0000ED200000}"/>
    <cellStyle name="Note 2 3 10" xfId="4907" xr:uid="{00000000-0005-0000-0000-0000EE200000}"/>
    <cellStyle name="Note 2 3 10 2" xfId="13349" xr:uid="{A92912A3-7D29-4CCF-BE69-E7BAAEE984C8}"/>
    <cellStyle name="Note 2 3 10 3" xfId="21795" xr:uid="{C12402DC-7C0F-4FB7-942D-70F0AABBF3AE}"/>
    <cellStyle name="Note 2 3 11" xfId="9131" xr:uid="{FBDEB2F1-6D28-4C44-8596-8D8D6F1F6ED6}"/>
    <cellStyle name="Note 2 3 12" xfId="17576" xr:uid="{E265B2AB-1869-4CC0-A230-E72F824F6663}"/>
    <cellStyle name="Note 2 3 2" xfId="550" xr:uid="{00000000-0005-0000-0000-0000EF200000}"/>
    <cellStyle name="Note 2 3 2 10" xfId="9132" xr:uid="{5D3B9665-0DDC-4CFB-AA2B-DFD0B772BC21}"/>
    <cellStyle name="Note 2 3 2 11" xfId="17577" xr:uid="{D1BF7D81-F8E4-46E5-A365-79D30EE6E8DD}"/>
    <cellStyle name="Note 2 3 2 2" xfId="1011" xr:uid="{00000000-0005-0000-0000-0000F0200000}"/>
    <cellStyle name="Note 2 3 2 2 2" xfId="3243" xr:uid="{00000000-0005-0000-0000-0000F1200000}"/>
    <cellStyle name="Note 2 3 2 2 2 2" xfId="7466" xr:uid="{00000000-0005-0000-0000-0000F2200000}"/>
    <cellStyle name="Note 2 3 2 2 2 2 2" xfId="15908" xr:uid="{23762E8E-FA64-4727-944F-B88D825973AF}"/>
    <cellStyle name="Note 2 3 2 2 2 2 3" xfId="24354" xr:uid="{9F2A8B86-1D0F-47CB-B720-589AED973023}"/>
    <cellStyle name="Note 2 3 2 2 2 3" xfId="11690" xr:uid="{497D016B-B719-4059-AE29-88B203DE8386}"/>
    <cellStyle name="Note 2 3 2 2 2 4" xfId="20137" xr:uid="{DD01E9D8-99ED-4BE1-818C-918170A11FBD}"/>
    <cellStyle name="Note 2 3 2 2 3" xfId="5321" xr:uid="{00000000-0005-0000-0000-0000F3200000}"/>
    <cellStyle name="Note 2 3 2 2 3 2" xfId="13763" xr:uid="{F7D854D2-3F3B-4BC5-81C2-0CC8C86696DE}"/>
    <cellStyle name="Note 2 3 2 2 3 3" xfId="22209" xr:uid="{5C1412B3-2F38-4E22-A65C-D3143FF9C0E5}"/>
    <cellStyle name="Note 2 3 2 2 4" xfId="9545" xr:uid="{4F92B468-9210-4D9A-941E-E8A436300E1B}"/>
    <cellStyle name="Note 2 3 2 2 5" xfId="17990" xr:uid="{8C5D3A1C-8FAA-46E6-B55F-93461F9D7947}"/>
    <cellStyle name="Note 2 3 2 3" xfId="1426" xr:uid="{00000000-0005-0000-0000-0000F4200000}"/>
    <cellStyle name="Note 2 3 2 3 2" xfId="3656" xr:uid="{00000000-0005-0000-0000-0000F5200000}"/>
    <cellStyle name="Note 2 3 2 3 2 2" xfId="7879" xr:uid="{00000000-0005-0000-0000-0000F6200000}"/>
    <cellStyle name="Note 2 3 2 3 2 2 2" xfId="16321" xr:uid="{9326B9DD-8E5B-4E53-B3EF-EFC9D2DEB163}"/>
    <cellStyle name="Note 2 3 2 3 2 2 3" xfId="24767" xr:uid="{A6FB7320-22F9-4CE4-9F9A-FC8ABB066C85}"/>
    <cellStyle name="Note 2 3 2 3 2 3" xfId="12103" xr:uid="{BAE2382B-6583-40E6-816C-AB45E407D5B1}"/>
    <cellStyle name="Note 2 3 2 3 2 4" xfId="20550" xr:uid="{3CF95E5A-87EB-450D-B39F-78F78F084AA6}"/>
    <cellStyle name="Note 2 3 2 3 3" xfId="5734" xr:uid="{00000000-0005-0000-0000-0000F7200000}"/>
    <cellStyle name="Note 2 3 2 3 3 2" xfId="14176" xr:uid="{6A6F09EF-7F8A-42DD-8AFC-7C20C3806311}"/>
    <cellStyle name="Note 2 3 2 3 3 3" xfId="22622" xr:uid="{B50B651E-A4A7-474C-AD73-4BEE22E1D7CD}"/>
    <cellStyle name="Note 2 3 2 3 4" xfId="9958" xr:uid="{75793791-F0B7-4196-9B36-D7FDA8A22B36}"/>
    <cellStyle name="Note 2 3 2 3 5" xfId="18403" xr:uid="{B2F155D7-EFF8-4C58-88A0-9178CABDEA19}"/>
    <cellStyle name="Note 2 3 2 4" xfId="1840" xr:uid="{00000000-0005-0000-0000-0000F8200000}"/>
    <cellStyle name="Note 2 3 2 4 2" xfId="4069" xr:uid="{00000000-0005-0000-0000-0000F9200000}"/>
    <cellStyle name="Note 2 3 2 4 2 2" xfId="8292" xr:uid="{00000000-0005-0000-0000-0000FA200000}"/>
    <cellStyle name="Note 2 3 2 4 2 2 2" xfId="16734" xr:uid="{E3FE8D6B-BB49-4586-8AE2-11DD13CCA110}"/>
    <cellStyle name="Note 2 3 2 4 2 2 3" xfId="25180" xr:uid="{AFD5C870-1012-4254-A26A-780AF413CF9E}"/>
    <cellStyle name="Note 2 3 2 4 2 3" xfId="12516" xr:uid="{8DAEDEA0-B124-47D2-9463-AFD2BD34781C}"/>
    <cellStyle name="Note 2 3 2 4 2 4" xfId="20963" xr:uid="{16AAFFD7-C131-4488-82B0-43203711CA94}"/>
    <cellStyle name="Note 2 3 2 4 3" xfId="6147" xr:uid="{00000000-0005-0000-0000-0000FB200000}"/>
    <cellStyle name="Note 2 3 2 4 3 2" xfId="14589" xr:uid="{49F6717B-ACC6-4CAD-84B6-5FA86170F440}"/>
    <cellStyle name="Note 2 3 2 4 3 3" xfId="23035" xr:uid="{4C1AE628-6DDB-4FB6-A304-0A9439DE0304}"/>
    <cellStyle name="Note 2 3 2 4 4" xfId="10371" xr:uid="{BC553DD1-0213-4526-8B61-7AD42139C270}"/>
    <cellStyle name="Note 2 3 2 4 5" xfId="18816" xr:uid="{4A34213F-7D82-4330-A9CB-B728FC502C70}"/>
    <cellStyle name="Note 2 3 2 5" xfId="2253" xr:uid="{00000000-0005-0000-0000-0000FC200000}"/>
    <cellStyle name="Note 2 3 2 5 2" xfId="4482" xr:uid="{00000000-0005-0000-0000-0000FD200000}"/>
    <cellStyle name="Note 2 3 2 5 2 2" xfId="8705" xr:uid="{00000000-0005-0000-0000-0000FE200000}"/>
    <cellStyle name="Note 2 3 2 5 2 2 2" xfId="17147" xr:uid="{AE606AAB-ECB8-4F68-AB5D-F81293197604}"/>
    <cellStyle name="Note 2 3 2 5 2 2 3" xfId="25593" xr:uid="{10684D11-555E-4C74-A5CC-7AA88FFA6A9B}"/>
    <cellStyle name="Note 2 3 2 5 2 3" xfId="12929" xr:uid="{F3495ACB-DD42-4330-93F4-92D8E0C3A23D}"/>
    <cellStyle name="Note 2 3 2 5 2 4" xfId="21376" xr:uid="{5A97A54B-3BFE-43D7-9C76-EFA594D11CB4}"/>
    <cellStyle name="Note 2 3 2 5 3" xfId="6560" xr:uid="{00000000-0005-0000-0000-0000FF200000}"/>
    <cellStyle name="Note 2 3 2 5 3 2" xfId="15002" xr:uid="{F90E6C5C-4C83-4663-86FF-853737AB27F8}"/>
    <cellStyle name="Note 2 3 2 5 3 3" xfId="23448" xr:uid="{92DE9F08-8D99-4A71-84D2-392472772274}"/>
    <cellStyle name="Note 2 3 2 5 4" xfId="10784" xr:uid="{ADC71DBE-B3EB-4A27-8D97-8C46079223DE}"/>
    <cellStyle name="Note 2 3 2 5 5" xfId="19229" xr:uid="{D1548494-19F0-4FAD-B3C0-93C93D444683}"/>
    <cellStyle name="Note 2 3 2 6" xfId="2689" xr:uid="{00000000-0005-0000-0000-000000210000}"/>
    <cellStyle name="Note 2 3 2 6 2" xfId="6973" xr:uid="{00000000-0005-0000-0000-000001210000}"/>
    <cellStyle name="Note 2 3 2 6 2 2" xfId="15415" xr:uid="{23925E17-1B32-4E71-80B8-8C99BCACD98D}"/>
    <cellStyle name="Note 2 3 2 6 2 3" xfId="23861" xr:uid="{822BB385-4E8B-4935-BB7D-65976825A208}"/>
    <cellStyle name="Note 2 3 2 6 3" xfId="11197" xr:uid="{764EEB30-95A2-4CBC-8CD8-89B4BF78ADC5}"/>
    <cellStyle name="Note 2 3 2 6 4" xfId="19642" xr:uid="{AC9731AD-6E4F-4805-9F2C-2CB7A7BA9265}"/>
    <cellStyle name="Note 2 3 2 7" xfId="2748" xr:uid="{00000000-0005-0000-0000-000002210000}"/>
    <cellStyle name="Note 2 3 2 8" xfId="2829" xr:uid="{00000000-0005-0000-0000-000003210000}"/>
    <cellStyle name="Note 2 3 2 8 2" xfId="7053" xr:uid="{00000000-0005-0000-0000-000004210000}"/>
    <cellStyle name="Note 2 3 2 8 2 2" xfId="15495" xr:uid="{8A58D922-A725-4C1D-9A52-60CF0B24F8C2}"/>
    <cellStyle name="Note 2 3 2 8 2 3" xfId="23941" xr:uid="{F6F2800A-54A3-42A4-B2F3-A2F097EB0E76}"/>
    <cellStyle name="Note 2 3 2 8 3" xfId="11277" xr:uid="{05D01CE2-D955-4077-8ECF-8691E9C8CAF6}"/>
    <cellStyle name="Note 2 3 2 8 4" xfId="19724" xr:uid="{905BF315-C8E2-49D3-9B2E-996C78A4EC50}"/>
    <cellStyle name="Note 2 3 2 9" xfId="4908" xr:uid="{00000000-0005-0000-0000-000005210000}"/>
    <cellStyle name="Note 2 3 2 9 2" xfId="13350" xr:uid="{5E53D3E7-F289-406A-9479-DF5403CEE3E0}"/>
    <cellStyle name="Note 2 3 2 9 3" xfId="21796" xr:uid="{1B431299-EB31-434E-B3C8-09B64A8161F3}"/>
    <cellStyle name="Note 2 3 3" xfId="1010" xr:uid="{00000000-0005-0000-0000-000006210000}"/>
    <cellStyle name="Note 2 3 3 2" xfId="3242" xr:uid="{00000000-0005-0000-0000-000007210000}"/>
    <cellStyle name="Note 2 3 3 2 2" xfId="7465" xr:uid="{00000000-0005-0000-0000-000008210000}"/>
    <cellStyle name="Note 2 3 3 2 2 2" xfId="15907" xr:uid="{812D3B44-73CA-4028-A5E2-E1D59D47895A}"/>
    <cellStyle name="Note 2 3 3 2 2 3" xfId="24353" xr:uid="{D0EEE6C3-9BD7-4684-A70F-0BE3D1484DE5}"/>
    <cellStyle name="Note 2 3 3 2 3" xfId="11689" xr:uid="{8A40914F-1422-4601-86DD-09FA921310D2}"/>
    <cellStyle name="Note 2 3 3 2 4" xfId="20136" xr:uid="{F19CE617-D470-477B-8A9F-A7EC40F4D686}"/>
    <cellStyle name="Note 2 3 3 3" xfId="5320" xr:uid="{00000000-0005-0000-0000-000009210000}"/>
    <cellStyle name="Note 2 3 3 3 2" xfId="13762" xr:uid="{885BF1CF-3939-4F15-BF76-EA5F750A583C}"/>
    <cellStyle name="Note 2 3 3 3 3" xfId="22208" xr:uid="{24DDAE38-23A2-410B-8060-DDE21CAB9D63}"/>
    <cellStyle name="Note 2 3 3 4" xfId="9544" xr:uid="{7598E72F-85B6-47C1-BC3A-3430E7C0E9E8}"/>
    <cellStyle name="Note 2 3 3 5" xfId="17989" xr:uid="{D8A12454-622D-4E1B-B34C-813F3621A23B}"/>
    <cellStyle name="Note 2 3 4" xfId="1425" xr:uid="{00000000-0005-0000-0000-00000A210000}"/>
    <cellStyle name="Note 2 3 4 2" xfId="3655" xr:uid="{00000000-0005-0000-0000-00000B210000}"/>
    <cellStyle name="Note 2 3 4 2 2" xfId="7878" xr:uid="{00000000-0005-0000-0000-00000C210000}"/>
    <cellStyle name="Note 2 3 4 2 2 2" xfId="16320" xr:uid="{DBA0AAFA-ADBB-41EC-AB23-23D810ECEDC0}"/>
    <cellStyle name="Note 2 3 4 2 2 3" xfId="24766" xr:uid="{AAE5B86B-84CD-4F08-A725-E83340004A89}"/>
    <cellStyle name="Note 2 3 4 2 3" xfId="12102" xr:uid="{6EB3F9D3-805B-4EC8-B79D-356BC1C552D8}"/>
    <cellStyle name="Note 2 3 4 2 4" xfId="20549" xr:uid="{BFA24207-4BF8-41D7-A6C0-A042423F627C}"/>
    <cellStyle name="Note 2 3 4 3" xfId="5733" xr:uid="{00000000-0005-0000-0000-00000D210000}"/>
    <cellStyle name="Note 2 3 4 3 2" xfId="14175" xr:uid="{DDD14690-90BA-49B5-B07A-F5816705FDC7}"/>
    <cellStyle name="Note 2 3 4 3 3" xfId="22621" xr:uid="{405F9D31-5B63-4CFA-B16F-985BDAEE970D}"/>
    <cellStyle name="Note 2 3 4 4" xfId="9957" xr:uid="{17FF2F4A-E22C-4CD8-9027-F996D1E417A5}"/>
    <cellStyle name="Note 2 3 4 5" xfId="18402" xr:uid="{7D2E196D-B0CC-4299-A459-8BBD29C527C0}"/>
    <cellStyle name="Note 2 3 5" xfId="1839" xr:uid="{00000000-0005-0000-0000-00000E210000}"/>
    <cellStyle name="Note 2 3 5 2" xfId="4068" xr:uid="{00000000-0005-0000-0000-00000F210000}"/>
    <cellStyle name="Note 2 3 5 2 2" xfId="8291" xr:uid="{00000000-0005-0000-0000-000010210000}"/>
    <cellStyle name="Note 2 3 5 2 2 2" xfId="16733" xr:uid="{FD4BF817-BD71-44A6-95A2-FF8E7E0CDBDC}"/>
    <cellStyle name="Note 2 3 5 2 2 3" xfId="25179" xr:uid="{38D11F9E-3AC8-4C97-8E64-5191F021FF4A}"/>
    <cellStyle name="Note 2 3 5 2 3" xfId="12515" xr:uid="{EDAD0AF5-6C5A-4B7A-81F5-CDAF800C90F4}"/>
    <cellStyle name="Note 2 3 5 2 4" xfId="20962" xr:uid="{DD8DAB06-B877-4439-868A-F9427AF46AE4}"/>
    <cellStyle name="Note 2 3 5 3" xfId="6146" xr:uid="{00000000-0005-0000-0000-000011210000}"/>
    <cellStyle name="Note 2 3 5 3 2" xfId="14588" xr:uid="{FDAD380D-8263-4166-BF63-62403CD21EB0}"/>
    <cellStyle name="Note 2 3 5 3 3" xfId="23034" xr:uid="{BF15BD0F-2295-41F1-A50E-90A7A22A90F5}"/>
    <cellStyle name="Note 2 3 5 4" xfId="10370" xr:uid="{D26C4721-7C53-4628-8E6D-CF2E6460EC4F}"/>
    <cellStyle name="Note 2 3 5 5" xfId="18815" xr:uid="{F7AC6E5B-9B75-4888-9120-A5E8E08CA25D}"/>
    <cellStyle name="Note 2 3 6" xfId="2252" xr:uid="{00000000-0005-0000-0000-000012210000}"/>
    <cellStyle name="Note 2 3 6 2" xfId="4481" xr:uid="{00000000-0005-0000-0000-000013210000}"/>
    <cellStyle name="Note 2 3 6 2 2" xfId="8704" xr:uid="{00000000-0005-0000-0000-000014210000}"/>
    <cellStyle name="Note 2 3 6 2 2 2" xfId="17146" xr:uid="{357F767A-4843-4530-A90E-C1F8697C6E0E}"/>
    <cellStyle name="Note 2 3 6 2 2 3" xfId="25592" xr:uid="{299D06D5-CA5A-4D24-97E9-7A4B42631929}"/>
    <cellStyle name="Note 2 3 6 2 3" xfId="12928" xr:uid="{36DB8B4B-17D4-49F1-A275-178AF2510AED}"/>
    <cellStyle name="Note 2 3 6 2 4" xfId="21375" xr:uid="{22BA822C-A566-4AAC-B9B5-32EF6F223D3E}"/>
    <cellStyle name="Note 2 3 6 3" xfId="6559" xr:uid="{00000000-0005-0000-0000-000015210000}"/>
    <cellStyle name="Note 2 3 6 3 2" xfId="15001" xr:uid="{33374C15-3620-4155-A9E6-C90A93969F2E}"/>
    <cellStyle name="Note 2 3 6 3 3" xfId="23447" xr:uid="{09A074EB-2137-41EE-A8C6-61509AAAFA12}"/>
    <cellStyle name="Note 2 3 6 4" xfId="10783" xr:uid="{BE623159-9251-4399-BD87-75AC4CFB6F70}"/>
    <cellStyle name="Note 2 3 6 5" xfId="19228" xr:uid="{537BF95D-A85C-4123-ADA5-6060FB454A6A}"/>
    <cellStyle name="Note 2 3 7" xfId="2688" xr:uid="{00000000-0005-0000-0000-000016210000}"/>
    <cellStyle name="Note 2 3 7 2" xfId="6972" xr:uid="{00000000-0005-0000-0000-000017210000}"/>
    <cellStyle name="Note 2 3 7 2 2" xfId="15414" xr:uid="{83F59AB7-EB6C-41E3-BD0D-EF388D564234}"/>
    <cellStyle name="Note 2 3 7 2 3" xfId="23860" xr:uid="{D710827D-BC42-43A4-BB09-ABD32AE11886}"/>
    <cellStyle name="Note 2 3 7 3" xfId="11196" xr:uid="{87A0B63B-FB9A-4732-94C0-9403A4A336A6}"/>
    <cellStyle name="Note 2 3 7 4" xfId="19641" xr:uid="{0A7A1574-F7E7-4785-8903-AB6DCD52171A}"/>
    <cellStyle name="Note 2 3 8" xfId="2747" xr:uid="{00000000-0005-0000-0000-000018210000}"/>
    <cellStyle name="Note 2 3 9" xfId="2828" xr:uid="{00000000-0005-0000-0000-000019210000}"/>
    <cellStyle name="Note 2 3 9 2" xfId="7052" xr:uid="{00000000-0005-0000-0000-00001A210000}"/>
    <cellStyle name="Note 2 3 9 2 2" xfId="15494" xr:uid="{61A8AFE9-3347-4B29-AF08-7558FC351A11}"/>
    <cellStyle name="Note 2 3 9 2 3" xfId="23940" xr:uid="{16B6C603-4C61-458A-A7E5-04000792BA3A}"/>
    <cellStyle name="Note 2 3 9 3" xfId="11276" xr:uid="{E41B65DB-4F93-4C3A-AB83-3D828257E199}"/>
    <cellStyle name="Note 2 3 9 4" xfId="19723" xr:uid="{818070AA-2585-4540-8B41-4CD94CE0D946}"/>
    <cellStyle name="Note 2 4" xfId="551" xr:uid="{00000000-0005-0000-0000-00001B210000}"/>
    <cellStyle name="Note 2 4 10" xfId="9133" xr:uid="{B4320DDE-1138-4EF0-B58C-43305C86E634}"/>
    <cellStyle name="Note 2 4 11" xfId="17578" xr:uid="{97D1BCDD-7273-46A1-B81A-0F8CB5EA34D7}"/>
    <cellStyle name="Note 2 4 2" xfId="1012" xr:uid="{00000000-0005-0000-0000-00001C210000}"/>
    <cellStyle name="Note 2 4 2 2" xfId="3244" xr:uid="{00000000-0005-0000-0000-00001D210000}"/>
    <cellStyle name="Note 2 4 2 2 2" xfId="7467" xr:uid="{00000000-0005-0000-0000-00001E210000}"/>
    <cellStyle name="Note 2 4 2 2 2 2" xfId="15909" xr:uid="{979E330E-7D7C-4DCC-B7BE-7006CBD88651}"/>
    <cellStyle name="Note 2 4 2 2 2 3" xfId="24355" xr:uid="{A43B8AE0-7AA0-4F49-8C6E-3C25D0EF5104}"/>
    <cellStyle name="Note 2 4 2 2 3" xfId="11691" xr:uid="{5BB3491F-142E-4DA0-938A-CF8BB209062D}"/>
    <cellStyle name="Note 2 4 2 2 4" xfId="20138" xr:uid="{BC2EEF63-1497-4A10-B271-E6DDF153FE8C}"/>
    <cellStyle name="Note 2 4 2 3" xfId="5322" xr:uid="{00000000-0005-0000-0000-00001F210000}"/>
    <cellStyle name="Note 2 4 2 3 2" xfId="13764" xr:uid="{7B96739E-1EC1-4210-A3E1-3EF81553FB62}"/>
    <cellStyle name="Note 2 4 2 3 3" xfId="22210" xr:uid="{D95D5DFD-DD7E-443B-A2CE-05DAF9D7411A}"/>
    <cellStyle name="Note 2 4 2 4" xfId="9546" xr:uid="{0FA3B1E6-F012-4B67-8C91-32DE05C20FBF}"/>
    <cellStyle name="Note 2 4 2 5" xfId="17991" xr:uid="{122FEB50-588D-41B4-A613-BFF8CC8AACFF}"/>
    <cellStyle name="Note 2 4 3" xfId="1427" xr:uid="{00000000-0005-0000-0000-000020210000}"/>
    <cellStyle name="Note 2 4 3 2" xfId="3657" xr:uid="{00000000-0005-0000-0000-000021210000}"/>
    <cellStyle name="Note 2 4 3 2 2" xfId="7880" xr:uid="{00000000-0005-0000-0000-000022210000}"/>
    <cellStyle name="Note 2 4 3 2 2 2" xfId="16322" xr:uid="{8A05F93E-BE99-4C90-B78D-551218F80C6A}"/>
    <cellStyle name="Note 2 4 3 2 2 3" xfId="24768" xr:uid="{4B0B54C8-3EFB-47EC-BFCE-13E2D2E45797}"/>
    <cellStyle name="Note 2 4 3 2 3" xfId="12104" xr:uid="{9839268D-08DB-4DD6-9CA4-1C603273764F}"/>
    <cellStyle name="Note 2 4 3 2 4" xfId="20551" xr:uid="{AE93174B-566C-4222-9E94-FB13F1EB1079}"/>
    <cellStyle name="Note 2 4 3 3" xfId="5735" xr:uid="{00000000-0005-0000-0000-000023210000}"/>
    <cellStyle name="Note 2 4 3 3 2" xfId="14177" xr:uid="{9683AD29-93B2-4E7B-9586-38D591A77EE6}"/>
    <cellStyle name="Note 2 4 3 3 3" xfId="22623" xr:uid="{27434809-3AF0-4FDE-9D2A-D5C96AC19A1A}"/>
    <cellStyle name="Note 2 4 3 4" xfId="9959" xr:uid="{24A6912B-1399-4114-BC56-1296C934F665}"/>
    <cellStyle name="Note 2 4 3 5" xfId="18404" xr:uid="{BD9365DD-AB90-4549-B33E-35C9614052E6}"/>
    <cellStyle name="Note 2 4 4" xfId="1841" xr:uid="{00000000-0005-0000-0000-000024210000}"/>
    <cellStyle name="Note 2 4 4 2" xfId="4070" xr:uid="{00000000-0005-0000-0000-000025210000}"/>
    <cellStyle name="Note 2 4 4 2 2" xfId="8293" xr:uid="{00000000-0005-0000-0000-000026210000}"/>
    <cellStyle name="Note 2 4 4 2 2 2" xfId="16735" xr:uid="{4F1C7EFD-91FA-415A-AA0E-00303563325D}"/>
    <cellStyle name="Note 2 4 4 2 2 3" xfId="25181" xr:uid="{C526BC66-FA4E-4569-93A4-B93FE37C752D}"/>
    <cellStyle name="Note 2 4 4 2 3" xfId="12517" xr:uid="{EB8DBB0B-A072-441F-A3B7-C8D5A3DABDFE}"/>
    <cellStyle name="Note 2 4 4 2 4" xfId="20964" xr:uid="{7448FCBF-3BEE-4FB7-A4FB-7F9C5A7F9BAF}"/>
    <cellStyle name="Note 2 4 4 3" xfId="6148" xr:uid="{00000000-0005-0000-0000-000027210000}"/>
    <cellStyle name="Note 2 4 4 3 2" xfId="14590" xr:uid="{4912900D-E8BA-482B-8FFE-BC7930563BFB}"/>
    <cellStyle name="Note 2 4 4 3 3" xfId="23036" xr:uid="{842211C1-29CB-43FD-9A1E-8AE364C5D1BF}"/>
    <cellStyle name="Note 2 4 4 4" xfId="10372" xr:uid="{5E312FDF-F5F4-421B-97BC-4039DCF1C35B}"/>
    <cellStyle name="Note 2 4 4 5" xfId="18817" xr:uid="{A5499BB8-B4E4-4F09-B5B3-F7142912EA5E}"/>
    <cellStyle name="Note 2 4 5" xfId="2254" xr:uid="{00000000-0005-0000-0000-000028210000}"/>
    <cellStyle name="Note 2 4 5 2" xfId="4483" xr:uid="{00000000-0005-0000-0000-000029210000}"/>
    <cellStyle name="Note 2 4 5 2 2" xfId="8706" xr:uid="{00000000-0005-0000-0000-00002A210000}"/>
    <cellStyle name="Note 2 4 5 2 2 2" xfId="17148" xr:uid="{BA3D4539-73FC-431C-8449-2F2F31872810}"/>
    <cellStyle name="Note 2 4 5 2 2 3" xfId="25594" xr:uid="{F5ED0AD7-EDE7-48A0-A7F3-0A489B7401E0}"/>
    <cellStyle name="Note 2 4 5 2 3" xfId="12930" xr:uid="{A45D3A56-141F-4885-AAAC-47C5D5C2055C}"/>
    <cellStyle name="Note 2 4 5 2 4" xfId="21377" xr:uid="{4EECCF4E-E89A-4593-A1B8-BB8487BF8279}"/>
    <cellStyle name="Note 2 4 5 3" xfId="6561" xr:uid="{00000000-0005-0000-0000-00002B210000}"/>
    <cellStyle name="Note 2 4 5 3 2" xfId="15003" xr:uid="{2883F9E8-48D7-4ED9-8EA4-B254520C388D}"/>
    <cellStyle name="Note 2 4 5 3 3" xfId="23449" xr:uid="{1501F809-F701-41D1-A5B8-37CB2FEA117C}"/>
    <cellStyle name="Note 2 4 5 4" xfId="10785" xr:uid="{6DFAE171-4892-4988-986A-5726035C0E8E}"/>
    <cellStyle name="Note 2 4 5 5" xfId="19230" xr:uid="{A2F75B2E-4B11-4947-96FA-87FF98B51375}"/>
    <cellStyle name="Note 2 4 6" xfId="2690" xr:uid="{00000000-0005-0000-0000-00002C210000}"/>
    <cellStyle name="Note 2 4 6 2" xfId="6974" xr:uid="{00000000-0005-0000-0000-00002D210000}"/>
    <cellStyle name="Note 2 4 6 2 2" xfId="15416" xr:uid="{D92D42AA-EC06-4877-841A-B043EF042CC1}"/>
    <cellStyle name="Note 2 4 6 2 3" xfId="23862" xr:uid="{6ADA509D-21A6-4415-9D76-B0484753456B}"/>
    <cellStyle name="Note 2 4 6 3" xfId="11198" xr:uid="{2733E645-C417-44D3-9E45-667A1E21E0DD}"/>
    <cellStyle name="Note 2 4 6 4" xfId="19643" xr:uid="{74E7CD93-681E-43D8-A932-CFA708910855}"/>
    <cellStyle name="Note 2 4 7" xfId="2749" xr:uid="{00000000-0005-0000-0000-00002E210000}"/>
    <cellStyle name="Note 2 4 8" xfId="2830" xr:uid="{00000000-0005-0000-0000-00002F210000}"/>
    <cellStyle name="Note 2 4 8 2" xfId="7054" xr:uid="{00000000-0005-0000-0000-000030210000}"/>
    <cellStyle name="Note 2 4 8 2 2" xfId="15496" xr:uid="{AA83477C-04E3-4833-9FF1-870C28D09254}"/>
    <cellStyle name="Note 2 4 8 2 3" xfId="23942" xr:uid="{B52572A0-39DE-4DAA-8CE2-2D62006D5103}"/>
    <cellStyle name="Note 2 4 8 3" xfId="11278" xr:uid="{17B702A5-730E-4D0F-A65A-F908616B20D2}"/>
    <cellStyle name="Note 2 4 8 4" xfId="19725" xr:uid="{C6973BDA-15A2-4595-85F1-6C325FE5E765}"/>
    <cellStyle name="Note 2 4 9" xfId="4909" xr:uid="{00000000-0005-0000-0000-000031210000}"/>
    <cellStyle name="Note 2 4 9 2" xfId="13351" xr:uid="{B1014C30-FA05-43D7-8752-C8425DE35772}"/>
    <cellStyle name="Note 2 4 9 3" xfId="21797" xr:uid="{5E956DD5-7267-457D-9A95-E90CD677809A}"/>
    <cellStyle name="Note 2 5" xfId="552" xr:uid="{00000000-0005-0000-0000-000032210000}"/>
    <cellStyle name="Note 2 5 10" xfId="9134" xr:uid="{1B339DA1-673C-4AA5-9A3C-138B38F23921}"/>
    <cellStyle name="Note 2 5 11" xfId="17579" xr:uid="{6D83197D-D0D0-4A3B-85E3-1B4DF747681C}"/>
    <cellStyle name="Note 2 5 2" xfId="1013" xr:uid="{00000000-0005-0000-0000-000033210000}"/>
    <cellStyle name="Note 2 5 2 2" xfId="3245" xr:uid="{00000000-0005-0000-0000-000034210000}"/>
    <cellStyle name="Note 2 5 2 2 2" xfId="7468" xr:uid="{00000000-0005-0000-0000-000035210000}"/>
    <cellStyle name="Note 2 5 2 2 2 2" xfId="15910" xr:uid="{B6740DC4-A278-4714-B714-57B60178BCF7}"/>
    <cellStyle name="Note 2 5 2 2 2 3" xfId="24356" xr:uid="{28415C97-8FD8-4464-BC9D-88B5370A8113}"/>
    <cellStyle name="Note 2 5 2 2 3" xfId="11692" xr:uid="{DD055BE6-3191-41FC-9AF5-D055AFAC9151}"/>
    <cellStyle name="Note 2 5 2 2 4" xfId="20139" xr:uid="{C0A2CE52-D886-43C1-AC19-C54BB813DB62}"/>
    <cellStyle name="Note 2 5 2 3" xfId="5323" xr:uid="{00000000-0005-0000-0000-000036210000}"/>
    <cellStyle name="Note 2 5 2 3 2" xfId="13765" xr:uid="{62032EDA-714B-4165-B550-07C1580541FD}"/>
    <cellStyle name="Note 2 5 2 3 3" xfId="22211" xr:uid="{30DE9FCD-42A2-4D0E-9F44-2A6AE2F95D22}"/>
    <cellStyle name="Note 2 5 2 4" xfId="9547" xr:uid="{EA5F6BDF-1B86-47B9-9495-84F6D513E26C}"/>
    <cellStyle name="Note 2 5 2 5" xfId="17992" xr:uid="{7581F54F-D1CC-47E0-907F-7B49BEAD3C79}"/>
    <cellStyle name="Note 2 5 3" xfId="1428" xr:uid="{00000000-0005-0000-0000-000037210000}"/>
    <cellStyle name="Note 2 5 3 2" xfId="3658" xr:uid="{00000000-0005-0000-0000-000038210000}"/>
    <cellStyle name="Note 2 5 3 2 2" xfId="7881" xr:uid="{00000000-0005-0000-0000-000039210000}"/>
    <cellStyle name="Note 2 5 3 2 2 2" xfId="16323" xr:uid="{D8FF2918-2DE8-4A1E-9840-67549A5DB612}"/>
    <cellStyle name="Note 2 5 3 2 2 3" xfId="24769" xr:uid="{43B8AB64-AA7B-42F5-806F-A298732D29C5}"/>
    <cellStyle name="Note 2 5 3 2 3" xfId="12105" xr:uid="{E0A895FD-068F-4A71-8AC9-2260E58AC0C4}"/>
    <cellStyle name="Note 2 5 3 2 4" xfId="20552" xr:uid="{620F2004-89FC-43A8-B3D8-2B85C026D047}"/>
    <cellStyle name="Note 2 5 3 3" xfId="5736" xr:uid="{00000000-0005-0000-0000-00003A210000}"/>
    <cellStyle name="Note 2 5 3 3 2" xfId="14178" xr:uid="{676341C5-4EF2-4867-A477-2D16C7AAEB7C}"/>
    <cellStyle name="Note 2 5 3 3 3" xfId="22624" xr:uid="{E9BA5E7D-B68F-4C5C-B293-1241EBDE6890}"/>
    <cellStyle name="Note 2 5 3 4" xfId="9960" xr:uid="{D7B89507-B82C-47E4-8619-DBC757B415A5}"/>
    <cellStyle name="Note 2 5 3 5" xfId="18405" xr:uid="{6E707320-C7AC-4447-98C4-9F95568536C2}"/>
    <cellStyle name="Note 2 5 4" xfId="1842" xr:uid="{00000000-0005-0000-0000-00003B210000}"/>
    <cellStyle name="Note 2 5 4 2" xfId="4071" xr:uid="{00000000-0005-0000-0000-00003C210000}"/>
    <cellStyle name="Note 2 5 4 2 2" xfId="8294" xr:uid="{00000000-0005-0000-0000-00003D210000}"/>
    <cellStyle name="Note 2 5 4 2 2 2" xfId="16736" xr:uid="{2454F5A3-A486-456E-9741-AB6F156E5410}"/>
    <cellStyle name="Note 2 5 4 2 2 3" xfId="25182" xr:uid="{49A0C5AE-5C24-4486-99FE-0D5F00655AE5}"/>
    <cellStyle name="Note 2 5 4 2 3" xfId="12518" xr:uid="{966A8D0C-BAE8-463F-8271-D03F100EE9D7}"/>
    <cellStyle name="Note 2 5 4 2 4" xfId="20965" xr:uid="{11A75069-E861-4B9A-8535-C93D5AEC0FE5}"/>
    <cellStyle name="Note 2 5 4 3" xfId="6149" xr:uid="{00000000-0005-0000-0000-00003E210000}"/>
    <cellStyle name="Note 2 5 4 3 2" xfId="14591" xr:uid="{52BC9E95-A55D-4FB9-8D54-2018D5B6D28D}"/>
    <cellStyle name="Note 2 5 4 3 3" xfId="23037" xr:uid="{05FD4C91-F09F-4966-88CF-33E5566BDFA9}"/>
    <cellStyle name="Note 2 5 4 4" xfId="10373" xr:uid="{BCB5156E-4F8C-49F4-AE51-668B355F4C39}"/>
    <cellStyle name="Note 2 5 4 5" xfId="18818" xr:uid="{4368C49B-9729-4129-A891-291340787577}"/>
    <cellStyle name="Note 2 5 5" xfId="2255" xr:uid="{00000000-0005-0000-0000-00003F210000}"/>
    <cellStyle name="Note 2 5 5 2" xfId="4484" xr:uid="{00000000-0005-0000-0000-000040210000}"/>
    <cellStyle name="Note 2 5 5 2 2" xfId="8707" xr:uid="{00000000-0005-0000-0000-000041210000}"/>
    <cellStyle name="Note 2 5 5 2 2 2" xfId="17149" xr:uid="{6796D0B4-66ED-4863-9A1F-C6B144F88D6B}"/>
    <cellStyle name="Note 2 5 5 2 2 3" xfId="25595" xr:uid="{7CF2CBDC-020B-44BF-ACDC-CE876D24AC22}"/>
    <cellStyle name="Note 2 5 5 2 3" xfId="12931" xr:uid="{16762312-89A3-4CF3-B753-B19BCEE92F8C}"/>
    <cellStyle name="Note 2 5 5 2 4" xfId="21378" xr:uid="{55BB54F1-EEEF-4366-B409-B4F25506E91E}"/>
    <cellStyle name="Note 2 5 5 3" xfId="6562" xr:uid="{00000000-0005-0000-0000-000042210000}"/>
    <cellStyle name="Note 2 5 5 3 2" xfId="15004" xr:uid="{00FD4CF4-6430-4380-AA93-3DF34CDC6CF8}"/>
    <cellStyle name="Note 2 5 5 3 3" xfId="23450" xr:uid="{B86158FF-BB3E-4849-BE2E-EDCA35857A44}"/>
    <cellStyle name="Note 2 5 5 4" xfId="10786" xr:uid="{4A908D23-BF39-4717-B0B9-0200C5EC2398}"/>
    <cellStyle name="Note 2 5 5 5" xfId="19231" xr:uid="{0E0262D2-1A94-4988-985A-8BD25666337B}"/>
    <cellStyle name="Note 2 5 6" xfId="2691" xr:uid="{00000000-0005-0000-0000-000043210000}"/>
    <cellStyle name="Note 2 5 6 2" xfId="6975" xr:uid="{00000000-0005-0000-0000-000044210000}"/>
    <cellStyle name="Note 2 5 6 2 2" xfId="15417" xr:uid="{C8FAFE46-0D29-46F6-B648-FED8F8115B85}"/>
    <cellStyle name="Note 2 5 6 2 3" xfId="23863" xr:uid="{ACA921F4-FA6C-4E3B-BA21-DE993538C516}"/>
    <cellStyle name="Note 2 5 6 3" xfId="11199" xr:uid="{6541FB7A-A3FA-49DC-9A8D-874E746120B0}"/>
    <cellStyle name="Note 2 5 6 4" xfId="19644" xr:uid="{0C59F3E3-DFB5-4FE5-A4DA-FF720965AF9C}"/>
    <cellStyle name="Note 2 5 7" xfId="2750" xr:uid="{00000000-0005-0000-0000-000045210000}"/>
    <cellStyle name="Note 2 5 8" xfId="2831" xr:uid="{00000000-0005-0000-0000-000046210000}"/>
    <cellStyle name="Note 2 5 8 2" xfId="7055" xr:uid="{00000000-0005-0000-0000-000047210000}"/>
    <cellStyle name="Note 2 5 8 2 2" xfId="15497" xr:uid="{9B3879D7-7042-40DB-B59E-CB49EA4C81EF}"/>
    <cellStyle name="Note 2 5 8 2 3" xfId="23943" xr:uid="{46F03BC9-0B3A-48E9-8CF7-C6016BCD9217}"/>
    <cellStyle name="Note 2 5 8 3" xfId="11279" xr:uid="{65945EC9-13DD-4499-896B-10D30D94502B}"/>
    <cellStyle name="Note 2 5 8 4" xfId="19726" xr:uid="{E6C054CB-E9A6-450B-846D-0FEA0A7EEA95}"/>
    <cellStyle name="Note 2 5 9" xfId="4910" xr:uid="{00000000-0005-0000-0000-000048210000}"/>
    <cellStyle name="Note 2 5 9 2" xfId="13352" xr:uid="{20F94FF3-A185-49AC-8226-3FBBC8ECA94F}"/>
    <cellStyle name="Note 2 5 9 3" xfId="21798" xr:uid="{0E50C649-F37D-487B-9F57-E7D8A4A7432D}"/>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12DFE78A-4805-4D2D-BD26-CEEBCB4B069F}"/>
    <cellStyle name="Note 3 2 10 2 3" xfId="23944" xr:uid="{467F8F9D-448F-42F4-9F67-66153CD1F171}"/>
    <cellStyle name="Note 3 2 10 3" xfId="11280" xr:uid="{E5F6FDF8-5337-4B74-A691-8186CF969AF0}"/>
    <cellStyle name="Note 3 2 10 4" xfId="19727" xr:uid="{565A418C-0B21-40FF-A25A-3F814A228987}"/>
    <cellStyle name="Note 3 2 11" xfId="4911" xr:uid="{00000000-0005-0000-0000-00004D210000}"/>
    <cellStyle name="Note 3 2 11 2" xfId="13353" xr:uid="{C7042DFC-C469-4933-86D3-43D495782E99}"/>
    <cellStyle name="Note 3 2 11 3" xfId="21799" xr:uid="{6FA651D3-DFA7-4973-9B36-F12FE1A8AA91}"/>
    <cellStyle name="Note 3 2 12" xfId="9135" xr:uid="{C3616030-1AF1-40E8-85F2-64BAFEDEB934}"/>
    <cellStyle name="Note 3 2 13" xfId="17580" xr:uid="{94371DD0-1FD5-464C-A47F-B970C637BFB2}"/>
    <cellStyle name="Note 3 2 2" xfId="555" xr:uid="{00000000-0005-0000-0000-00004E210000}"/>
    <cellStyle name="Note 3 2 2 10" xfId="4912" xr:uid="{00000000-0005-0000-0000-00004F210000}"/>
    <cellStyle name="Note 3 2 2 10 2" xfId="13354" xr:uid="{578780FE-6429-4607-AC68-40DE05B3262D}"/>
    <cellStyle name="Note 3 2 2 10 3" xfId="21800" xr:uid="{229063FF-259F-4494-9B44-43C87DE24466}"/>
    <cellStyle name="Note 3 2 2 11" xfId="9136" xr:uid="{2E4E0E7C-EAD9-4DD4-8924-051E88B8A5AD}"/>
    <cellStyle name="Note 3 2 2 12" xfId="17581" xr:uid="{2079CB59-9AE3-492F-B66F-3576F5645D27}"/>
    <cellStyle name="Note 3 2 2 2" xfId="556" xr:uid="{00000000-0005-0000-0000-000050210000}"/>
    <cellStyle name="Note 3 2 2 2 10" xfId="9137" xr:uid="{4BE796E4-CBA2-4C10-A576-DDE0242E29E1}"/>
    <cellStyle name="Note 3 2 2 2 11" xfId="17582" xr:uid="{F15FCEDD-AC8B-44E7-8222-C7D48B21AB7D}"/>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E54AF4DC-53B8-4A8B-BE16-C1230F10B0C1}"/>
    <cellStyle name="Note 3 2 2 2 2 2 2 3" xfId="24359" xr:uid="{8B049A20-E400-438F-A5DA-E0D89C3F1F0E}"/>
    <cellStyle name="Note 3 2 2 2 2 2 3" xfId="11695" xr:uid="{C4F710EC-7AA1-42EF-8E5C-B0F8817B11E8}"/>
    <cellStyle name="Note 3 2 2 2 2 2 4" xfId="20142" xr:uid="{E2EFB970-1C87-40EA-BCDE-37D48707F5BB}"/>
    <cellStyle name="Note 3 2 2 2 2 3" xfId="5326" xr:uid="{00000000-0005-0000-0000-000054210000}"/>
    <cellStyle name="Note 3 2 2 2 2 3 2" xfId="13768" xr:uid="{17A799EF-927E-45A6-AFB3-ABC154D36885}"/>
    <cellStyle name="Note 3 2 2 2 2 3 3" xfId="22214" xr:uid="{A202B61C-9593-4117-A929-14C3D4CDE7E8}"/>
    <cellStyle name="Note 3 2 2 2 2 4" xfId="9550" xr:uid="{DC69F54A-6C9F-4990-854B-FA625B87A52A}"/>
    <cellStyle name="Note 3 2 2 2 2 5" xfId="17995" xr:uid="{10988428-C325-4351-841A-3AE3AB50AF91}"/>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FA40500C-D564-4846-9D68-17FCDA87987E}"/>
    <cellStyle name="Note 3 2 2 2 3 2 2 3" xfId="24772" xr:uid="{9DE783BC-22D0-45ED-9D20-4B5F2E27E566}"/>
    <cellStyle name="Note 3 2 2 2 3 2 3" xfId="12108" xr:uid="{2F0DC0AC-F04B-43CF-A01E-8F931EC76EC6}"/>
    <cellStyle name="Note 3 2 2 2 3 2 4" xfId="20555" xr:uid="{3D9786E8-2EA6-4CE3-B3C4-2ED24B859BB0}"/>
    <cellStyle name="Note 3 2 2 2 3 3" xfId="5739" xr:uid="{00000000-0005-0000-0000-000058210000}"/>
    <cellStyle name="Note 3 2 2 2 3 3 2" xfId="14181" xr:uid="{74AD364A-B34C-4FC2-BB85-8DCB5F47EBC4}"/>
    <cellStyle name="Note 3 2 2 2 3 3 3" xfId="22627" xr:uid="{56AE708B-9D10-4D70-A1EE-3AF299ECF138}"/>
    <cellStyle name="Note 3 2 2 2 3 4" xfId="9963" xr:uid="{D6A7D031-2DB9-4766-A989-070D860178E5}"/>
    <cellStyle name="Note 3 2 2 2 3 5" xfId="18408" xr:uid="{15EB34C8-1C82-4631-B30D-B1C0BA0CA890}"/>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4BEF365C-9CBC-4BA7-BD7F-4EFDC5C8933D}"/>
    <cellStyle name="Note 3 2 2 2 4 2 2 3" xfId="25185" xr:uid="{FD2FC907-E910-4484-9467-66A740D9766C}"/>
    <cellStyle name="Note 3 2 2 2 4 2 3" xfId="12521" xr:uid="{CE3B1B00-C0ED-4C34-BB6A-83299BE4535F}"/>
    <cellStyle name="Note 3 2 2 2 4 2 4" xfId="20968" xr:uid="{C9722375-8A71-4E99-B514-097A52918B88}"/>
    <cellStyle name="Note 3 2 2 2 4 3" xfId="6152" xr:uid="{00000000-0005-0000-0000-00005C210000}"/>
    <cellStyle name="Note 3 2 2 2 4 3 2" xfId="14594" xr:uid="{821BEEB3-4C34-4EA8-B105-4C880BAF8B90}"/>
    <cellStyle name="Note 3 2 2 2 4 3 3" xfId="23040" xr:uid="{89A4015C-6137-4588-AEC8-9AF2B93D4EAF}"/>
    <cellStyle name="Note 3 2 2 2 4 4" xfId="10376" xr:uid="{83434180-6D30-459A-A7A2-E7A8007EF9A0}"/>
    <cellStyle name="Note 3 2 2 2 4 5" xfId="18821" xr:uid="{0CC16096-E491-4EF4-8003-90A0A9433DC4}"/>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C648FA81-81C4-4A73-8C8B-AEFFB3803E50}"/>
    <cellStyle name="Note 3 2 2 2 5 2 2 3" xfId="25598" xr:uid="{943FCA0F-4C36-4F05-BB8B-3C719611393B}"/>
    <cellStyle name="Note 3 2 2 2 5 2 3" xfId="12934" xr:uid="{48907FF2-5922-4EE6-A9AA-74818357D452}"/>
    <cellStyle name="Note 3 2 2 2 5 2 4" xfId="21381" xr:uid="{78E798CD-C537-48FC-8AFA-FB262975B59E}"/>
    <cellStyle name="Note 3 2 2 2 5 3" xfId="6565" xr:uid="{00000000-0005-0000-0000-000060210000}"/>
    <cellStyle name="Note 3 2 2 2 5 3 2" xfId="15007" xr:uid="{0CA542D7-D78C-42DC-91D5-C86A893AA472}"/>
    <cellStyle name="Note 3 2 2 2 5 3 3" xfId="23453" xr:uid="{9A2AA958-46B9-4781-8223-8DA087C42ED6}"/>
    <cellStyle name="Note 3 2 2 2 5 4" xfId="10789" xr:uid="{EA19A249-7498-4C25-94A9-BF016B19671A}"/>
    <cellStyle name="Note 3 2 2 2 5 5" xfId="19234" xr:uid="{F7A27B9E-C3B5-448D-B9EA-380E2D62A966}"/>
    <cellStyle name="Note 3 2 2 2 6" xfId="2694" xr:uid="{00000000-0005-0000-0000-000061210000}"/>
    <cellStyle name="Note 3 2 2 2 6 2" xfId="6978" xr:uid="{00000000-0005-0000-0000-000062210000}"/>
    <cellStyle name="Note 3 2 2 2 6 2 2" xfId="15420" xr:uid="{2B6EE464-7448-455E-A1A7-55BB5D5A4BA7}"/>
    <cellStyle name="Note 3 2 2 2 6 2 3" xfId="23866" xr:uid="{DA85D090-C82B-4B80-A2DA-706CA01A49A2}"/>
    <cellStyle name="Note 3 2 2 2 6 3" xfId="11202" xr:uid="{49457458-C70D-4F3B-97F9-DDB83A3D71CF}"/>
    <cellStyle name="Note 3 2 2 2 6 4" xfId="19647" xr:uid="{074C71F1-FB7B-49CF-96CA-86AD0A7F05FD}"/>
    <cellStyle name="Note 3 2 2 2 7" xfId="2753" xr:uid="{00000000-0005-0000-0000-000063210000}"/>
    <cellStyle name="Note 3 2 2 2 8" xfId="2834" xr:uid="{00000000-0005-0000-0000-000064210000}"/>
    <cellStyle name="Note 3 2 2 2 8 2" xfId="7058" xr:uid="{00000000-0005-0000-0000-000065210000}"/>
    <cellStyle name="Note 3 2 2 2 8 2 2" xfId="15500" xr:uid="{3B52615F-E7AC-4DEE-BA44-83478215CA15}"/>
    <cellStyle name="Note 3 2 2 2 8 2 3" xfId="23946" xr:uid="{F2B469BD-9BF7-42AC-A9C6-8F54499A0A59}"/>
    <cellStyle name="Note 3 2 2 2 8 3" xfId="11282" xr:uid="{33B2E84D-19E8-4428-99B4-FDFFADC6B67B}"/>
    <cellStyle name="Note 3 2 2 2 8 4" xfId="19729" xr:uid="{9D060418-5561-4387-B26F-E0F5C3C32C9C}"/>
    <cellStyle name="Note 3 2 2 2 9" xfId="4913" xr:uid="{00000000-0005-0000-0000-000066210000}"/>
    <cellStyle name="Note 3 2 2 2 9 2" xfId="13355" xr:uid="{C1AA6807-6549-47DA-A663-4BCAB9588166}"/>
    <cellStyle name="Note 3 2 2 2 9 3" xfId="21801" xr:uid="{CD50167F-50A2-484F-8FED-4BF26AE1963E}"/>
    <cellStyle name="Note 3 2 2 3" xfId="1015" xr:uid="{00000000-0005-0000-0000-000067210000}"/>
    <cellStyle name="Note 3 2 2 3 2" xfId="3247" xr:uid="{00000000-0005-0000-0000-000068210000}"/>
    <cellStyle name="Note 3 2 2 3 2 2" xfId="7470" xr:uid="{00000000-0005-0000-0000-000069210000}"/>
    <cellStyle name="Note 3 2 2 3 2 2 2" xfId="15912" xr:uid="{A7E0C3B2-9CC4-4F16-8BE9-CEA1C682E587}"/>
    <cellStyle name="Note 3 2 2 3 2 2 3" xfId="24358" xr:uid="{B85713F5-5DC9-4AAF-8E84-96C7675B04EC}"/>
    <cellStyle name="Note 3 2 2 3 2 3" xfId="11694" xr:uid="{9088BD7C-0A8E-4B00-AA52-87E93B4DFD72}"/>
    <cellStyle name="Note 3 2 2 3 2 4" xfId="20141" xr:uid="{100016B7-6D2F-45FA-A9A8-1DB62F206B8C}"/>
    <cellStyle name="Note 3 2 2 3 3" xfId="5325" xr:uid="{00000000-0005-0000-0000-00006A210000}"/>
    <cellStyle name="Note 3 2 2 3 3 2" xfId="13767" xr:uid="{70DEEF52-97C9-4BD4-B288-046B970776E0}"/>
    <cellStyle name="Note 3 2 2 3 3 3" xfId="22213" xr:uid="{DD1FCE34-D3B8-401C-9A88-975C04E3F065}"/>
    <cellStyle name="Note 3 2 2 3 4" xfId="9549" xr:uid="{7F51721D-7C8D-48F8-9393-3422D841BD0B}"/>
    <cellStyle name="Note 3 2 2 3 5" xfId="17994" xr:uid="{E482B285-C380-4EA7-8A31-EE7B6EB78BE0}"/>
    <cellStyle name="Note 3 2 2 4" xfId="1430" xr:uid="{00000000-0005-0000-0000-00006B210000}"/>
    <cellStyle name="Note 3 2 2 4 2" xfId="3660" xr:uid="{00000000-0005-0000-0000-00006C210000}"/>
    <cellStyle name="Note 3 2 2 4 2 2" xfId="7883" xr:uid="{00000000-0005-0000-0000-00006D210000}"/>
    <cellStyle name="Note 3 2 2 4 2 2 2" xfId="16325" xr:uid="{5B2A8C57-2E04-4965-9008-D1AC1A2FB2D6}"/>
    <cellStyle name="Note 3 2 2 4 2 2 3" xfId="24771" xr:uid="{685738CD-273E-4DE3-ABD7-FF297778CE42}"/>
    <cellStyle name="Note 3 2 2 4 2 3" xfId="12107" xr:uid="{D6A2E258-86A2-485C-9DCB-50D2EA136CAE}"/>
    <cellStyle name="Note 3 2 2 4 2 4" xfId="20554" xr:uid="{05613B22-489F-4CDA-8AFD-E1256F12B293}"/>
    <cellStyle name="Note 3 2 2 4 3" xfId="5738" xr:uid="{00000000-0005-0000-0000-00006E210000}"/>
    <cellStyle name="Note 3 2 2 4 3 2" xfId="14180" xr:uid="{6400FE17-5300-46B6-83EA-AF9FDC9D3DAB}"/>
    <cellStyle name="Note 3 2 2 4 3 3" xfId="22626" xr:uid="{509B0567-EC97-41BF-9700-CBF888228292}"/>
    <cellStyle name="Note 3 2 2 4 4" xfId="9962" xr:uid="{994E53F3-9D0E-47C1-BC69-A277CA1D1C68}"/>
    <cellStyle name="Note 3 2 2 4 5" xfId="18407" xr:uid="{90CDAA67-6189-49E8-8970-B183DEBCB547}"/>
    <cellStyle name="Note 3 2 2 5" xfId="1844" xr:uid="{00000000-0005-0000-0000-00006F210000}"/>
    <cellStyle name="Note 3 2 2 5 2" xfId="4073" xr:uid="{00000000-0005-0000-0000-000070210000}"/>
    <cellStyle name="Note 3 2 2 5 2 2" xfId="8296" xr:uid="{00000000-0005-0000-0000-000071210000}"/>
    <cellStyle name="Note 3 2 2 5 2 2 2" xfId="16738" xr:uid="{094A72EB-12DA-4835-9CB4-5A40BF944BA4}"/>
    <cellStyle name="Note 3 2 2 5 2 2 3" xfId="25184" xr:uid="{D9555718-F3ED-4FE3-973B-2A2F5DDC04B6}"/>
    <cellStyle name="Note 3 2 2 5 2 3" xfId="12520" xr:uid="{36BDE191-B9FE-49E7-9E01-5205652852CC}"/>
    <cellStyle name="Note 3 2 2 5 2 4" xfId="20967" xr:uid="{65C6010E-3E30-4838-A27D-1F580B115CC5}"/>
    <cellStyle name="Note 3 2 2 5 3" xfId="6151" xr:uid="{00000000-0005-0000-0000-000072210000}"/>
    <cellStyle name="Note 3 2 2 5 3 2" xfId="14593" xr:uid="{FC33D9C1-1630-443D-BC8F-A10FBB3B903A}"/>
    <cellStyle name="Note 3 2 2 5 3 3" xfId="23039" xr:uid="{F24C68A7-E867-4EDC-AB90-95212FAC2C6E}"/>
    <cellStyle name="Note 3 2 2 5 4" xfId="10375" xr:uid="{3F0063C7-192D-43DF-8BE5-277BE6F6C4A4}"/>
    <cellStyle name="Note 3 2 2 5 5" xfId="18820" xr:uid="{81D8E0C4-E314-4DE2-8ED5-3CD2198148F8}"/>
    <cellStyle name="Note 3 2 2 6" xfId="2257" xr:uid="{00000000-0005-0000-0000-000073210000}"/>
    <cellStyle name="Note 3 2 2 6 2" xfId="4486" xr:uid="{00000000-0005-0000-0000-000074210000}"/>
    <cellStyle name="Note 3 2 2 6 2 2" xfId="8709" xr:uid="{00000000-0005-0000-0000-000075210000}"/>
    <cellStyle name="Note 3 2 2 6 2 2 2" xfId="17151" xr:uid="{3C2955FE-C44D-4098-B5B9-6DEF917BB871}"/>
    <cellStyle name="Note 3 2 2 6 2 2 3" xfId="25597" xr:uid="{9F6F9A27-1500-4EF6-93F0-B0426FE746D1}"/>
    <cellStyle name="Note 3 2 2 6 2 3" xfId="12933" xr:uid="{BD1F37B7-0636-4003-BB29-03F4EE75E80B}"/>
    <cellStyle name="Note 3 2 2 6 2 4" xfId="21380" xr:uid="{7637E4D3-64D1-4F13-881B-0157C7736427}"/>
    <cellStyle name="Note 3 2 2 6 3" xfId="6564" xr:uid="{00000000-0005-0000-0000-000076210000}"/>
    <cellStyle name="Note 3 2 2 6 3 2" xfId="15006" xr:uid="{5971C468-9DF4-4C15-944E-1CCC5EDBF911}"/>
    <cellStyle name="Note 3 2 2 6 3 3" xfId="23452" xr:uid="{4959D1E3-040B-41BD-8336-D15EB42DFB03}"/>
    <cellStyle name="Note 3 2 2 6 4" xfId="10788" xr:uid="{3C06C746-7796-49A7-8F87-E3407EAC2608}"/>
    <cellStyle name="Note 3 2 2 6 5" xfId="19233" xr:uid="{05B61477-03DE-4CF8-94DF-3017142138C4}"/>
    <cellStyle name="Note 3 2 2 7" xfId="2693" xr:uid="{00000000-0005-0000-0000-000077210000}"/>
    <cellStyle name="Note 3 2 2 7 2" xfId="6977" xr:uid="{00000000-0005-0000-0000-000078210000}"/>
    <cellStyle name="Note 3 2 2 7 2 2" xfId="15419" xr:uid="{08D75DE9-875A-438B-927C-14A0075B9226}"/>
    <cellStyle name="Note 3 2 2 7 2 3" xfId="23865" xr:uid="{68E0D726-428D-430B-86B2-9DF3829AFCCA}"/>
    <cellStyle name="Note 3 2 2 7 3" xfId="11201" xr:uid="{C67B0205-B3D7-44FD-A4BC-72D9E698B3C0}"/>
    <cellStyle name="Note 3 2 2 7 4" xfId="19646" xr:uid="{E2C6DC6B-AAA2-45DD-98D5-044BE6D6567F}"/>
    <cellStyle name="Note 3 2 2 8" xfId="2752" xr:uid="{00000000-0005-0000-0000-000079210000}"/>
    <cellStyle name="Note 3 2 2 9" xfId="2833" xr:uid="{00000000-0005-0000-0000-00007A210000}"/>
    <cellStyle name="Note 3 2 2 9 2" xfId="7057" xr:uid="{00000000-0005-0000-0000-00007B210000}"/>
    <cellStyle name="Note 3 2 2 9 2 2" xfId="15499" xr:uid="{918855F9-E9A9-466B-8D24-3F781DD5FB8D}"/>
    <cellStyle name="Note 3 2 2 9 2 3" xfId="23945" xr:uid="{A59A3DA8-51EE-434B-81AD-39C42D3FE4AD}"/>
    <cellStyle name="Note 3 2 2 9 3" xfId="11281" xr:uid="{DCC3F598-F43D-4E38-B12B-FCDD04F93CD7}"/>
    <cellStyle name="Note 3 2 2 9 4" xfId="19728" xr:uid="{8EE3C32E-9015-4448-AEE5-EFA1E7E3CD9C}"/>
    <cellStyle name="Note 3 2 3" xfId="557" xr:uid="{00000000-0005-0000-0000-00007C210000}"/>
    <cellStyle name="Note 3 2 3 10" xfId="9138" xr:uid="{DCD2EFA8-31F8-4EDA-B5CC-9118A414B576}"/>
    <cellStyle name="Note 3 2 3 11" xfId="17583" xr:uid="{0AA5D651-AA25-412C-A7C3-CA75C55B8346}"/>
    <cellStyle name="Note 3 2 3 2" xfId="1017" xr:uid="{00000000-0005-0000-0000-00007D210000}"/>
    <cellStyle name="Note 3 2 3 2 2" xfId="3249" xr:uid="{00000000-0005-0000-0000-00007E210000}"/>
    <cellStyle name="Note 3 2 3 2 2 2" xfId="7472" xr:uid="{00000000-0005-0000-0000-00007F210000}"/>
    <cellStyle name="Note 3 2 3 2 2 2 2" xfId="15914" xr:uid="{901915BF-ABDF-4196-9390-C65DA42881DE}"/>
    <cellStyle name="Note 3 2 3 2 2 2 3" xfId="24360" xr:uid="{36DEB7E5-2B31-405C-8C31-3249BD28F0E8}"/>
    <cellStyle name="Note 3 2 3 2 2 3" xfId="11696" xr:uid="{A3323460-7FAB-4B77-8264-59CF1836D72C}"/>
    <cellStyle name="Note 3 2 3 2 2 4" xfId="20143" xr:uid="{F5EFA2BC-6716-45F9-8FD5-015567E6F88E}"/>
    <cellStyle name="Note 3 2 3 2 3" xfId="5327" xr:uid="{00000000-0005-0000-0000-000080210000}"/>
    <cellStyle name="Note 3 2 3 2 3 2" xfId="13769" xr:uid="{D55EF2CC-AA79-4C35-8E24-50BC8E734861}"/>
    <cellStyle name="Note 3 2 3 2 3 3" xfId="22215" xr:uid="{F627926B-D8BB-4CE8-89D1-474D87C2824E}"/>
    <cellStyle name="Note 3 2 3 2 4" xfId="9551" xr:uid="{57542B73-677B-48A7-BE2F-D55DEB8609BA}"/>
    <cellStyle name="Note 3 2 3 2 5" xfId="17996" xr:uid="{0A79A198-620D-428E-ACB8-EB68084D512B}"/>
    <cellStyle name="Note 3 2 3 3" xfId="1432" xr:uid="{00000000-0005-0000-0000-000081210000}"/>
    <cellStyle name="Note 3 2 3 3 2" xfId="3662" xr:uid="{00000000-0005-0000-0000-000082210000}"/>
    <cellStyle name="Note 3 2 3 3 2 2" xfId="7885" xr:uid="{00000000-0005-0000-0000-000083210000}"/>
    <cellStyle name="Note 3 2 3 3 2 2 2" xfId="16327" xr:uid="{1C7D11F4-308B-4AC8-B65C-4591A8DDBAE3}"/>
    <cellStyle name="Note 3 2 3 3 2 2 3" xfId="24773" xr:uid="{80B26774-CCFF-4D92-9E17-53B7257C7770}"/>
    <cellStyle name="Note 3 2 3 3 2 3" xfId="12109" xr:uid="{BB04D550-65AA-463F-97BB-9569352B9338}"/>
    <cellStyle name="Note 3 2 3 3 2 4" xfId="20556" xr:uid="{4BF63D49-8E2F-4044-B362-01F2AB5323AB}"/>
    <cellStyle name="Note 3 2 3 3 3" xfId="5740" xr:uid="{00000000-0005-0000-0000-000084210000}"/>
    <cellStyle name="Note 3 2 3 3 3 2" xfId="14182" xr:uid="{1D14B242-D400-439F-95F8-7F7946FD13F4}"/>
    <cellStyle name="Note 3 2 3 3 3 3" xfId="22628" xr:uid="{6CFDD159-888B-4F40-9D1E-30FABB53D0CF}"/>
    <cellStyle name="Note 3 2 3 3 4" xfId="9964" xr:uid="{398C4326-E7F5-4C31-A810-A666675A3DA2}"/>
    <cellStyle name="Note 3 2 3 3 5" xfId="18409" xr:uid="{D4B40EC7-F99D-4580-90C7-8BA2D97961B2}"/>
    <cellStyle name="Note 3 2 3 4" xfId="1846" xr:uid="{00000000-0005-0000-0000-000085210000}"/>
    <cellStyle name="Note 3 2 3 4 2" xfId="4075" xr:uid="{00000000-0005-0000-0000-000086210000}"/>
    <cellStyle name="Note 3 2 3 4 2 2" xfId="8298" xr:uid="{00000000-0005-0000-0000-000087210000}"/>
    <cellStyle name="Note 3 2 3 4 2 2 2" xfId="16740" xr:uid="{264AA12E-476D-430F-893F-401CC0462AC8}"/>
    <cellStyle name="Note 3 2 3 4 2 2 3" xfId="25186" xr:uid="{F3B7EF0C-0194-4B03-98F3-C75A5EFBDF35}"/>
    <cellStyle name="Note 3 2 3 4 2 3" xfId="12522" xr:uid="{6C876DCC-F2FC-4135-A82D-009F18036667}"/>
    <cellStyle name="Note 3 2 3 4 2 4" xfId="20969" xr:uid="{0D0D1CC5-762C-448B-B7A7-AE51D9B173DA}"/>
    <cellStyle name="Note 3 2 3 4 3" xfId="6153" xr:uid="{00000000-0005-0000-0000-000088210000}"/>
    <cellStyle name="Note 3 2 3 4 3 2" xfId="14595" xr:uid="{1BF5E13E-FC00-40A9-85C7-60E8E7439E41}"/>
    <cellStyle name="Note 3 2 3 4 3 3" xfId="23041" xr:uid="{26254237-2AE0-4A03-8F85-3444AA957D39}"/>
    <cellStyle name="Note 3 2 3 4 4" xfId="10377" xr:uid="{B7BF6A22-3E16-4962-9D5B-A641A72326E2}"/>
    <cellStyle name="Note 3 2 3 4 5" xfId="18822" xr:uid="{498619B6-98DB-4689-B480-4919130ADB32}"/>
    <cellStyle name="Note 3 2 3 5" xfId="2259" xr:uid="{00000000-0005-0000-0000-000089210000}"/>
    <cellStyle name="Note 3 2 3 5 2" xfId="4488" xr:uid="{00000000-0005-0000-0000-00008A210000}"/>
    <cellStyle name="Note 3 2 3 5 2 2" xfId="8711" xr:uid="{00000000-0005-0000-0000-00008B210000}"/>
    <cellStyle name="Note 3 2 3 5 2 2 2" xfId="17153" xr:uid="{48BEFCF4-3FBC-4D43-98E7-3AD570398689}"/>
    <cellStyle name="Note 3 2 3 5 2 2 3" xfId="25599" xr:uid="{5BC8C50E-BCFF-4049-9D1F-562D753E64C7}"/>
    <cellStyle name="Note 3 2 3 5 2 3" xfId="12935" xr:uid="{3A64A191-F6C3-4D3D-8B10-B11A06389227}"/>
    <cellStyle name="Note 3 2 3 5 2 4" xfId="21382" xr:uid="{35C86500-198A-4BB8-8A0E-986B024FCF25}"/>
    <cellStyle name="Note 3 2 3 5 3" xfId="6566" xr:uid="{00000000-0005-0000-0000-00008C210000}"/>
    <cellStyle name="Note 3 2 3 5 3 2" xfId="15008" xr:uid="{CE40EFB6-C620-4170-A258-475FF570333B}"/>
    <cellStyle name="Note 3 2 3 5 3 3" xfId="23454" xr:uid="{99B8912D-F651-4C93-8E06-AB9724A0D998}"/>
    <cellStyle name="Note 3 2 3 5 4" xfId="10790" xr:uid="{9A7196E1-CB21-49B1-B28B-027FF44B04D0}"/>
    <cellStyle name="Note 3 2 3 5 5" xfId="19235" xr:uid="{3E735697-FEB5-4937-8F84-F45554E246EE}"/>
    <cellStyle name="Note 3 2 3 6" xfId="2695" xr:uid="{00000000-0005-0000-0000-00008D210000}"/>
    <cellStyle name="Note 3 2 3 6 2" xfId="6979" xr:uid="{00000000-0005-0000-0000-00008E210000}"/>
    <cellStyle name="Note 3 2 3 6 2 2" xfId="15421" xr:uid="{8B63B5C6-D99B-4C17-AAFC-99290E8B1E40}"/>
    <cellStyle name="Note 3 2 3 6 2 3" xfId="23867" xr:uid="{327F733D-5A4F-458A-B5B2-D85FE3079200}"/>
    <cellStyle name="Note 3 2 3 6 3" xfId="11203" xr:uid="{628E19DE-BF69-411A-90F5-FCE053CE1C79}"/>
    <cellStyle name="Note 3 2 3 6 4" xfId="19648" xr:uid="{AAF6A083-B65B-4030-A537-DAD09B7192E3}"/>
    <cellStyle name="Note 3 2 3 7" xfId="2754" xr:uid="{00000000-0005-0000-0000-00008F210000}"/>
    <cellStyle name="Note 3 2 3 8" xfId="2835" xr:uid="{00000000-0005-0000-0000-000090210000}"/>
    <cellStyle name="Note 3 2 3 8 2" xfId="7059" xr:uid="{00000000-0005-0000-0000-000091210000}"/>
    <cellStyle name="Note 3 2 3 8 2 2" xfId="15501" xr:uid="{A4861662-94C7-4302-8150-D04FCC840BFD}"/>
    <cellStyle name="Note 3 2 3 8 2 3" xfId="23947" xr:uid="{554AC8F0-4B8E-4B77-BB69-6B1A713B2BF7}"/>
    <cellStyle name="Note 3 2 3 8 3" xfId="11283" xr:uid="{B97118B7-7E56-4D8C-BE5F-BF3518A2B533}"/>
    <cellStyle name="Note 3 2 3 8 4" xfId="19730" xr:uid="{11B4B565-B0B4-4CB8-8F71-ECE03B9D7F1F}"/>
    <cellStyle name="Note 3 2 3 9" xfId="4914" xr:uid="{00000000-0005-0000-0000-000092210000}"/>
    <cellStyle name="Note 3 2 3 9 2" xfId="13356" xr:uid="{B2A345C3-03D6-4D4B-835F-A9E986540535}"/>
    <cellStyle name="Note 3 2 3 9 3" xfId="21802" xr:uid="{9AB47CD7-B6AB-4150-991B-75EAF31958AA}"/>
    <cellStyle name="Note 3 2 4" xfId="1014" xr:uid="{00000000-0005-0000-0000-000093210000}"/>
    <cellStyle name="Note 3 2 4 2" xfId="3246" xr:uid="{00000000-0005-0000-0000-000094210000}"/>
    <cellStyle name="Note 3 2 4 2 2" xfId="7469" xr:uid="{00000000-0005-0000-0000-000095210000}"/>
    <cellStyle name="Note 3 2 4 2 2 2" xfId="15911" xr:uid="{06FA2027-6E4B-4AAF-A7DB-E4919E56144D}"/>
    <cellStyle name="Note 3 2 4 2 2 3" xfId="24357" xr:uid="{D27ABA95-7911-4951-9532-94126FA74E73}"/>
    <cellStyle name="Note 3 2 4 2 3" xfId="11693" xr:uid="{5457D64C-A1A4-409C-BF7D-7A1CE117A764}"/>
    <cellStyle name="Note 3 2 4 2 4" xfId="20140" xr:uid="{3403DF11-A88A-48B6-9C2D-14C010849752}"/>
    <cellStyle name="Note 3 2 4 3" xfId="5324" xr:uid="{00000000-0005-0000-0000-000096210000}"/>
    <cellStyle name="Note 3 2 4 3 2" xfId="13766" xr:uid="{97B7255E-DBD7-426F-B7B0-B660D769BAFE}"/>
    <cellStyle name="Note 3 2 4 3 3" xfId="22212" xr:uid="{B03B72F4-914E-4706-81C5-A24DE6B91196}"/>
    <cellStyle name="Note 3 2 4 4" xfId="9548" xr:uid="{56ABC2B8-E6A7-49F1-A7E8-A01C38657112}"/>
    <cellStyle name="Note 3 2 4 5" xfId="17993" xr:uid="{534C7D02-8116-4A74-9F74-EF9256B0C2C3}"/>
    <cellStyle name="Note 3 2 5" xfId="1429" xr:uid="{00000000-0005-0000-0000-000097210000}"/>
    <cellStyle name="Note 3 2 5 2" xfId="3659" xr:uid="{00000000-0005-0000-0000-000098210000}"/>
    <cellStyle name="Note 3 2 5 2 2" xfId="7882" xr:uid="{00000000-0005-0000-0000-000099210000}"/>
    <cellStyle name="Note 3 2 5 2 2 2" xfId="16324" xr:uid="{4B36F2EB-CD48-438C-8945-A8F7A024FF69}"/>
    <cellStyle name="Note 3 2 5 2 2 3" xfId="24770" xr:uid="{D27D49A8-0871-4732-B115-4ED07DB51283}"/>
    <cellStyle name="Note 3 2 5 2 3" xfId="12106" xr:uid="{463F4141-CB6A-4441-81FA-46ECD43C215A}"/>
    <cellStyle name="Note 3 2 5 2 4" xfId="20553" xr:uid="{EAB397F0-4C19-45E4-8771-AA46BDB950F4}"/>
    <cellStyle name="Note 3 2 5 3" xfId="5737" xr:uid="{00000000-0005-0000-0000-00009A210000}"/>
    <cellStyle name="Note 3 2 5 3 2" xfId="14179" xr:uid="{71B69412-A376-4BAF-99DD-A02D0D3B3114}"/>
    <cellStyle name="Note 3 2 5 3 3" xfId="22625" xr:uid="{E8558598-23F5-4A1A-ADA6-40C6967E308D}"/>
    <cellStyle name="Note 3 2 5 4" xfId="9961" xr:uid="{C426B08B-7CA3-49B2-8B1B-9EE3380120BC}"/>
    <cellStyle name="Note 3 2 5 5" xfId="18406" xr:uid="{CE1B5F42-026D-42E3-9405-DCBFE72261CA}"/>
    <cellStyle name="Note 3 2 6" xfId="1843" xr:uid="{00000000-0005-0000-0000-00009B210000}"/>
    <cellStyle name="Note 3 2 6 2" xfId="4072" xr:uid="{00000000-0005-0000-0000-00009C210000}"/>
    <cellStyle name="Note 3 2 6 2 2" xfId="8295" xr:uid="{00000000-0005-0000-0000-00009D210000}"/>
    <cellStyle name="Note 3 2 6 2 2 2" xfId="16737" xr:uid="{F39775B9-6696-49BC-954A-7C2329FDB329}"/>
    <cellStyle name="Note 3 2 6 2 2 3" xfId="25183" xr:uid="{607C8372-BCDC-4FB9-8C39-09665F98C37E}"/>
    <cellStyle name="Note 3 2 6 2 3" xfId="12519" xr:uid="{80B89EE6-EE1C-4A71-8754-7D7A5051BDEF}"/>
    <cellStyle name="Note 3 2 6 2 4" xfId="20966" xr:uid="{3D9C60A1-5D7B-40E1-BF61-0B8ECD6E1983}"/>
    <cellStyle name="Note 3 2 6 3" xfId="6150" xr:uid="{00000000-0005-0000-0000-00009E210000}"/>
    <cellStyle name="Note 3 2 6 3 2" xfId="14592" xr:uid="{23987C66-B814-4F20-8883-4B61DBDD94B2}"/>
    <cellStyle name="Note 3 2 6 3 3" xfId="23038" xr:uid="{92A993F4-ED00-4A25-B380-BF13DFF756DA}"/>
    <cellStyle name="Note 3 2 6 4" xfId="10374" xr:uid="{C2A87739-0D78-4C8C-AF49-E16B9A49EBA8}"/>
    <cellStyle name="Note 3 2 6 5" xfId="18819" xr:uid="{A08FF21A-0C1D-42AB-B216-CF826F83EC49}"/>
    <cellStyle name="Note 3 2 7" xfId="2256" xr:uid="{00000000-0005-0000-0000-00009F210000}"/>
    <cellStyle name="Note 3 2 7 2" xfId="4485" xr:uid="{00000000-0005-0000-0000-0000A0210000}"/>
    <cellStyle name="Note 3 2 7 2 2" xfId="8708" xr:uid="{00000000-0005-0000-0000-0000A1210000}"/>
    <cellStyle name="Note 3 2 7 2 2 2" xfId="17150" xr:uid="{27EFB208-D88E-4E5C-AA0F-69B72C0D409C}"/>
    <cellStyle name="Note 3 2 7 2 2 3" xfId="25596" xr:uid="{93A0E75D-2303-4FA3-8062-78A6D7E0539C}"/>
    <cellStyle name="Note 3 2 7 2 3" xfId="12932" xr:uid="{94EECA25-8F07-46C2-BAD7-AB21F73BF69F}"/>
    <cellStyle name="Note 3 2 7 2 4" xfId="21379" xr:uid="{909EAEB5-3C77-47DD-BDAF-7DE7A159BBA4}"/>
    <cellStyle name="Note 3 2 7 3" xfId="6563" xr:uid="{00000000-0005-0000-0000-0000A2210000}"/>
    <cellStyle name="Note 3 2 7 3 2" xfId="15005" xr:uid="{FA94CFC0-1E63-41C5-87B6-670A2E5CC629}"/>
    <cellStyle name="Note 3 2 7 3 3" xfId="23451" xr:uid="{462759D2-C78F-4C54-A640-6A125D0AABEC}"/>
    <cellStyle name="Note 3 2 7 4" xfId="10787" xr:uid="{5EE05873-EE63-4BBD-9B06-CD387AC7A5A2}"/>
    <cellStyle name="Note 3 2 7 5" xfId="19232" xr:uid="{C119B68A-C384-4573-B647-6B97F44C39BD}"/>
    <cellStyle name="Note 3 2 8" xfId="2692" xr:uid="{00000000-0005-0000-0000-0000A3210000}"/>
    <cellStyle name="Note 3 2 8 2" xfId="6976" xr:uid="{00000000-0005-0000-0000-0000A4210000}"/>
    <cellStyle name="Note 3 2 8 2 2" xfId="15418" xr:uid="{565FAAF5-3C55-4057-8D88-DFD8DECE0AF4}"/>
    <cellStyle name="Note 3 2 8 2 3" xfId="23864" xr:uid="{049D06CF-5703-4D4D-94CE-2418EB9F0630}"/>
    <cellStyle name="Note 3 2 8 3" xfId="11200" xr:uid="{50744299-139E-4D05-9F2F-159AD0948CEA}"/>
    <cellStyle name="Note 3 2 8 4" xfId="19645" xr:uid="{BA6AB634-3788-4CF5-942B-898D509BF752}"/>
    <cellStyle name="Note 3 2 9" xfId="2751" xr:uid="{00000000-0005-0000-0000-0000A5210000}"/>
    <cellStyle name="Note 3 3" xfId="558" xr:uid="{00000000-0005-0000-0000-0000A6210000}"/>
    <cellStyle name="Note 3 3 10" xfId="4915" xr:uid="{00000000-0005-0000-0000-0000A7210000}"/>
    <cellStyle name="Note 3 3 10 2" xfId="13357" xr:uid="{30D26A9D-74A6-4007-9C7C-9517948DE04B}"/>
    <cellStyle name="Note 3 3 10 3" xfId="21803" xr:uid="{25AD0449-F53F-4067-834A-61085411EE96}"/>
    <cellStyle name="Note 3 3 11" xfId="9139" xr:uid="{ECF4B840-52AA-4E18-BD33-ABD76D1537C3}"/>
    <cellStyle name="Note 3 3 12" xfId="17584" xr:uid="{24096114-9567-4AE4-83A7-B0E6A8286D81}"/>
    <cellStyle name="Note 3 3 2" xfId="559" xr:uid="{00000000-0005-0000-0000-0000A8210000}"/>
    <cellStyle name="Note 3 3 2 10" xfId="9140" xr:uid="{8A7FF04D-86C4-448D-B0D9-17AA026B4057}"/>
    <cellStyle name="Note 3 3 2 11" xfId="17585" xr:uid="{0F12BFB7-B42C-467B-9329-DDE4EA6DA5F9}"/>
    <cellStyle name="Note 3 3 2 2" xfId="1019" xr:uid="{00000000-0005-0000-0000-0000A9210000}"/>
    <cellStyle name="Note 3 3 2 2 2" xfId="3251" xr:uid="{00000000-0005-0000-0000-0000AA210000}"/>
    <cellStyle name="Note 3 3 2 2 2 2" xfId="7474" xr:uid="{00000000-0005-0000-0000-0000AB210000}"/>
    <cellStyle name="Note 3 3 2 2 2 2 2" xfId="15916" xr:uid="{EF13A4C6-BCF1-4E05-83E3-077876B69522}"/>
    <cellStyle name="Note 3 3 2 2 2 2 3" xfId="24362" xr:uid="{BCC7EAE8-6E73-488E-B160-FA178BE6378F}"/>
    <cellStyle name="Note 3 3 2 2 2 3" xfId="11698" xr:uid="{88565890-4EAB-4C6C-B807-B0510A1871A9}"/>
    <cellStyle name="Note 3 3 2 2 2 4" xfId="20145" xr:uid="{0E88E79E-C346-4F2D-B030-CDA9DAC1BFDA}"/>
    <cellStyle name="Note 3 3 2 2 3" xfId="5329" xr:uid="{00000000-0005-0000-0000-0000AC210000}"/>
    <cellStyle name="Note 3 3 2 2 3 2" xfId="13771" xr:uid="{84D57210-0C8C-4002-AC4C-E665DC999CE1}"/>
    <cellStyle name="Note 3 3 2 2 3 3" xfId="22217" xr:uid="{11184B5C-35ED-48E1-960D-53E6A2846C0B}"/>
    <cellStyle name="Note 3 3 2 2 4" xfId="9553" xr:uid="{10AE1FE1-3EEE-4140-9E92-9DF58A5E110E}"/>
    <cellStyle name="Note 3 3 2 2 5" xfId="17998" xr:uid="{71B4E802-C6AA-47E8-96E4-39F3A3C1F8F3}"/>
    <cellStyle name="Note 3 3 2 3" xfId="1434" xr:uid="{00000000-0005-0000-0000-0000AD210000}"/>
    <cellStyle name="Note 3 3 2 3 2" xfId="3664" xr:uid="{00000000-0005-0000-0000-0000AE210000}"/>
    <cellStyle name="Note 3 3 2 3 2 2" xfId="7887" xr:uid="{00000000-0005-0000-0000-0000AF210000}"/>
    <cellStyle name="Note 3 3 2 3 2 2 2" xfId="16329" xr:uid="{8F2680C1-65AA-4610-84A9-088C7523E038}"/>
    <cellStyle name="Note 3 3 2 3 2 2 3" xfId="24775" xr:uid="{B05C5E42-2B8E-4FC3-86B8-55CF749B057B}"/>
    <cellStyle name="Note 3 3 2 3 2 3" xfId="12111" xr:uid="{9AC2254F-1D59-4122-855B-195A4FDA8955}"/>
    <cellStyle name="Note 3 3 2 3 2 4" xfId="20558" xr:uid="{166D1FDB-6BDA-4C25-8709-313C34876B53}"/>
    <cellStyle name="Note 3 3 2 3 3" xfId="5742" xr:uid="{00000000-0005-0000-0000-0000B0210000}"/>
    <cellStyle name="Note 3 3 2 3 3 2" xfId="14184" xr:uid="{6B6D7531-5A35-4234-BB5A-F7C07C87847C}"/>
    <cellStyle name="Note 3 3 2 3 3 3" xfId="22630" xr:uid="{DD4C05E8-FB71-46ED-95D5-0B07449BA8B6}"/>
    <cellStyle name="Note 3 3 2 3 4" xfId="9966" xr:uid="{3492A2DA-B240-4BED-A516-447C8E4086A3}"/>
    <cellStyle name="Note 3 3 2 3 5" xfId="18411" xr:uid="{8A723E20-CC51-4F9C-8027-2753BA36FAA2}"/>
    <cellStyle name="Note 3 3 2 4" xfId="1848" xr:uid="{00000000-0005-0000-0000-0000B1210000}"/>
    <cellStyle name="Note 3 3 2 4 2" xfId="4077" xr:uid="{00000000-0005-0000-0000-0000B2210000}"/>
    <cellStyle name="Note 3 3 2 4 2 2" xfId="8300" xr:uid="{00000000-0005-0000-0000-0000B3210000}"/>
    <cellStyle name="Note 3 3 2 4 2 2 2" xfId="16742" xr:uid="{51BE1384-5BC3-4505-9317-2218CCCF5190}"/>
    <cellStyle name="Note 3 3 2 4 2 2 3" xfId="25188" xr:uid="{4CC3D688-D29D-4693-A71B-D41AC9B91C28}"/>
    <cellStyle name="Note 3 3 2 4 2 3" xfId="12524" xr:uid="{4AAD0219-9F14-4EE2-8890-0399A90A2160}"/>
    <cellStyle name="Note 3 3 2 4 2 4" xfId="20971" xr:uid="{E7E66680-24D0-47E6-A606-B1A7A68F88D9}"/>
    <cellStyle name="Note 3 3 2 4 3" xfId="6155" xr:uid="{00000000-0005-0000-0000-0000B4210000}"/>
    <cellStyle name="Note 3 3 2 4 3 2" xfId="14597" xr:uid="{1EA1E4FC-9F60-40FF-94AB-2E89B6C0C536}"/>
    <cellStyle name="Note 3 3 2 4 3 3" xfId="23043" xr:uid="{04C98867-0468-4ED9-A502-5687B8362835}"/>
    <cellStyle name="Note 3 3 2 4 4" xfId="10379" xr:uid="{357E9E1C-A8A9-4A5E-9446-FFB6D232B81C}"/>
    <cellStyle name="Note 3 3 2 4 5" xfId="18824" xr:uid="{898D479F-9B17-4090-9FE7-22DAD36ED9BB}"/>
    <cellStyle name="Note 3 3 2 5" xfId="2261" xr:uid="{00000000-0005-0000-0000-0000B5210000}"/>
    <cellStyle name="Note 3 3 2 5 2" xfId="4490" xr:uid="{00000000-0005-0000-0000-0000B6210000}"/>
    <cellStyle name="Note 3 3 2 5 2 2" xfId="8713" xr:uid="{00000000-0005-0000-0000-0000B7210000}"/>
    <cellStyle name="Note 3 3 2 5 2 2 2" xfId="17155" xr:uid="{33257BCF-05A9-4FD5-97EA-A6921F980C12}"/>
    <cellStyle name="Note 3 3 2 5 2 2 3" xfId="25601" xr:uid="{4ADA5851-69A7-48A4-88EB-3E00565A933D}"/>
    <cellStyle name="Note 3 3 2 5 2 3" xfId="12937" xr:uid="{90A4A33A-3822-4261-8116-F42C0D59FD76}"/>
    <cellStyle name="Note 3 3 2 5 2 4" xfId="21384" xr:uid="{17E3B12A-E799-436C-BCE5-7497B655BA15}"/>
    <cellStyle name="Note 3 3 2 5 3" xfId="6568" xr:uid="{00000000-0005-0000-0000-0000B8210000}"/>
    <cellStyle name="Note 3 3 2 5 3 2" xfId="15010" xr:uid="{9FA189B7-D7A4-470C-B7B0-C2107E8ED6EB}"/>
    <cellStyle name="Note 3 3 2 5 3 3" xfId="23456" xr:uid="{7EA2512B-2ACF-4889-99F5-51D188BEEBB0}"/>
    <cellStyle name="Note 3 3 2 5 4" xfId="10792" xr:uid="{403BBECD-D403-40A6-88D7-6416F3FD505D}"/>
    <cellStyle name="Note 3 3 2 5 5" xfId="19237" xr:uid="{FA129222-9E07-4EE0-BED6-6965D956FA80}"/>
    <cellStyle name="Note 3 3 2 6" xfId="2697" xr:uid="{00000000-0005-0000-0000-0000B9210000}"/>
    <cellStyle name="Note 3 3 2 6 2" xfId="6981" xr:uid="{00000000-0005-0000-0000-0000BA210000}"/>
    <cellStyle name="Note 3 3 2 6 2 2" xfId="15423" xr:uid="{71BD9988-F302-4F26-A5F7-07735F556921}"/>
    <cellStyle name="Note 3 3 2 6 2 3" xfId="23869" xr:uid="{EF159885-E50D-4BCD-96CF-DE4D2700D1F4}"/>
    <cellStyle name="Note 3 3 2 6 3" xfId="11205" xr:uid="{2AAF2789-8159-46FC-83E3-073C66F67F16}"/>
    <cellStyle name="Note 3 3 2 6 4" xfId="19650" xr:uid="{7DC8E033-FBDB-4C73-9BCA-78FB6A31A0B4}"/>
    <cellStyle name="Note 3 3 2 7" xfId="2756" xr:uid="{00000000-0005-0000-0000-0000BB210000}"/>
    <cellStyle name="Note 3 3 2 8" xfId="2837" xr:uid="{00000000-0005-0000-0000-0000BC210000}"/>
    <cellStyle name="Note 3 3 2 8 2" xfId="7061" xr:uid="{00000000-0005-0000-0000-0000BD210000}"/>
    <cellStyle name="Note 3 3 2 8 2 2" xfId="15503" xr:uid="{49FD38FC-81C7-49FF-94AB-3937A85215FD}"/>
    <cellStyle name="Note 3 3 2 8 2 3" xfId="23949" xr:uid="{44B6A957-7B18-4651-A948-FC89C02F8B69}"/>
    <cellStyle name="Note 3 3 2 8 3" xfId="11285" xr:uid="{D0F570BB-7161-47D8-A5D1-805081262287}"/>
    <cellStyle name="Note 3 3 2 8 4" xfId="19732" xr:uid="{D84A7C5C-10F9-4CFC-8C22-9EA73E52C888}"/>
    <cellStyle name="Note 3 3 2 9" xfId="4916" xr:uid="{00000000-0005-0000-0000-0000BE210000}"/>
    <cellStyle name="Note 3 3 2 9 2" xfId="13358" xr:uid="{8B298866-01B6-4092-A7EF-BD2B1F486938}"/>
    <cellStyle name="Note 3 3 2 9 3" xfId="21804" xr:uid="{20FE4AF0-E3CE-41C0-A16A-414DD574C534}"/>
    <cellStyle name="Note 3 3 3" xfId="1018" xr:uid="{00000000-0005-0000-0000-0000BF210000}"/>
    <cellStyle name="Note 3 3 3 2" xfId="3250" xr:uid="{00000000-0005-0000-0000-0000C0210000}"/>
    <cellStyle name="Note 3 3 3 2 2" xfId="7473" xr:uid="{00000000-0005-0000-0000-0000C1210000}"/>
    <cellStyle name="Note 3 3 3 2 2 2" xfId="15915" xr:uid="{205849AA-DE97-4D6A-85A2-C5630F234BF1}"/>
    <cellStyle name="Note 3 3 3 2 2 3" xfId="24361" xr:uid="{C7AD6031-E14E-4BA1-B6B8-8B2F234C9547}"/>
    <cellStyle name="Note 3 3 3 2 3" xfId="11697" xr:uid="{EA680737-42B7-4BF7-9193-011EEC5F4A94}"/>
    <cellStyle name="Note 3 3 3 2 4" xfId="20144" xr:uid="{31894500-7D24-4D50-B3EE-9E9E318DEF7D}"/>
    <cellStyle name="Note 3 3 3 3" xfId="5328" xr:uid="{00000000-0005-0000-0000-0000C2210000}"/>
    <cellStyle name="Note 3 3 3 3 2" xfId="13770" xr:uid="{03609582-58B3-49A4-91DC-91E380D1DD9C}"/>
    <cellStyle name="Note 3 3 3 3 3" xfId="22216" xr:uid="{0B6E100B-FDE7-477A-A162-67659E31F96D}"/>
    <cellStyle name="Note 3 3 3 4" xfId="9552" xr:uid="{D4BB5EDA-965F-4D01-9E2A-B6F774F080B1}"/>
    <cellStyle name="Note 3 3 3 5" xfId="17997" xr:uid="{17DA27D9-2498-4D75-BCA9-D285DE1E2987}"/>
    <cellStyle name="Note 3 3 4" xfId="1433" xr:uid="{00000000-0005-0000-0000-0000C3210000}"/>
    <cellStyle name="Note 3 3 4 2" xfId="3663" xr:uid="{00000000-0005-0000-0000-0000C4210000}"/>
    <cellStyle name="Note 3 3 4 2 2" xfId="7886" xr:uid="{00000000-0005-0000-0000-0000C5210000}"/>
    <cellStyle name="Note 3 3 4 2 2 2" xfId="16328" xr:uid="{AA67EB69-B005-4E22-8D9E-905009FE6907}"/>
    <cellStyle name="Note 3 3 4 2 2 3" xfId="24774" xr:uid="{C6D1E9FD-234E-4BFA-8A5E-252CF7AD142F}"/>
    <cellStyle name="Note 3 3 4 2 3" xfId="12110" xr:uid="{C8D62A8F-0446-4220-AADD-165085F5F5B7}"/>
    <cellStyle name="Note 3 3 4 2 4" xfId="20557" xr:uid="{FD0DAEE1-D22B-4B1F-8199-BCC3E5A2C070}"/>
    <cellStyle name="Note 3 3 4 3" xfId="5741" xr:uid="{00000000-0005-0000-0000-0000C6210000}"/>
    <cellStyle name="Note 3 3 4 3 2" xfId="14183" xr:uid="{DE80609F-4DAD-4CD2-819C-AAD988714375}"/>
    <cellStyle name="Note 3 3 4 3 3" xfId="22629" xr:uid="{F7BF8936-A3D2-48AE-BD98-AD1EEE452678}"/>
    <cellStyle name="Note 3 3 4 4" xfId="9965" xr:uid="{C1237E5C-AC09-46F4-975B-1588E1B27B3B}"/>
    <cellStyle name="Note 3 3 4 5" xfId="18410" xr:uid="{B45D461E-AAEC-4842-93CC-EA12706F4EA6}"/>
    <cellStyle name="Note 3 3 5" xfId="1847" xr:uid="{00000000-0005-0000-0000-0000C7210000}"/>
    <cellStyle name="Note 3 3 5 2" xfId="4076" xr:uid="{00000000-0005-0000-0000-0000C8210000}"/>
    <cellStyle name="Note 3 3 5 2 2" xfId="8299" xr:uid="{00000000-0005-0000-0000-0000C9210000}"/>
    <cellStyle name="Note 3 3 5 2 2 2" xfId="16741" xr:uid="{99B4BDD8-D2C1-4D8A-B92C-6DF54E09F18E}"/>
    <cellStyle name="Note 3 3 5 2 2 3" xfId="25187" xr:uid="{FAC8F8EF-20E6-48F9-B3FD-62D62EC350BC}"/>
    <cellStyle name="Note 3 3 5 2 3" xfId="12523" xr:uid="{24DED808-1DE2-40F4-A92B-E788DD019790}"/>
    <cellStyle name="Note 3 3 5 2 4" xfId="20970" xr:uid="{12829617-93B2-4F46-9281-3DC89DF771A7}"/>
    <cellStyle name="Note 3 3 5 3" xfId="6154" xr:uid="{00000000-0005-0000-0000-0000CA210000}"/>
    <cellStyle name="Note 3 3 5 3 2" xfId="14596" xr:uid="{2BE0A232-2A09-42C2-BB0B-83C38DED4173}"/>
    <cellStyle name="Note 3 3 5 3 3" xfId="23042" xr:uid="{5F35EC41-71AB-4B98-BA3E-7EC654BCEE54}"/>
    <cellStyle name="Note 3 3 5 4" xfId="10378" xr:uid="{948DD792-F294-4564-B71E-C68950F7538B}"/>
    <cellStyle name="Note 3 3 5 5" xfId="18823" xr:uid="{D81E247D-5E41-451E-AFD1-09D6C2E40DAD}"/>
    <cellStyle name="Note 3 3 6" xfId="2260" xr:uid="{00000000-0005-0000-0000-0000CB210000}"/>
    <cellStyle name="Note 3 3 6 2" xfId="4489" xr:uid="{00000000-0005-0000-0000-0000CC210000}"/>
    <cellStyle name="Note 3 3 6 2 2" xfId="8712" xr:uid="{00000000-0005-0000-0000-0000CD210000}"/>
    <cellStyle name="Note 3 3 6 2 2 2" xfId="17154" xr:uid="{AAA6EB62-8B09-4831-84EE-14B988C0FC97}"/>
    <cellStyle name="Note 3 3 6 2 2 3" xfId="25600" xr:uid="{F46BD25C-D2A5-4ED3-B1E1-AE9B2A0DB96F}"/>
    <cellStyle name="Note 3 3 6 2 3" xfId="12936" xr:uid="{09D559F1-8086-4366-BBE6-7BC98A0CFA29}"/>
    <cellStyle name="Note 3 3 6 2 4" xfId="21383" xr:uid="{DE043887-5DE4-4A10-87AB-79389ECE986E}"/>
    <cellStyle name="Note 3 3 6 3" xfId="6567" xr:uid="{00000000-0005-0000-0000-0000CE210000}"/>
    <cellStyle name="Note 3 3 6 3 2" xfId="15009" xr:uid="{92AE34C4-8FC1-4048-807C-F3BD051B130D}"/>
    <cellStyle name="Note 3 3 6 3 3" xfId="23455" xr:uid="{105F93E1-24E9-4D20-B6BB-7F014F955EE1}"/>
    <cellStyle name="Note 3 3 6 4" xfId="10791" xr:uid="{1A5002ED-F720-44C1-BBEA-BA9D475A5C8E}"/>
    <cellStyle name="Note 3 3 6 5" xfId="19236" xr:uid="{592450A2-A398-4970-89F7-4DDA635079C5}"/>
    <cellStyle name="Note 3 3 7" xfId="2696" xr:uid="{00000000-0005-0000-0000-0000CF210000}"/>
    <cellStyle name="Note 3 3 7 2" xfId="6980" xr:uid="{00000000-0005-0000-0000-0000D0210000}"/>
    <cellStyle name="Note 3 3 7 2 2" xfId="15422" xr:uid="{F4862A69-A55C-48EA-8675-E745904F6E03}"/>
    <cellStyle name="Note 3 3 7 2 3" xfId="23868" xr:uid="{CC8FA69B-16B6-4765-AA6B-9297AAB4A56F}"/>
    <cellStyle name="Note 3 3 7 3" xfId="11204" xr:uid="{6BC090EC-A4C0-4826-874E-CB733B1A6E46}"/>
    <cellStyle name="Note 3 3 7 4" xfId="19649" xr:uid="{B04675F7-7043-4D8F-8840-B67F501C470B}"/>
    <cellStyle name="Note 3 3 8" xfId="2755" xr:uid="{00000000-0005-0000-0000-0000D1210000}"/>
    <cellStyle name="Note 3 3 9" xfId="2836" xr:uid="{00000000-0005-0000-0000-0000D2210000}"/>
    <cellStyle name="Note 3 3 9 2" xfId="7060" xr:uid="{00000000-0005-0000-0000-0000D3210000}"/>
    <cellStyle name="Note 3 3 9 2 2" xfId="15502" xr:uid="{881780F6-8D98-40BC-9577-136C824A8664}"/>
    <cellStyle name="Note 3 3 9 2 3" xfId="23948" xr:uid="{0082B39E-BBE3-453A-99A4-FF354E697579}"/>
    <cellStyle name="Note 3 3 9 3" xfId="11284" xr:uid="{0AC8824D-E4FB-45A3-BE44-F7E468A4CB65}"/>
    <cellStyle name="Note 3 3 9 4" xfId="19731" xr:uid="{54317395-8DAD-4E3D-8CCC-7456E399DA85}"/>
    <cellStyle name="Note 3 4" xfId="560" xr:uid="{00000000-0005-0000-0000-0000D4210000}"/>
    <cellStyle name="Note 3 4 10" xfId="9141" xr:uid="{7B1D7E3D-4C63-4706-88A5-74FE77D90C71}"/>
    <cellStyle name="Note 3 4 11" xfId="17586" xr:uid="{CF955029-DA72-4E28-8A96-1E9C2889147E}"/>
    <cellStyle name="Note 3 4 2" xfId="1020" xr:uid="{00000000-0005-0000-0000-0000D5210000}"/>
    <cellStyle name="Note 3 4 2 2" xfId="3252" xr:uid="{00000000-0005-0000-0000-0000D6210000}"/>
    <cellStyle name="Note 3 4 2 2 2" xfId="7475" xr:uid="{00000000-0005-0000-0000-0000D7210000}"/>
    <cellStyle name="Note 3 4 2 2 2 2" xfId="15917" xr:uid="{FA6FD0B2-603B-47C5-BDBA-39F363759C07}"/>
    <cellStyle name="Note 3 4 2 2 2 3" xfId="24363" xr:uid="{8DB6A36D-232D-45A1-960F-19888A6A673F}"/>
    <cellStyle name="Note 3 4 2 2 3" xfId="11699" xr:uid="{B635274B-4091-4B78-8922-D414F3F06176}"/>
    <cellStyle name="Note 3 4 2 2 4" xfId="20146" xr:uid="{97872485-E67E-4F5F-AE81-AFBBD4B55619}"/>
    <cellStyle name="Note 3 4 2 3" xfId="5330" xr:uid="{00000000-0005-0000-0000-0000D8210000}"/>
    <cellStyle name="Note 3 4 2 3 2" xfId="13772" xr:uid="{5770A4F2-ED3E-440C-B074-958AE755AE01}"/>
    <cellStyle name="Note 3 4 2 3 3" xfId="22218" xr:uid="{B9A22B2E-C943-4786-A987-3F38C3F0DCE9}"/>
    <cellStyle name="Note 3 4 2 4" xfId="9554" xr:uid="{943C2D60-409D-48C1-BF44-C1101F005A04}"/>
    <cellStyle name="Note 3 4 2 5" xfId="17999" xr:uid="{4D64FF57-6EDA-4BAA-AA02-E0C258F32E44}"/>
    <cellStyle name="Note 3 4 3" xfId="1435" xr:uid="{00000000-0005-0000-0000-0000D9210000}"/>
    <cellStyle name="Note 3 4 3 2" xfId="3665" xr:uid="{00000000-0005-0000-0000-0000DA210000}"/>
    <cellStyle name="Note 3 4 3 2 2" xfId="7888" xr:uid="{00000000-0005-0000-0000-0000DB210000}"/>
    <cellStyle name="Note 3 4 3 2 2 2" xfId="16330" xr:uid="{A7DC4767-7BCD-4A3E-A1E7-18D2932F6DF3}"/>
    <cellStyle name="Note 3 4 3 2 2 3" xfId="24776" xr:uid="{F28DAF8C-C8B9-4179-B9D0-926A9EBB5DDB}"/>
    <cellStyle name="Note 3 4 3 2 3" xfId="12112" xr:uid="{95BEACA7-7D18-417F-B84B-DCD386F33B84}"/>
    <cellStyle name="Note 3 4 3 2 4" xfId="20559" xr:uid="{A13C802E-9D10-4DE4-973D-22CCEA551A6E}"/>
    <cellStyle name="Note 3 4 3 3" xfId="5743" xr:uid="{00000000-0005-0000-0000-0000DC210000}"/>
    <cellStyle name="Note 3 4 3 3 2" xfId="14185" xr:uid="{53D56E92-854B-400B-8EBA-0605CD33E04C}"/>
    <cellStyle name="Note 3 4 3 3 3" xfId="22631" xr:uid="{00F3969C-13C4-45C9-BD11-54A3D39D3100}"/>
    <cellStyle name="Note 3 4 3 4" xfId="9967" xr:uid="{CF8A4FED-D05C-45FC-A320-FD0CADA594A5}"/>
    <cellStyle name="Note 3 4 3 5" xfId="18412" xr:uid="{0AD874BF-C180-4F54-9F7B-2E45739E83B1}"/>
    <cellStyle name="Note 3 4 4" xfId="1849" xr:uid="{00000000-0005-0000-0000-0000DD210000}"/>
    <cellStyle name="Note 3 4 4 2" xfId="4078" xr:uid="{00000000-0005-0000-0000-0000DE210000}"/>
    <cellStyle name="Note 3 4 4 2 2" xfId="8301" xr:uid="{00000000-0005-0000-0000-0000DF210000}"/>
    <cellStyle name="Note 3 4 4 2 2 2" xfId="16743" xr:uid="{40F5CFA7-EC36-41F0-A509-EF4565E1F45A}"/>
    <cellStyle name="Note 3 4 4 2 2 3" xfId="25189" xr:uid="{7E801FB7-9F22-4EF7-97CE-2791A672E39C}"/>
    <cellStyle name="Note 3 4 4 2 3" xfId="12525" xr:uid="{5F29B343-594E-4033-B5F9-9D797C577127}"/>
    <cellStyle name="Note 3 4 4 2 4" xfId="20972" xr:uid="{CB812D2C-79EB-42E0-9E21-CF6FDC4AFF73}"/>
    <cellStyle name="Note 3 4 4 3" xfId="6156" xr:uid="{00000000-0005-0000-0000-0000E0210000}"/>
    <cellStyle name="Note 3 4 4 3 2" xfId="14598" xr:uid="{32F2B38F-F16D-42F5-8713-3038A0CB471B}"/>
    <cellStyle name="Note 3 4 4 3 3" xfId="23044" xr:uid="{BDD77AB7-585D-4798-BD55-E423AD00B5A4}"/>
    <cellStyle name="Note 3 4 4 4" xfId="10380" xr:uid="{242984E1-4677-4866-90A3-81FD21DE5DA3}"/>
    <cellStyle name="Note 3 4 4 5" xfId="18825" xr:uid="{5817932A-0C65-425D-8DE8-5A7890C44C9F}"/>
    <cellStyle name="Note 3 4 5" xfId="2262" xr:uid="{00000000-0005-0000-0000-0000E1210000}"/>
    <cellStyle name="Note 3 4 5 2" xfId="4491" xr:uid="{00000000-0005-0000-0000-0000E2210000}"/>
    <cellStyle name="Note 3 4 5 2 2" xfId="8714" xr:uid="{00000000-0005-0000-0000-0000E3210000}"/>
    <cellStyle name="Note 3 4 5 2 2 2" xfId="17156" xr:uid="{428C02A2-6807-4411-96BD-14B7560A6BFF}"/>
    <cellStyle name="Note 3 4 5 2 2 3" xfId="25602" xr:uid="{3BF5ED88-A8F1-4FB7-BA3E-5B741E6A1321}"/>
    <cellStyle name="Note 3 4 5 2 3" xfId="12938" xr:uid="{B444CF1A-8FBE-432B-A363-C67F251C5576}"/>
    <cellStyle name="Note 3 4 5 2 4" xfId="21385" xr:uid="{C32906E8-9460-4E68-B22D-067546CBC2C6}"/>
    <cellStyle name="Note 3 4 5 3" xfId="6569" xr:uid="{00000000-0005-0000-0000-0000E4210000}"/>
    <cellStyle name="Note 3 4 5 3 2" xfId="15011" xr:uid="{E7DA5985-EDE8-4EEC-832F-A91067DF162D}"/>
    <cellStyle name="Note 3 4 5 3 3" xfId="23457" xr:uid="{6AEBF6A0-9F32-42FC-AD8F-BABA396BD5FD}"/>
    <cellStyle name="Note 3 4 5 4" xfId="10793" xr:uid="{D13E5626-2EDC-476A-AADA-1AB4CEF61BDD}"/>
    <cellStyle name="Note 3 4 5 5" xfId="19238" xr:uid="{148E6EE1-1402-45B6-A6BE-E7A4A7CA86D0}"/>
    <cellStyle name="Note 3 4 6" xfId="2698" xr:uid="{00000000-0005-0000-0000-0000E5210000}"/>
    <cellStyle name="Note 3 4 6 2" xfId="6982" xr:uid="{00000000-0005-0000-0000-0000E6210000}"/>
    <cellStyle name="Note 3 4 6 2 2" xfId="15424" xr:uid="{A88B31FA-C16E-49A9-A5A7-B07D15C1FE4B}"/>
    <cellStyle name="Note 3 4 6 2 3" xfId="23870" xr:uid="{8201CB01-EDE9-4FD2-9117-EA9AC6C22089}"/>
    <cellStyle name="Note 3 4 6 3" xfId="11206" xr:uid="{E312A144-59D6-4AF6-8BE5-CF999C052798}"/>
    <cellStyle name="Note 3 4 6 4" xfId="19651" xr:uid="{B7042566-457B-4C69-8F58-56D660D5DB4A}"/>
    <cellStyle name="Note 3 4 7" xfId="2757" xr:uid="{00000000-0005-0000-0000-0000E7210000}"/>
    <cellStyle name="Note 3 4 8" xfId="2838" xr:uid="{00000000-0005-0000-0000-0000E8210000}"/>
    <cellStyle name="Note 3 4 8 2" xfId="7062" xr:uid="{00000000-0005-0000-0000-0000E9210000}"/>
    <cellStyle name="Note 3 4 8 2 2" xfId="15504" xr:uid="{A24A32C3-365A-472B-AB1A-DC9717B2A665}"/>
    <cellStyle name="Note 3 4 8 2 3" xfId="23950" xr:uid="{D1CD4524-9C70-443D-9913-3FC6BC004392}"/>
    <cellStyle name="Note 3 4 8 3" xfId="11286" xr:uid="{DB3521AF-14CF-45DA-8E2A-E486F4237635}"/>
    <cellStyle name="Note 3 4 8 4" xfId="19733" xr:uid="{3D7815E2-3F15-4153-9EF6-2BB7FA081A86}"/>
    <cellStyle name="Note 3 4 9" xfId="4917" xr:uid="{00000000-0005-0000-0000-0000EA210000}"/>
    <cellStyle name="Note 3 4 9 2" xfId="13359" xr:uid="{0397EE8D-ECA4-462A-BF17-7FDE59365CFA}"/>
    <cellStyle name="Note 3 4 9 3" xfId="21805" xr:uid="{9100647A-4D37-4F0B-BDDE-BF190571B3E0}"/>
    <cellStyle name="Note 3 5" xfId="561" xr:uid="{00000000-0005-0000-0000-0000EB210000}"/>
    <cellStyle name="Note 3 5 10" xfId="9142" xr:uid="{857C0149-3F1A-4A20-B259-17A44073A8B3}"/>
    <cellStyle name="Note 3 5 11" xfId="17587" xr:uid="{EE8984EC-1659-4E34-9AB6-8D698C4432B3}"/>
    <cellStyle name="Note 3 5 2" xfId="1021" xr:uid="{00000000-0005-0000-0000-0000EC210000}"/>
    <cellStyle name="Note 3 5 2 2" xfId="3253" xr:uid="{00000000-0005-0000-0000-0000ED210000}"/>
    <cellStyle name="Note 3 5 2 2 2" xfId="7476" xr:uid="{00000000-0005-0000-0000-0000EE210000}"/>
    <cellStyle name="Note 3 5 2 2 2 2" xfId="15918" xr:uid="{52B115EC-0089-4F06-8208-5DCD8E3BA7FC}"/>
    <cellStyle name="Note 3 5 2 2 2 3" xfId="24364" xr:uid="{1A1161F6-7E33-442E-AC55-4CA36A082E83}"/>
    <cellStyle name="Note 3 5 2 2 3" xfId="11700" xr:uid="{BD470183-3EAA-4E64-A465-4B5E9772121D}"/>
    <cellStyle name="Note 3 5 2 2 4" xfId="20147" xr:uid="{8195CA6D-003C-4212-ADDB-301C38244BEE}"/>
    <cellStyle name="Note 3 5 2 3" xfId="5331" xr:uid="{00000000-0005-0000-0000-0000EF210000}"/>
    <cellStyle name="Note 3 5 2 3 2" xfId="13773" xr:uid="{B7BC9038-864B-401F-9263-A104F0C3C482}"/>
    <cellStyle name="Note 3 5 2 3 3" xfId="22219" xr:uid="{3CD24AB5-4419-478B-8891-9A7625F2DCF6}"/>
    <cellStyle name="Note 3 5 2 4" xfId="9555" xr:uid="{30790B53-6802-4A46-A9BD-0BCC33AE5B45}"/>
    <cellStyle name="Note 3 5 2 5" xfId="18000" xr:uid="{CC6B0011-E66E-4B8E-93BF-19451DC9FF88}"/>
    <cellStyle name="Note 3 5 3" xfId="1436" xr:uid="{00000000-0005-0000-0000-0000F0210000}"/>
    <cellStyle name="Note 3 5 3 2" xfId="3666" xr:uid="{00000000-0005-0000-0000-0000F1210000}"/>
    <cellStyle name="Note 3 5 3 2 2" xfId="7889" xr:uid="{00000000-0005-0000-0000-0000F2210000}"/>
    <cellStyle name="Note 3 5 3 2 2 2" xfId="16331" xr:uid="{66C19FF0-AF4B-4BA8-9350-EBCEDABC4F72}"/>
    <cellStyle name="Note 3 5 3 2 2 3" xfId="24777" xr:uid="{280FD9F4-6466-45DC-86B8-ECB9E4B276B9}"/>
    <cellStyle name="Note 3 5 3 2 3" xfId="12113" xr:uid="{17238FCB-2100-41DB-8751-235583C8D47A}"/>
    <cellStyle name="Note 3 5 3 2 4" xfId="20560" xr:uid="{3AF8C606-4281-4D4C-B220-740B99C7CE29}"/>
    <cellStyle name="Note 3 5 3 3" xfId="5744" xr:uid="{00000000-0005-0000-0000-0000F3210000}"/>
    <cellStyle name="Note 3 5 3 3 2" xfId="14186" xr:uid="{894BBA63-FD0A-4F4C-B187-914CE47531B1}"/>
    <cellStyle name="Note 3 5 3 3 3" xfId="22632" xr:uid="{93B5E46A-3066-476E-BA01-F8B252555749}"/>
    <cellStyle name="Note 3 5 3 4" xfId="9968" xr:uid="{1468C313-E0AC-4962-BB56-83D6EE6D8C2D}"/>
    <cellStyle name="Note 3 5 3 5" xfId="18413" xr:uid="{FF532F95-52F4-4878-9733-E2DB0B3305DB}"/>
    <cellStyle name="Note 3 5 4" xfId="1850" xr:uid="{00000000-0005-0000-0000-0000F4210000}"/>
    <cellStyle name="Note 3 5 4 2" xfId="4079" xr:uid="{00000000-0005-0000-0000-0000F5210000}"/>
    <cellStyle name="Note 3 5 4 2 2" xfId="8302" xr:uid="{00000000-0005-0000-0000-0000F6210000}"/>
    <cellStyle name="Note 3 5 4 2 2 2" xfId="16744" xr:uid="{60FA7C54-40F6-49AC-AB39-D2061F91E8FA}"/>
    <cellStyle name="Note 3 5 4 2 2 3" xfId="25190" xr:uid="{88773500-983E-49DB-8CAF-55CD8F96466B}"/>
    <cellStyle name="Note 3 5 4 2 3" xfId="12526" xr:uid="{1DEB7AF2-9605-402B-9733-5EC168190C62}"/>
    <cellStyle name="Note 3 5 4 2 4" xfId="20973" xr:uid="{A0287AC4-A244-40FB-9C1F-78886EB29EDC}"/>
    <cellStyle name="Note 3 5 4 3" xfId="6157" xr:uid="{00000000-0005-0000-0000-0000F7210000}"/>
    <cellStyle name="Note 3 5 4 3 2" xfId="14599" xr:uid="{1CBE39F8-3964-468E-B4FB-C416825736E6}"/>
    <cellStyle name="Note 3 5 4 3 3" xfId="23045" xr:uid="{3059C88D-0F78-447B-8ECD-D12A6888F79B}"/>
    <cellStyle name="Note 3 5 4 4" xfId="10381" xr:uid="{E0B6C003-69A1-48F5-8794-FA1084A59F66}"/>
    <cellStyle name="Note 3 5 4 5" xfId="18826" xr:uid="{D3B9D251-1EAA-4660-BA23-08AD95538F40}"/>
    <cellStyle name="Note 3 5 5" xfId="2263" xr:uid="{00000000-0005-0000-0000-0000F8210000}"/>
    <cellStyle name="Note 3 5 5 2" xfId="4492" xr:uid="{00000000-0005-0000-0000-0000F9210000}"/>
    <cellStyle name="Note 3 5 5 2 2" xfId="8715" xr:uid="{00000000-0005-0000-0000-0000FA210000}"/>
    <cellStyle name="Note 3 5 5 2 2 2" xfId="17157" xr:uid="{37B1C00C-3E42-4ED2-B92B-A7C848E7D43A}"/>
    <cellStyle name="Note 3 5 5 2 2 3" xfId="25603" xr:uid="{563381BE-C01A-41B5-A2C8-3D71A006648D}"/>
    <cellStyle name="Note 3 5 5 2 3" xfId="12939" xr:uid="{16AB7D30-5742-4886-811C-84C755A769A1}"/>
    <cellStyle name="Note 3 5 5 2 4" xfId="21386" xr:uid="{8E8E956A-C6BD-4E54-80C3-514EEBE90F8E}"/>
    <cellStyle name="Note 3 5 5 3" xfId="6570" xr:uid="{00000000-0005-0000-0000-0000FB210000}"/>
    <cellStyle name="Note 3 5 5 3 2" xfId="15012" xr:uid="{0DD5E708-2F47-4D54-BCAF-9C200C7B4E6D}"/>
    <cellStyle name="Note 3 5 5 3 3" xfId="23458" xr:uid="{04844E37-015B-43BA-95CA-308B15D51D3C}"/>
    <cellStyle name="Note 3 5 5 4" xfId="10794" xr:uid="{42FD84A2-745E-4BF9-8A73-E9EA9DFCFFEE}"/>
    <cellStyle name="Note 3 5 5 5" xfId="19239" xr:uid="{D95C8610-E2CE-4F9B-8D91-122B6449B78E}"/>
    <cellStyle name="Note 3 5 6" xfId="2699" xr:uid="{00000000-0005-0000-0000-0000FC210000}"/>
    <cellStyle name="Note 3 5 6 2" xfId="6983" xr:uid="{00000000-0005-0000-0000-0000FD210000}"/>
    <cellStyle name="Note 3 5 6 2 2" xfId="15425" xr:uid="{57A33613-0A60-4190-9D0D-4787E868F027}"/>
    <cellStyle name="Note 3 5 6 2 3" xfId="23871" xr:uid="{28209BFF-ECE4-4D68-8370-7788F2FA5A04}"/>
    <cellStyle name="Note 3 5 6 3" xfId="11207" xr:uid="{CD8B2FBE-2ECA-405F-BA86-32937A51BABF}"/>
    <cellStyle name="Note 3 5 6 4" xfId="19652" xr:uid="{59627168-CF15-438E-97FB-D8936C507767}"/>
    <cellStyle name="Note 3 5 7" xfId="2758" xr:uid="{00000000-0005-0000-0000-0000FE210000}"/>
    <cellStyle name="Note 3 5 8" xfId="2839" xr:uid="{00000000-0005-0000-0000-0000FF210000}"/>
    <cellStyle name="Note 3 5 8 2" xfId="7063" xr:uid="{00000000-0005-0000-0000-000000220000}"/>
    <cellStyle name="Note 3 5 8 2 2" xfId="15505" xr:uid="{CB520279-470A-4963-89BA-0E0FBDC3C3F2}"/>
    <cellStyle name="Note 3 5 8 2 3" xfId="23951" xr:uid="{913B6102-4DBC-409E-BA92-00BD335BC8CB}"/>
    <cellStyle name="Note 3 5 8 3" xfId="11287" xr:uid="{3855C646-D262-4E9E-9BAF-64BAF5CF0D3B}"/>
    <cellStyle name="Note 3 5 8 4" xfId="19734" xr:uid="{A6E93F6F-16D1-48CE-853C-13E7D0782F6E}"/>
    <cellStyle name="Note 3 5 9" xfId="4918" xr:uid="{00000000-0005-0000-0000-000001220000}"/>
    <cellStyle name="Note 3 5 9 2" xfId="13360" xr:uid="{996A51DB-0887-4796-8783-3AB62E4B2AE0}"/>
    <cellStyle name="Note 3 5 9 3" xfId="21806" xr:uid="{EEFD57E0-72CA-4D9C-9780-8F885984F7AA}"/>
    <cellStyle name="Output" xfId="562" builtinId="21" customBuiltin="1"/>
    <cellStyle name="Output 2" xfId="563" xr:uid="{00000000-0005-0000-0000-000003220000}"/>
    <cellStyle name="Percent" xfId="4494" builtinId="5"/>
    <cellStyle name="Percent 2" xfId="1022" xr:uid="{00000000-0005-0000-0000-000005220000}"/>
    <cellStyle name="Percent 2 2" xfId="25732" xr:uid="{73911F23-6C2D-49F5-BAA9-CC6755E5D134}"/>
    <cellStyle name="Percent 2 3" xfId="25686" xr:uid="{D45B2F30-180A-4593-8005-45D1A2E1D3EE}"/>
    <cellStyle name="Percent 3" xfId="4499" xr:uid="{00000000-0005-0000-0000-000006220000}"/>
    <cellStyle name="Percent 3 2" xfId="12943" xr:uid="{B40851BF-6592-47AB-B9F5-CD669D26DCE2}"/>
    <cellStyle name="Percent 3 2 2" xfId="25637" xr:uid="{79C74C7B-D43A-4771-AA4E-875111887986}"/>
    <cellStyle name="Percent 3 3" xfId="21389" xr:uid="{CE188D22-4721-43BC-8C3E-FD1F54E08476}"/>
    <cellStyle name="Percent 3 4" xfId="25717" xr:uid="{5BE99E3E-37C5-4D44-A8F0-944DB6DDECC5}"/>
    <cellStyle name="Percent 4" xfId="4502" xr:uid="{00000000-0005-0000-0000-000007220000}"/>
    <cellStyle name="Percent 4 2" xfId="8718" xr:uid="{00000000-0005-0000-0000-000008220000}"/>
    <cellStyle name="Percent 4 2 2" xfId="17160" xr:uid="{3F9738EF-5EA8-4953-9278-19ABA2C13EDA}"/>
    <cellStyle name="Percent 4 2 3" xfId="25606" xr:uid="{D546BD32-EB2E-438F-9F9D-89FD2D95D5B4}"/>
    <cellStyle name="Percent 4 3" xfId="8721" xr:uid="{D09CD3FC-D632-4B66-A68A-5CC92F993799}"/>
    <cellStyle name="Percent 4 3 2" xfId="8725" xr:uid="{D57AE941-8E59-43F0-AB73-09B3BCCFA234}"/>
    <cellStyle name="Percent 4 3 2 2" xfId="8728" xr:uid="{D24D76A7-D076-4554-9944-551B122393DE}"/>
    <cellStyle name="Percent 4 3 2 2 2" xfId="17169" xr:uid="{4EF871FA-62E7-4CF5-9633-C212A8538A73}"/>
    <cellStyle name="Percent 4 3 2 2 3" xfId="25615" xr:uid="{1DB67A68-5DDD-4EA0-9327-0242BB1A59EA}"/>
    <cellStyle name="Percent 4 3 2 3" xfId="17166" xr:uid="{DAA5ECF6-146B-4C29-9216-2638649CDD73}"/>
    <cellStyle name="Percent 4 3 2 4" xfId="25612" xr:uid="{FA682FDE-FF12-4835-A79C-05081A9D5AD8}"/>
    <cellStyle name="Percent 4 3 3" xfId="17163" xr:uid="{11D4CDE0-F605-424E-8A6F-FFB7A6D33832}"/>
    <cellStyle name="Percent 4 3 4" xfId="25609" xr:uid="{23B819CC-0904-4709-93E9-CD93B22964D6}"/>
    <cellStyle name="Percent 4 4" xfId="12946" xr:uid="{F6CF384B-D4DD-4B0D-8EF9-ED709572931D}"/>
    <cellStyle name="Percent 4 5" xfId="21392" xr:uid="{B8C253C4-3E14-4FD7-92EB-C0D8766263A3}"/>
    <cellStyle name="Percent 5" xfId="25696" xr:uid="{FDD33317-9C4E-4FD8-AA3B-8D7AE007140F}"/>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50" workbookViewId="0">
      <selection activeCell="G395" sqref="G395"/>
    </sheetView>
  </sheetViews>
  <sheetFormatPr defaultColWidth="0" defaultRowHeight="13.2" zeroHeight="1"/>
  <cols>
    <col min="1" max="5" width="2.44140625" customWidth="1"/>
    <col min="6" max="6" width="3" customWidth="1"/>
    <col min="7" max="36" width="2.44140625" customWidth="1"/>
    <col min="37" max="38" width="2.77734375" customWidth="1"/>
    <col min="39" max="16384" width="2.44140625" hidden="1"/>
  </cols>
  <sheetData>
    <row r="1" spans="1:38">
      <c r="A1" s="1279" t="s">
        <v>558</v>
      </c>
      <c r="B1" s="1279"/>
      <c r="C1" s="1279"/>
      <c r="D1" s="1279"/>
      <c r="E1" s="1279"/>
      <c r="F1" s="1279"/>
      <c r="G1" s="1279"/>
      <c r="H1" s="1279"/>
      <c r="I1" s="1279"/>
      <c r="J1" s="1279"/>
      <c r="K1" s="1279"/>
      <c r="L1" s="1279"/>
      <c r="M1" s="1279"/>
      <c r="N1" s="1279"/>
      <c r="O1" s="1279"/>
      <c r="P1" s="1279"/>
      <c r="Q1" s="1279"/>
      <c r="R1" s="1279"/>
      <c r="S1" s="1279"/>
      <c r="T1" s="1279"/>
      <c r="U1" s="1279"/>
      <c r="V1" s="1279"/>
      <c r="W1" s="1279"/>
      <c r="X1" s="1279"/>
      <c r="Y1" s="1279"/>
      <c r="Z1" s="1279"/>
      <c r="AA1" s="1279"/>
      <c r="AB1" s="1279"/>
      <c r="AC1" s="1279"/>
      <c r="AD1" s="1279"/>
      <c r="AE1" s="1279"/>
      <c r="AF1" s="1279"/>
      <c r="AG1" s="1279"/>
      <c r="AH1" s="1279"/>
      <c r="AI1" s="1279"/>
      <c r="AJ1" s="1279"/>
      <c r="AK1" s="1279"/>
      <c r="AL1" s="1279"/>
    </row>
    <row r="2" spans="1:38" ht="13.8" thickBot="1">
      <c r="A2" s="1280"/>
      <c r="B2" s="1280"/>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1280"/>
      <c r="AA2" s="1280"/>
      <c r="AB2" s="1280"/>
      <c r="AC2" s="1280"/>
      <c r="AD2" s="1280"/>
      <c r="AE2" s="1280"/>
      <c r="AF2" s="1280"/>
      <c r="AG2" s="1280"/>
      <c r="AH2" s="1280"/>
      <c r="AI2" s="1280"/>
      <c r="AJ2" s="1280"/>
      <c r="AK2" s="1280"/>
      <c r="AL2" s="1280"/>
    </row>
    <row r="3" spans="1:38" ht="13.8"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9" t="s">
        <v>2345</v>
      </c>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489"/>
    </row>
    <row r="8" spans="1:38">
      <c r="A8" s="218"/>
      <c r="B8" s="218"/>
      <c r="C8" s="219"/>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269"/>
      <c r="AF8" s="1269"/>
      <c r="AG8" s="1269"/>
      <c r="AH8" s="1269"/>
      <c r="AI8" s="1269"/>
      <c r="AJ8" s="1269"/>
      <c r="AK8" s="1269"/>
      <c r="AL8" s="489"/>
    </row>
    <row r="9" spans="1:38">
      <c r="A9" s="218"/>
      <c r="B9" s="218"/>
      <c r="C9" s="219"/>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05" customHeight="1">
      <c r="A11" s="218"/>
      <c r="B11" s="218"/>
      <c r="C11" s="219"/>
      <c r="D11" s="1269" t="s">
        <v>2346</v>
      </c>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489"/>
    </row>
    <row r="12" spans="1:38">
      <c r="A12" s="218"/>
      <c r="B12" s="218"/>
      <c r="C12" s="219"/>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489"/>
    </row>
    <row r="13" spans="1:38">
      <c r="A13" s="218"/>
      <c r="B13" s="218"/>
      <c r="C13" s="21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489"/>
    </row>
    <row r="14" spans="1:38" ht="13.2" customHeight="1">
      <c r="A14" s="218"/>
      <c r="B14" s="218"/>
      <c r="C14" s="219"/>
      <c r="E14" s="1269" t="s">
        <v>2571</v>
      </c>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489"/>
    </row>
    <row r="15" spans="1:38" ht="13.2" customHeight="1">
      <c r="A15" s="218"/>
      <c r="B15" s="218"/>
      <c r="C15" s="219"/>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489"/>
    </row>
    <row r="16" spans="1:38">
      <c r="A16" s="218"/>
      <c r="B16" s="218"/>
      <c r="C16" s="219"/>
      <c r="D16" s="489"/>
      <c r="E16" s="1269"/>
      <c r="F16" s="1269"/>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9" t="s">
        <v>2347</v>
      </c>
      <c r="E18" s="1269"/>
      <c r="F18" s="1269"/>
      <c r="G18" s="1269"/>
      <c r="H18" s="1269"/>
      <c r="I18" s="1269"/>
      <c r="J18" s="1269"/>
      <c r="K18" s="1269"/>
      <c r="L18" s="1269"/>
      <c r="M18" s="1269"/>
      <c r="N18" s="1269"/>
      <c r="O18" s="1269"/>
      <c r="P18" s="1269"/>
      <c r="Q18" s="1269"/>
      <c r="R18" s="1269"/>
      <c r="S18" s="1269"/>
      <c r="T18" s="1269"/>
      <c r="U18" s="1269"/>
      <c r="V18" s="1269"/>
      <c r="W18" s="1269"/>
      <c r="X18" s="1269"/>
      <c r="Y18" s="1269"/>
      <c r="Z18" s="1269"/>
      <c r="AA18" s="1269"/>
      <c r="AB18" s="1269"/>
      <c r="AC18" s="1269"/>
      <c r="AD18" s="1269"/>
      <c r="AE18" s="1269"/>
      <c r="AF18" s="1269"/>
      <c r="AG18" s="1269"/>
      <c r="AH18" s="1269"/>
      <c r="AI18" s="1269"/>
      <c r="AJ18" s="1269"/>
      <c r="AK18" s="1269"/>
      <c r="AL18" s="218"/>
    </row>
    <row r="19" spans="1:38">
      <c r="A19" s="218"/>
      <c r="B19" s="218"/>
      <c r="C19" s="219"/>
      <c r="D19" s="1269"/>
      <c r="E19" s="1269"/>
      <c r="F19" s="1269"/>
      <c r="G19" s="1269"/>
      <c r="H19" s="1269"/>
      <c r="I19" s="1269"/>
      <c r="J19" s="1269"/>
      <c r="K19" s="1269"/>
      <c r="L19" s="1269"/>
      <c r="M19" s="1269"/>
      <c r="N19" s="1269"/>
      <c r="O19" s="1269"/>
      <c r="P19" s="1269"/>
      <c r="Q19" s="1269"/>
      <c r="R19" s="1269"/>
      <c r="S19" s="1269"/>
      <c r="T19" s="1269"/>
      <c r="U19" s="1269"/>
      <c r="V19" s="1269"/>
      <c r="W19" s="1269"/>
      <c r="X19" s="1269"/>
      <c r="Y19" s="1269"/>
      <c r="Z19" s="1269"/>
      <c r="AA19" s="1269"/>
      <c r="AB19" s="1269"/>
      <c r="AC19" s="1269"/>
      <c r="AD19" s="1269"/>
      <c r="AE19" s="1269"/>
      <c r="AF19" s="1269"/>
      <c r="AG19" s="1269"/>
      <c r="AH19" s="1269"/>
      <c r="AI19" s="1269"/>
      <c r="AJ19" s="1269"/>
      <c r="AK19" s="1269"/>
      <c r="AL19" s="218"/>
    </row>
    <row r="20" spans="1:38">
      <c r="A20" s="218"/>
      <c r="B20" s="218"/>
      <c r="C20" s="219"/>
      <c r="D20" s="1269"/>
      <c r="E20" s="1269"/>
      <c r="F20" s="1269"/>
      <c r="G20" s="1269"/>
      <c r="H20" s="1269"/>
      <c r="I20" s="1269"/>
      <c r="J20" s="1269"/>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18"/>
    </row>
    <row r="21" spans="1:38" ht="13.2" customHeight="1">
      <c r="A21" s="218"/>
      <c r="B21" s="218"/>
      <c r="C21" s="219"/>
      <c r="D21" s="1269"/>
      <c r="E21" s="1269"/>
      <c r="F21" s="1269"/>
      <c r="G21" s="1269"/>
      <c r="H21" s="1269"/>
      <c r="I21" s="1269"/>
      <c r="J21" s="1269"/>
      <c r="K21" s="1269"/>
      <c r="L21" s="1269"/>
      <c r="M21" s="1269"/>
      <c r="N21" s="1269"/>
      <c r="O21" s="1269"/>
      <c r="P21" s="1269"/>
      <c r="Q21" s="1269"/>
      <c r="R21" s="1269"/>
      <c r="S21" s="1269"/>
      <c r="T21" s="1269"/>
      <c r="U21" s="1269"/>
      <c r="V21" s="1269"/>
      <c r="W21" s="1269"/>
      <c r="X21" s="1269"/>
      <c r="Y21" s="1269"/>
      <c r="Z21" s="1269"/>
      <c r="AA21" s="1269"/>
      <c r="AB21" s="1269"/>
      <c r="AC21" s="1269"/>
      <c r="AD21" s="1269"/>
      <c r="AE21" s="1269"/>
      <c r="AF21" s="1269"/>
      <c r="AG21" s="1269"/>
      <c r="AH21" s="1269"/>
      <c r="AI21" s="1269"/>
      <c r="AJ21" s="1269"/>
      <c r="AK21" s="1269"/>
      <c r="AL21" s="218"/>
    </row>
    <row r="22" spans="1:38">
      <c r="A22" s="218"/>
      <c r="B22" s="218"/>
      <c r="C22" s="219"/>
      <c r="D22" s="1269"/>
      <c r="E22" s="1269"/>
      <c r="F22" s="1269"/>
      <c r="G22" s="1269"/>
      <c r="H22" s="1269"/>
      <c r="I22" s="1269"/>
      <c r="J22" s="1269"/>
      <c r="K22" s="1269"/>
      <c r="L22" s="1269"/>
      <c r="M22" s="1269"/>
      <c r="N22" s="1269"/>
      <c r="O22" s="1269"/>
      <c r="P22" s="1269"/>
      <c r="Q22" s="1269"/>
      <c r="R22" s="1269"/>
      <c r="S22" s="1269"/>
      <c r="T22" s="1269"/>
      <c r="U22" s="1269"/>
      <c r="V22" s="1269"/>
      <c r="W22" s="1269"/>
      <c r="X22" s="1269"/>
      <c r="Y22" s="1269"/>
      <c r="Z22" s="1269"/>
      <c r="AA22" s="1269"/>
      <c r="AB22" s="1269"/>
      <c r="AC22" s="1269"/>
      <c r="AD22" s="1269"/>
      <c r="AE22" s="1269"/>
      <c r="AF22" s="1269"/>
      <c r="AG22" s="1269"/>
      <c r="AH22" s="1269"/>
      <c r="AI22" s="1269"/>
      <c r="AJ22" s="1269"/>
      <c r="AK22" s="1269"/>
      <c r="AL22" s="218"/>
    </row>
    <row r="23" spans="1:38">
      <c r="A23" s="218"/>
      <c r="B23" s="218"/>
      <c r="C23" s="219"/>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18"/>
    </row>
    <row r="24" spans="1:38">
      <c r="A24" s="218"/>
      <c r="B24" s="218"/>
      <c r="C24" s="219"/>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1269"/>
      <c r="AL24" s="218"/>
    </row>
    <row r="25" spans="1:38">
      <c r="A25" s="218"/>
      <c r="B25" s="218"/>
      <c r="C25" s="219"/>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218"/>
    </row>
    <row r="26" spans="1:38">
      <c r="A26" s="218"/>
      <c r="B26" s="218"/>
      <c r="C26" s="219"/>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218"/>
    </row>
    <row r="27" spans="1:38" ht="11.7" customHeight="1">
      <c r="A27" s="218"/>
      <c r="B27" s="218"/>
      <c r="C27" s="219"/>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18"/>
    </row>
    <row r="28" spans="1:38" ht="13.2" hidden="1" customHeight="1">
      <c r="A28" s="218"/>
      <c r="B28" s="218"/>
      <c r="C28" s="219"/>
      <c r="E28" s="1269" t="s">
        <v>2498</v>
      </c>
      <c r="F28" s="1269"/>
      <c r="G28" s="1269"/>
      <c r="H28" s="1269"/>
      <c r="I28" s="1269"/>
      <c r="J28" s="1269"/>
      <c r="K28" s="1269"/>
      <c r="L28" s="1269"/>
      <c r="M28" s="1269"/>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218"/>
    </row>
    <row r="29" spans="1:38" ht="13.2" hidden="1" customHeight="1">
      <c r="A29" s="218"/>
      <c r="B29" s="218"/>
      <c r="C29" s="219"/>
      <c r="E29" s="1269"/>
      <c r="F29" s="1269"/>
      <c r="G29" s="1269"/>
      <c r="H29" s="1269"/>
      <c r="I29" s="1269"/>
      <c r="J29" s="1269"/>
      <c r="K29" s="1269"/>
      <c r="L29" s="1269"/>
      <c r="M29" s="1269"/>
      <c r="N29" s="1269"/>
      <c r="O29" s="1269"/>
      <c r="P29" s="1269"/>
      <c r="Q29" s="1269"/>
      <c r="R29" s="1269"/>
      <c r="S29" s="1269"/>
      <c r="T29" s="1269"/>
      <c r="U29" s="1269"/>
      <c r="V29" s="1269"/>
      <c r="W29" s="1269"/>
      <c r="X29" s="1269"/>
      <c r="Y29" s="1269"/>
      <c r="Z29" s="1269"/>
      <c r="AA29" s="1269"/>
      <c r="AB29" s="1269"/>
      <c r="AC29" s="1269"/>
      <c r="AD29" s="1269"/>
      <c r="AE29" s="1269"/>
      <c r="AF29" s="1269"/>
      <c r="AG29" s="1269"/>
      <c r="AH29" s="1269"/>
      <c r="AI29" s="1269"/>
      <c r="AJ29" s="1269"/>
      <c r="AK29" s="1269"/>
      <c r="AL29" s="218"/>
    </row>
    <row r="30" spans="1:38" hidden="1">
      <c r="A30" s="218"/>
      <c r="B30" s="218"/>
      <c r="C30" s="219"/>
      <c r="D30" s="489"/>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9" t="s">
        <v>2348</v>
      </c>
      <c r="E32" s="1269"/>
      <c r="F32" s="1269"/>
      <c r="G32" s="1269"/>
      <c r="H32" s="1269"/>
      <c r="I32" s="1269"/>
      <c r="J32" s="1269"/>
      <c r="K32" s="1269"/>
      <c r="L32" s="1269"/>
      <c r="M32" s="1269"/>
      <c r="N32" s="1269"/>
      <c r="O32" s="1269"/>
      <c r="P32" s="1269"/>
      <c r="Q32" s="1269"/>
      <c r="R32" s="1269"/>
      <c r="S32" s="1269"/>
      <c r="T32" s="1269"/>
      <c r="U32" s="1269"/>
      <c r="V32" s="1269"/>
      <c r="W32" s="1269"/>
      <c r="X32" s="1269"/>
      <c r="Y32" s="1269"/>
      <c r="Z32" s="1269"/>
      <c r="AA32" s="1269"/>
      <c r="AB32" s="1269"/>
      <c r="AC32" s="1269"/>
      <c r="AD32" s="1269"/>
      <c r="AE32" s="1269"/>
      <c r="AF32" s="1269"/>
      <c r="AG32" s="1269"/>
      <c r="AH32" s="1269"/>
      <c r="AI32" s="1269"/>
      <c r="AJ32" s="1269"/>
      <c r="AK32" s="1269"/>
      <c r="AL32" s="218"/>
    </row>
    <row r="33" spans="1:38">
      <c r="A33" s="218"/>
      <c r="B33" s="218"/>
      <c r="C33" s="219"/>
      <c r="D33" s="489"/>
      <c r="E33" s="1270" t="s">
        <v>2577</v>
      </c>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c r="AL33" s="218"/>
    </row>
    <row r="34" spans="1:38">
      <c r="A34" s="4"/>
      <c r="C34" s="2"/>
    </row>
    <row r="35" spans="1:38">
      <c r="A35" s="4"/>
      <c r="D35" s="1281" t="s">
        <v>2493</v>
      </c>
      <c r="E35" s="1281"/>
      <c r="F35" s="1281"/>
      <c r="G35" s="1281"/>
      <c r="H35" s="1281"/>
      <c r="I35" s="1281"/>
      <c r="J35" s="1281"/>
      <c r="K35" s="1281"/>
      <c r="L35" s="1281"/>
      <c r="M35" s="1281"/>
      <c r="N35" s="1281"/>
      <c r="O35" s="1281"/>
      <c r="P35" s="1281"/>
      <c r="Q35" s="1281"/>
      <c r="R35" s="1281"/>
      <c r="S35" s="1281"/>
      <c r="T35" s="1281"/>
      <c r="U35" s="1281"/>
      <c r="V35" s="1281"/>
      <c r="W35" s="1281"/>
      <c r="X35" s="1281"/>
      <c r="Y35" s="1281"/>
      <c r="Z35" s="1281"/>
      <c r="AA35" s="1281"/>
      <c r="AB35" s="1281"/>
      <c r="AC35" s="1281"/>
      <c r="AD35" s="1281"/>
      <c r="AE35" s="1281"/>
      <c r="AF35" s="1281"/>
      <c r="AG35" s="1281"/>
      <c r="AH35" s="1281"/>
      <c r="AI35" s="1281"/>
      <c r="AJ35" s="1281"/>
      <c r="AK35" s="1281"/>
    </row>
    <row r="36" spans="1:38">
      <c r="A36" s="4"/>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row>
    <row r="37" spans="1:38">
      <c r="A37" s="4"/>
      <c r="D37" s="120"/>
      <c r="E37" s="1276" t="s">
        <v>2355</v>
      </c>
      <c r="F37" s="1276"/>
      <c r="G37" s="1276"/>
      <c r="H37" s="1276"/>
      <c r="I37" s="1276"/>
      <c r="J37" s="1276"/>
      <c r="K37" s="1276"/>
      <c r="L37" s="1276"/>
      <c r="M37" s="1276"/>
      <c r="N37" s="1276"/>
      <c r="O37" s="1276"/>
      <c r="P37" s="1276"/>
      <c r="Q37" s="1276"/>
      <c r="R37" s="1276"/>
      <c r="S37" s="1276"/>
      <c r="T37" s="1276"/>
      <c r="U37" s="1276"/>
      <c r="V37" s="1276"/>
      <c r="W37" s="1276"/>
      <c r="X37" s="1276"/>
      <c r="Y37" s="1276"/>
      <c r="Z37" s="1276"/>
      <c r="AA37" s="1276"/>
      <c r="AB37" s="1276"/>
      <c r="AC37" s="1276"/>
      <c r="AD37" s="1276"/>
      <c r="AE37" s="1276"/>
      <c r="AF37" s="1276"/>
      <c r="AG37" s="1276"/>
      <c r="AH37" s="1276"/>
      <c r="AI37" s="1276"/>
      <c r="AJ37" s="1276"/>
      <c r="AK37" s="1276"/>
    </row>
    <row r="38" spans="1:38">
      <c r="A38" s="4"/>
      <c r="D38" s="120"/>
      <c r="E38" s="1276" t="s">
        <v>2356</v>
      </c>
      <c r="F38" s="1276"/>
      <c r="G38" s="1276"/>
      <c r="H38" s="1276"/>
      <c r="I38" s="1276"/>
      <c r="J38" s="1276"/>
      <c r="K38" s="1276"/>
      <c r="L38" s="1276"/>
      <c r="M38" s="1276"/>
      <c r="N38" s="1276"/>
      <c r="O38" s="1276"/>
      <c r="P38" s="1276"/>
      <c r="Q38" s="1276"/>
      <c r="R38" s="1276"/>
      <c r="S38" s="1276"/>
      <c r="T38" s="1276"/>
      <c r="U38" s="1276"/>
      <c r="V38" s="1276"/>
      <c r="W38" s="1276"/>
      <c r="X38" s="1276"/>
      <c r="Y38" s="1276"/>
      <c r="Z38" s="1276"/>
      <c r="AA38" s="1276"/>
      <c r="AB38" s="1276"/>
      <c r="AC38" s="1276"/>
      <c r="AD38" s="1276"/>
      <c r="AE38" s="1276"/>
      <c r="AF38" s="1276"/>
      <c r="AG38" s="1276"/>
      <c r="AH38" s="1276"/>
      <c r="AI38" s="1276"/>
      <c r="AJ38" s="1276"/>
      <c r="AK38" s="1276"/>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9" customFormat="1" ht="13.2" customHeight="1">
      <c r="A42" s="4"/>
      <c r="B42"/>
      <c r="C42" s="2"/>
      <c r="D42" s="4"/>
      <c r="E42" s="4" t="s">
        <v>661</v>
      </c>
      <c r="F42" s="1269" t="s">
        <v>1270</v>
      </c>
    </row>
    <row r="43" spans="1:38" s="1269" customFormat="1" ht="13.2"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349</v>
      </c>
      <c r="F45" s="1275" t="s">
        <v>1354</v>
      </c>
      <c r="G45" s="1275"/>
      <c r="H45" s="1275"/>
      <c r="I45" s="1275"/>
      <c r="J45" s="1275"/>
      <c r="K45" s="1275"/>
      <c r="L45" s="1275"/>
      <c r="M45" s="1275"/>
      <c r="N45" s="1275"/>
      <c r="O45" s="1275"/>
      <c r="P45" s="1275"/>
      <c r="Q45" s="1275"/>
      <c r="R45" s="1275"/>
      <c r="S45" s="1275"/>
      <c r="T45" s="1275"/>
      <c r="U45" s="1275"/>
      <c r="V45" s="1275"/>
      <c r="W45" s="1275"/>
      <c r="X45" s="1275"/>
      <c r="Y45" s="1275"/>
      <c r="Z45" s="1275"/>
      <c r="AA45" s="1275"/>
      <c r="AB45" s="1275"/>
      <c r="AC45" s="1275"/>
      <c r="AD45" s="1275"/>
      <c r="AE45" s="1275"/>
      <c r="AF45" s="1275"/>
      <c r="AG45" s="1275"/>
      <c r="AH45" s="1275"/>
      <c r="AI45" s="1275"/>
      <c r="AJ45" s="1275"/>
      <c r="AK45" s="1275"/>
      <c r="AL45" s="1275"/>
    </row>
    <row r="46" spans="1:38" s="118" customFormat="1">
      <c r="A46" s="4"/>
      <c r="B46"/>
      <c r="C46" s="2"/>
      <c r="D46" s="4"/>
      <c r="E46" s="4"/>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c r="AB46" s="1275"/>
      <c r="AC46" s="1275"/>
      <c r="AD46" s="1275"/>
      <c r="AE46" s="1275"/>
      <c r="AF46" s="1275"/>
      <c r="AG46" s="1275"/>
      <c r="AH46" s="1275"/>
      <c r="AI46" s="1275"/>
      <c r="AJ46" s="1275"/>
      <c r="AK46" s="1275"/>
      <c r="AL46" s="1275"/>
    </row>
    <row r="47" spans="1:38" s="118" customFormat="1" ht="13.2" customHeight="1">
      <c r="A47" s="4"/>
      <c r="B47"/>
      <c r="C47" s="2"/>
      <c r="D47" s="4"/>
      <c r="E47" s="4"/>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c r="AB47" s="1275"/>
      <c r="AC47" s="1275"/>
      <c r="AD47" s="1275"/>
      <c r="AE47" s="1275"/>
      <c r="AF47" s="1275"/>
      <c r="AG47" s="1275"/>
      <c r="AH47" s="1275"/>
      <c r="AI47" s="1275"/>
      <c r="AJ47" s="1275"/>
      <c r="AK47" s="1275"/>
      <c r="AL47" s="1275"/>
    </row>
    <row r="48" spans="1:38">
      <c r="A48" s="4"/>
      <c r="C48" s="2"/>
      <c r="D48" s="4"/>
      <c r="E48" s="4"/>
      <c r="F48" s="118" t="s">
        <v>696</v>
      </c>
      <c r="G48" s="3" t="s">
        <v>2349</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9" t="s">
        <v>2350</v>
      </c>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row>
    <row r="51" spans="1:38">
      <c r="A51" s="4"/>
      <c r="C51" s="2"/>
      <c r="D51" s="4"/>
      <c r="E51" s="4"/>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row>
    <row r="52" spans="1:38">
      <c r="A52" s="4"/>
      <c r="C52" s="2"/>
      <c r="D52" s="4"/>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696</v>
      </c>
      <c r="G56" s="1274" t="s">
        <v>1297</v>
      </c>
      <c r="H56" s="1274"/>
      <c r="I56" s="1274"/>
      <c r="J56" s="1274"/>
      <c r="K56" s="1274"/>
      <c r="L56" s="1274"/>
      <c r="M56" s="1274"/>
      <c r="N56" s="1274"/>
      <c r="O56" s="1274"/>
      <c r="P56" s="1274"/>
      <c r="Q56" s="1274"/>
      <c r="R56" s="1274"/>
      <c r="S56" s="1274"/>
      <c r="T56" s="1274"/>
      <c r="U56" s="1274"/>
      <c r="V56" s="1274"/>
      <c r="W56" s="1274"/>
      <c r="X56" s="1274"/>
      <c r="Y56" s="1274"/>
      <c r="Z56" s="1274"/>
      <c r="AA56" s="1274"/>
      <c r="AB56" s="1274"/>
      <c r="AC56" s="1274"/>
      <c r="AD56" s="1274"/>
      <c r="AE56" s="1274"/>
      <c r="AF56" s="1274"/>
      <c r="AG56" s="1274"/>
      <c r="AH56" s="1274"/>
      <c r="AI56" s="1274"/>
      <c r="AJ56" s="1274"/>
      <c r="AK56" s="1274"/>
      <c r="AL56" s="218"/>
    </row>
    <row r="57" spans="1:38" ht="13.2"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4" t="s">
        <v>583</v>
      </c>
      <c r="H58" s="1274"/>
      <c r="I58" s="1274"/>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517</v>
      </c>
      <c r="G59" s="1274" t="s">
        <v>2351</v>
      </c>
      <c r="H59" s="1274"/>
      <c r="I59" s="1274"/>
      <c r="J59" s="1274"/>
      <c r="K59" s="1274"/>
      <c r="L59" s="1274"/>
      <c r="M59" s="1274"/>
      <c r="N59" s="1274"/>
      <c r="O59" s="1274"/>
      <c r="P59" s="1274"/>
      <c r="Q59" s="1274"/>
      <c r="R59" s="1274"/>
      <c r="S59" s="1274"/>
      <c r="T59" s="1274"/>
      <c r="U59" s="1274"/>
      <c r="V59" s="1274"/>
      <c r="W59" s="1274"/>
      <c r="X59" s="1274"/>
      <c r="Y59" s="1274"/>
      <c r="Z59" s="1274"/>
      <c r="AA59" s="1274"/>
      <c r="AB59" s="1274"/>
      <c r="AC59" s="1274"/>
      <c r="AD59" s="1274"/>
      <c r="AE59" s="1274"/>
      <c r="AF59" s="1274"/>
      <c r="AG59" s="1274"/>
      <c r="AH59" s="1274"/>
      <c r="AI59" s="1274"/>
      <c r="AJ59" s="1274"/>
      <c r="AK59" s="1274"/>
      <c r="AL59" s="1274"/>
    </row>
    <row r="60" spans="1:38">
      <c r="A60" s="218"/>
      <c r="B60" s="218"/>
      <c r="C60" s="219"/>
      <c r="D60" s="219"/>
      <c r="E60" s="218"/>
      <c r="F60" s="220"/>
      <c r="G60" s="1274"/>
      <c r="H60" s="1274"/>
      <c r="I60" s="1274"/>
      <c r="J60" s="1274"/>
      <c r="K60" s="1274"/>
      <c r="L60" s="1274"/>
      <c r="M60" s="1274"/>
      <c r="N60" s="1274"/>
      <c r="O60" s="1274"/>
      <c r="P60" s="1274"/>
      <c r="Q60" s="1274"/>
      <c r="R60" s="1274"/>
      <c r="S60" s="1274"/>
      <c r="T60" s="1274"/>
      <c r="U60" s="1274"/>
      <c r="V60" s="1274"/>
      <c r="W60" s="1274"/>
      <c r="X60" s="1274"/>
      <c r="Y60" s="1274"/>
      <c r="Z60" s="1274"/>
      <c r="AA60" s="1274"/>
      <c r="AB60" s="1274"/>
      <c r="AC60" s="1274"/>
      <c r="AD60" s="1274"/>
      <c r="AE60" s="1274"/>
      <c r="AF60" s="1274"/>
      <c r="AG60" s="1274"/>
      <c r="AH60" s="1274"/>
      <c r="AI60" s="1274"/>
      <c r="AJ60" s="1274"/>
      <c r="AK60" s="1274"/>
      <c r="AL60" s="1274"/>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9" t="s">
        <v>1272</v>
      </c>
      <c r="H66" s="1269"/>
      <c r="I66" s="1269"/>
      <c r="J66" s="1269"/>
      <c r="K66" s="1269"/>
      <c r="L66" s="1269"/>
      <c r="M66" s="1269"/>
      <c r="N66" s="1269"/>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row>
    <row r="67" spans="1:37">
      <c r="A67" s="4"/>
      <c r="C67" s="2"/>
      <c r="D67" s="4"/>
      <c r="E67" s="4"/>
      <c r="G67" s="1269"/>
      <c r="H67" s="1269"/>
      <c r="I67" s="1269"/>
      <c r="J67" s="1269"/>
      <c r="K67" s="1269"/>
      <c r="L67" s="1269"/>
      <c r="M67" s="1269"/>
      <c r="N67" s="1269"/>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row>
    <row r="68" spans="1:37">
      <c r="A68" s="4"/>
      <c r="C68" s="2"/>
      <c r="D68" s="4"/>
      <c r="E68" s="4"/>
      <c r="G68" s="1269"/>
      <c r="H68" s="1269"/>
      <c r="I68" s="1269"/>
      <c r="J68" s="1269"/>
      <c r="K68" s="1269"/>
      <c r="L68" s="1269"/>
      <c r="M68" s="1269"/>
      <c r="N68" s="1269"/>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row>
    <row r="69" spans="1:37" ht="13.2" customHeight="1">
      <c r="A69" s="4"/>
      <c r="C69" s="2"/>
      <c r="D69" s="4"/>
      <c r="E69" s="4"/>
      <c r="F69" t="s">
        <v>517</v>
      </c>
      <c r="G69" s="1269" t="s">
        <v>1273</v>
      </c>
      <c r="H69" s="1269"/>
      <c r="I69" s="1269"/>
      <c r="J69" s="1269"/>
      <c r="K69" s="1269"/>
      <c r="L69" s="1269"/>
      <c r="M69" s="1269"/>
      <c r="N69" s="1269"/>
      <c r="O69" s="1269"/>
      <c r="P69" s="1269"/>
      <c r="Q69" s="1269"/>
      <c r="R69" s="1269"/>
      <c r="S69" s="1269"/>
      <c r="T69" s="1269"/>
      <c r="U69" s="1269"/>
      <c r="V69" s="1269"/>
      <c r="W69" s="1269"/>
      <c r="X69" s="1269"/>
      <c r="Y69" s="1269"/>
      <c r="Z69" s="1269"/>
      <c r="AA69" s="1269"/>
      <c r="AB69" s="1269"/>
      <c r="AC69" s="1269"/>
      <c r="AD69" s="1269"/>
      <c r="AE69" s="1269"/>
      <c r="AF69" s="1269"/>
      <c r="AG69" s="1269"/>
      <c r="AH69" s="1269"/>
      <c r="AI69" s="1269"/>
      <c r="AJ69" s="1269"/>
      <c r="AK69" s="1269"/>
    </row>
    <row r="70" spans="1:37">
      <c r="A70" s="4"/>
      <c r="C70" s="2"/>
      <c r="D70" s="4"/>
      <c r="E70" s="4"/>
      <c r="F70" s="27"/>
      <c r="G70" s="1269"/>
      <c r="H70" s="1269"/>
      <c r="I70" s="1269"/>
      <c r="J70" s="1269"/>
      <c r="K70" s="1269"/>
      <c r="L70" s="1269"/>
      <c r="M70" s="1269"/>
      <c r="N70" s="1269"/>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9" t="s">
        <v>1274</v>
      </c>
      <c r="H72" s="1269"/>
      <c r="I72" s="1269"/>
      <c r="J72" s="1269"/>
      <c r="K72" s="1269"/>
      <c r="L72" s="1269"/>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row>
    <row r="73" spans="1:37">
      <c r="A73" s="4"/>
      <c r="C73" s="2"/>
      <c r="D73" s="4"/>
      <c r="E73" s="4"/>
      <c r="F73" s="8"/>
      <c r="G73" s="1269"/>
      <c r="H73" s="1269"/>
      <c r="I73" s="1269"/>
      <c r="J73" s="1269"/>
      <c r="K73" s="1269"/>
      <c r="L73" s="1269"/>
      <c r="M73" s="1269"/>
      <c r="N73" s="1269"/>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row>
    <row r="74" spans="1:37">
      <c r="A74" s="4"/>
      <c r="C74" s="2"/>
      <c r="D74" s="4"/>
      <c r="E74" s="4"/>
      <c r="F74" s="8" t="s">
        <v>517</v>
      </c>
      <c r="G74" s="1269" t="s">
        <v>1275</v>
      </c>
      <c r="H74" s="1269"/>
      <c r="I74" s="1269"/>
      <c r="J74" s="1269"/>
      <c r="K74" s="1269"/>
      <c r="L74" s="1269"/>
      <c r="M74" s="1269"/>
      <c r="N74" s="1269"/>
      <c r="O74" s="1269"/>
      <c r="P74" s="1269"/>
      <c r="Q74" s="1269"/>
      <c r="R74" s="1269"/>
      <c r="S74" s="1269"/>
      <c r="T74" s="1269"/>
      <c r="U74" s="1269"/>
      <c r="V74" s="1269"/>
      <c r="W74" s="1269"/>
      <c r="X74" s="1269"/>
      <c r="Y74" s="1269"/>
      <c r="Z74" s="1269"/>
      <c r="AA74" s="1269"/>
      <c r="AB74" s="1269"/>
      <c r="AC74" s="1269"/>
      <c r="AD74" s="1269"/>
      <c r="AE74" s="1269"/>
      <c r="AF74" s="1269"/>
      <c r="AG74" s="1269"/>
      <c r="AH74" s="1269"/>
      <c r="AI74" s="1269"/>
      <c r="AJ74" s="1269"/>
      <c r="AK74" s="1269"/>
    </row>
    <row r="75" spans="1:37">
      <c r="A75" s="4"/>
      <c r="C75" s="2"/>
      <c r="D75" s="4"/>
      <c r="E75" s="4"/>
      <c r="F75" s="8"/>
      <c r="G75" s="1269"/>
      <c r="H75" s="1269"/>
      <c r="I75" s="1269"/>
      <c r="J75" s="1269"/>
      <c r="K75" s="1269"/>
      <c r="L75" s="1269"/>
      <c r="M75" s="1269"/>
      <c r="N75" s="1269"/>
      <c r="O75" s="1269"/>
      <c r="P75" s="1269"/>
      <c r="Q75" s="1269"/>
      <c r="R75" s="1269"/>
      <c r="S75" s="1269"/>
      <c r="T75" s="1269"/>
      <c r="U75" s="1269"/>
      <c r="V75" s="1269"/>
      <c r="W75" s="1269"/>
      <c r="X75" s="1269"/>
      <c r="Y75" s="1269"/>
      <c r="Z75" s="1269"/>
      <c r="AA75" s="1269"/>
      <c r="AB75" s="1269"/>
      <c r="AC75" s="1269"/>
      <c r="AD75" s="1269"/>
      <c r="AE75" s="1269"/>
      <c r="AF75" s="1269"/>
      <c r="AG75" s="1269"/>
      <c r="AH75" s="1269"/>
      <c r="AI75" s="1269"/>
      <c r="AJ75" s="1269"/>
      <c r="AK75" s="1269"/>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9" t="s">
        <v>1276</v>
      </c>
      <c r="H82" s="1269"/>
      <c r="I82" s="1269"/>
      <c r="J82" s="1269"/>
      <c r="K82" s="1269"/>
      <c r="L82" s="1269"/>
      <c r="M82" s="1269"/>
      <c r="N82" s="1269"/>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row>
    <row r="83" spans="1:37">
      <c r="A83" s="4"/>
      <c r="C83" s="2"/>
      <c r="D83" s="4"/>
      <c r="E83" s="4"/>
      <c r="F83" s="4"/>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row>
    <row r="84" spans="1:37">
      <c r="A84" s="4"/>
      <c r="C84" s="2"/>
      <c r="D84" s="4"/>
      <c r="E84" s="4"/>
      <c r="F84" s="4"/>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9" t="s">
        <v>1277</v>
      </c>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row>
    <row r="87" spans="1:37">
      <c r="A87" s="4"/>
      <c r="C87" s="2"/>
      <c r="D87" s="4"/>
      <c r="E87" s="4"/>
      <c r="F87" s="4"/>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row>
    <row r="88" spans="1:37">
      <c r="A88" s="4"/>
      <c r="C88" s="2"/>
      <c r="D88" s="4"/>
      <c r="E88" s="4"/>
      <c r="G88" s="1269"/>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2" t="s">
        <v>1278</v>
      </c>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c r="G91" s="1272"/>
      <c r="H91" s="1272"/>
      <c r="I91" s="1272"/>
      <c r="J91" s="1272"/>
      <c r="K91" s="1272"/>
      <c r="L91" s="1272"/>
      <c r="M91" s="1272"/>
      <c r="N91" s="1272"/>
      <c r="O91" s="1272"/>
      <c r="P91" s="1272"/>
      <c r="Q91" s="1272"/>
      <c r="R91" s="1272"/>
      <c r="S91" s="1272"/>
      <c r="T91" s="1272"/>
      <c r="U91" s="1272"/>
      <c r="V91" s="1272"/>
      <c r="W91" s="1272"/>
      <c r="X91" s="1272"/>
      <c r="Y91" s="1272"/>
      <c r="Z91" s="1272"/>
      <c r="AA91" s="1272"/>
      <c r="AB91" s="1272"/>
      <c r="AC91" s="1272"/>
      <c r="AD91" s="1272"/>
      <c r="AE91" s="1272"/>
      <c r="AF91" s="1272"/>
      <c r="AG91" s="1272"/>
      <c r="AH91" s="1272"/>
      <c r="AI91" s="1272"/>
      <c r="AJ91" s="1272"/>
      <c r="AK91" s="1272"/>
    </row>
    <row r="92" spans="1:37">
      <c r="A92" s="4"/>
      <c r="C92" s="2"/>
      <c r="D92" s="4"/>
      <c r="E92" s="4"/>
      <c r="G92" s="1272"/>
      <c r="H92" s="1272"/>
      <c r="I92" s="1272"/>
      <c r="J92" s="1272"/>
      <c r="K92" s="1272"/>
      <c r="L92" s="1272"/>
      <c r="M92" s="1272"/>
      <c r="N92" s="1272"/>
      <c r="O92" s="1272"/>
      <c r="P92" s="1272"/>
      <c r="Q92" s="1272"/>
      <c r="R92" s="1272"/>
      <c r="S92" s="1272"/>
      <c r="T92" s="1272"/>
      <c r="U92" s="1272"/>
      <c r="V92" s="1272"/>
      <c r="W92" s="1272"/>
      <c r="X92" s="1272"/>
      <c r="Y92" s="1272"/>
      <c r="Z92" s="1272"/>
      <c r="AA92" s="1272"/>
      <c r="AB92" s="1272"/>
      <c r="AC92" s="1272"/>
      <c r="AD92" s="1272"/>
      <c r="AE92" s="1272"/>
      <c r="AF92" s="1272"/>
      <c r="AG92" s="1272"/>
      <c r="AH92" s="1272"/>
      <c r="AI92" s="1272"/>
      <c r="AJ92" s="1272"/>
      <c r="AK92" s="1272"/>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9" t="s">
        <v>1279</v>
      </c>
      <c r="H94" s="1269"/>
      <c r="I94" s="1269"/>
      <c r="J94" s="1269"/>
      <c r="K94" s="1269"/>
      <c r="L94" s="1269"/>
      <c r="M94" s="1269"/>
      <c r="N94" s="1269"/>
      <c r="O94" s="1269"/>
      <c r="P94" s="1269"/>
      <c r="Q94" s="1269"/>
      <c r="R94" s="1269"/>
      <c r="S94" s="1269"/>
      <c r="T94" s="1269"/>
      <c r="U94" s="1269"/>
      <c r="V94" s="1269"/>
      <c r="W94" s="1269"/>
      <c r="X94" s="1269"/>
      <c r="Y94" s="1269"/>
      <c r="Z94" s="1269"/>
      <c r="AA94" s="1269"/>
      <c r="AB94" s="1269"/>
      <c r="AC94" s="1269"/>
      <c r="AD94" s="1269"/>
      <c r="AE94" s="1269"/>
      <c r="AF94" s="1269"/>
      <c r="AG94" s="1269"/>
      <c r="AH94" s="1269"/>
      <c r="AI94" s="1269"/>
      <c r="AJ94" s="1269"/>
      <c r="AK94" s="1269"/>
    </row>
    <row r="95" spans="1:37">
      <c r="A95" s="4"/>
      <c r="C95" s="2"/>
      <c r="D95" s="4"/>
      <c r="E95" s="4"/>
      <c r="G95" s="1269"/>
      <c r="H95" s="1269"/>
      <c r="I95" s="1269"/>
      <c r="J95" s="1269"/>
      <c r="K95" s="1269"/>
      <c r="L95" s="1269"/>
      <c r="M95" s="1269"/>
      <c r="N95" s="1269"/>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9" t="s">
        <v>1280</v>
      </c>
      <c r="H97" s="1269"/>
      <c r="I97" s="1269"/>
      <c r="J97" s="1269"/>
      <c r="K97" s="1269"/>
      <c r="L97" s="1269"/>
      <c r="M97" s="1269"/>
      <c r="N97" s="1269"/>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row>
    <row r="98" spans="1:38">
      <c r="A98" s="4"/>
      <c r="C98" s="2"/>
      <c r="D98" s="4"/>
      <c r="E98" s="4"/>
      <c r="G98" s="1269"/>
      <c r="H98" s="1269"/>
      <c r="I98" s="1269"/>
      <c r="J98" s="1269"/>
      <c r="K98" s="1269"/>
      <c r="L98" s="1269"/>
      <c r="M98" s="1269"/>
      <c r="N98" s="1269"/>
      <c r="O98" s="1269"/>
      <c r="P98" s="1269"/>
      <c r="Q98" s="1269"/>
      <c r="R98" s="1269"/>
      <c r="S98" s="1269"/>
      <c r="T98" s="1269"/>
      <c r="U98" s="1269"/>
      <c r="V98" s="1269"/>
      <c r="W98" s="1269"/>
      <c r="X98" s="1269"/>
      <c r="Y98" s="1269"/>
      <c r="Z98" s="1269"/>
      <c r="AA98" s="1269"/>
      <c r="AB98" s="1269"/>
      <c r="AC98" s="1269"/>
      <c r="AD98" s="1269"/>
      <c r="AE98" s="1269"/>
      <c r="AF98" s="1269"/>
      <c r="AG98" s="1269"/>
      <c r="AH98" s="1269"/>
      <c r="AI98" s="1269"/>
      <c r="AJ98" s="1269"/>
      <c r="AK98" s="1269"/>
    </row>
    <row r="99" spans="1:38">
      <c r="A99" s="4"/>
      <c r="C99" s="2"/>
      <c r="D99" s="4"/>
      <c r="E99" s="4"/>
      <c r="G99" s="1269"/>
      <c r="H99" s="1269"/>
      <c r="I99" s="1269"/>
      <c r="J99" s="1269"/>
      <c r="K99" s="1269"/>
      <c r="L99" s="1269"/>
      <c r="M99" s="1269"/>
      <c r="N99" s="1269"/>
      <c r="O99" s="1269"/>
      <c r="P99" s="1269"/>
      <c r="Q99" s="1269"/>
      <c r="R99" s="1269"/>
      <c r="S99" s="1269"/>
      <c r="T99" s="1269"/>
      <c r="U99" s="1269"/>
      <c r="V99" s="1269"/>
      <c r="W99" s="1269"/>
      <c r="X99" s="1269"/>
      <c r="Y99" s="1269"/>
      <c r="Z99" s="1269"/>
      <c r="AA99" s="1269"/>
      <c r="AB99" s="1269"/>
      <c r="AC99" s="1269"/>
      <c r="AD99" s="1269"/>
      <c r="AE99" s="1269"/>
      <c r="AF99" s="1269"/>
      <c r="AG99" s="1269"/>
      <c r="AH99" s="1269"/>
      <c r="AI99" s="1269"/>
      <c r="AJ99" s="1269"/>
      <c r="AK99" s="1269"/>
    </row>
    <row r="100" spans="1:38">
      <c r="A100" s="4"/>
      <c r="D100" s="99"/>
      <c r="E100" s="1273" t="s">
        <v>1281</v>
      </c>
      <c r="F100" s="1273"/>
      <c r="G100" s="1273"/>
      <c r="H100" s="1273"/>
      <c r="I100" s="1273"/>
      <c r="J100" s="1273"/>
      <c r="K100" s="1273"/>
      <c r="L100" s="1273"/>
      <c r="M100" s="1273"/>
      <c r="N100" s="1273"/>
      <c r="O100" s="1273"/>
      <c r="P100" s="1273"/>
      <c r="Q100" s="1273"/>
      <c r="R100" s="1273"/>
      <c r="S100" s="1273"/>
      <c r="T100" s="1273"/>
      <c r="U100" s="1273"/>
      <c r="V100" s="1273"/>
      <c r="W100" s="1273"/>
      <c r="X100" s="1273"/>
      <c r="Y100" s="1273"/>
      <c r="Z100" s="1273"/>
      <c r="AA100" s="1273"/>
      <c r="AB100" s="1273"/>
      <c r="AC100" s="1273"/>
      <c r="AD100" s="1273"/>
      <c r="AE100" s="1273"/>
      <c r="AF100" s="1273"/>
      <c r="AG100" s="1273"/>
      <c r="AH100" s="1273"/>
      <c r="AI100" s="1273"/>
      <c r="AJ100" s="1273"/>
      <c r="AK100" s="1273"/>
    </row>
    <row r="101" spans="1:38">
      <c r="A101" s="4"/>
      <c r="D101" s="99"/>
      <c r="E101" s="1273"/>
      <c r="F101" s="1273"/>
      <c r="G101" s="1273"/>
      <c r="H101" s="1273"/>
      <c r="I101" s="1273"/>
      <c r="J101" s="1273"/>
      <c r="K101" s="1273"/>
      <c r="L101" s="1273"/>
      <c r="M101" s="1273"/>
      <c r="N101" s="1273"/>
      <c r="O101" s="1273"/>
      <c r="P101" s="1273"/>
      <c r="Q101" s="1273"/>
      <c r="R101" s="1273"/>
      <c r="S101" s="1273"/>
      <c r="T101" s="1273"/>
      <c r="U101" s="1273"/>
      <c r="V101" s="1273"/>
      <c r="W101" s="1273"/>
      <c r="X101" s="1273"/>
      <c r="Y101" s="1273"/>
      <c r="Z101" s="1273"/>
      <c r="AA101" s="1273"/>
      <c r="AB101" s="1273"/>
      <c r="AC101" s="1273"/>
      <c r="AD101" s="1273"/>
      <c r="AE101" s="1273"/>
      <c r="AF101" s="1273"/>
      <c r="AG101" s="1273"/>
      <c r="AH101" s="1273"/>
      <c r="AI101" s="1273"/>
      <c r="AJ101" s="1273"/>
      <c r="AK101" s="1273"/>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2352</v>
      </c>
      <c r="F140" s="2"/>
      <c r="G140" s="2"/>
      <c r="H140" s="2"/>
    </row>
    <row r="141" spans="4:37">
      <c r="E141" t="s">
        <v>112</v>
      </c>
      <c r="F141" t="s">
        <v>52</v>
      </c>
    </row>
    <row r="142" spans="4:37">
      <c r="E142" t="s">
        <v>113</v>
      </c>
      <c r="F142" t="s">
        <v>474</v>
      </c>
    </row>
    <row r="143" spans="4:37"/>
    <row r="144" spans="4:37">
      <c r="D144" s="2" t="s">
        <v>430</v>
      </c>
      <c r="E144" s="2" t="s">
        <v>2353</v>
      </c>
    </row>
    <row r="145" spans="3:7">
      <c r="E145" s="218" t="s">
        <v>2354</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9" t="s">
        <v>1282</v>
      </c>
      <c r="H207" s="1269"/>
      <c r="I207" s="1269"/>
      <c r="J207" s="1269"/>
      <c r="K207" s="1269"/>
      <c r="L207" s="1269"/>
      <c r="M207" s="1269"/>
      <c r="N207" s="1269"/>
      <c r="O207" s="1269"/>
      <c r="P207" s="1269"/>
      <c r="Q207" s="1269"/>
      <c r="R207" s="1269"/>
      <c r="S207" s="1269"/>
      <c r="T207" s="1269"/>
      <c r="U207" s="1269"/>
      <c r="V207" s="1269"/>
      <c r="W207" s="1269"/>
      <c r="X207" s="1269"/>
      <c r="Y207" s="1269"/>
      <c r="Z207" s="1269"/>
      <c r="AA207" s="1269"/>
      <c r="AB207" s="1269"/>
      <c r="AC207" s="1269"/>
      <c r="AD207" s="1269"/>
      <c r="AE207" s="1269"/>
      <c r="AF207" s="1269"/>
      <c r="AG207" s="1269"/>
      <c r="AH207" s="1269"/>
      <c r="AI207" s="1269"/>
      <c r="AJ207" s="1269"/>
      <c r="AK207" s="1269"/>
    </row>
    <row r="208" spans="2:37">
      <c r="B208" s="4"/>
      <c r="C208" s="4"/>
      <c r="D208" s="2"/>
      <c r="G208" s="1269"/>
      <c r="H208" s="1269"/>
      <c r="I208" s="1269"/>
      <c r="J208" s="1269"/>
      <c r="K208" s="1269"/>
      <c r="L208" s="1269"/>
      <c r="M208" s="1269"/>
      <c r="N208" s="1269"/>
      <c r="O208" s="1269"/>
      <c r="P208" s="1269"/>
      <c r="Q208" s="1269"/>
      <c r="R208" s="1269"/>
      <c r="S208" s="1269"/>
      <c r="T208" s="1269"/>
      <c r="U208" s="1269"/>
      <c r="V208" s="1269"/>
      <c r="W208" s="1269"/>
      <c r="X208" s="1269"/>
      <c r="Y208" s="1269"/>
      <c r="Z208" s="1269"/>
      <c r="AA208" s="1269"/>
      <c r="AB208" s="1269"/>
      <c r="AC208" s="1269"/>
      <c r="AD208" s="1269"/>
      <c r="AE208" s="1269"/>
      <c r="AF208" s="1269"/>
      <c r="AG208" s="1269"/>
      <c r="AH208" s="1269"/>
      <c r="AI208" s="1269"/>
      <c r="AJ208" s="1269"/>
      <c r="AK208" s="1269"/>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9" t="s">
        <v>1257</v>
      </c>
      <c r="G338" s="1269"/>
      <c r="H338" s="1269"/>
      <c r="I338" s="1269"/>
      <c r="J338" s="1269"/>
      <c r="K338" s="1269"/>
      <c r="L338" s="1269"/>
      <c r="M338" s="1269"/>
      <c r="N338" s="1269"/>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row>
    <row r="339" spans="2:37">
      <c r="B339" s="2"/>
      <c r="E339" s="4"/>
      <c r="F339" s="1269"/>
      <c r="G339" s="1269"/>
      <c r="H339" s="1269"/>
      <c r="I339" s="1269"/>
      <c r="J339" s="1269"/>
      <c r="K339" s="1269"/>
      <c r="L339" s="1269"/>
      <c r="M339" s="1269"/>
      <c r="N339" s="1269"/>
      <c r="O339" s="1269"/>
      <c r="P339" s="1269"/>
      <c r="Q339" s="1269"/>
      <c r="R339" s="1269"/>
      <c r="S339" s="1269"/>
      <c r="T339" s="1269"/>
      <c r="U339" s="1269"/>
      <c r="V339" s="1269"/>
      <c r="W339" s="1269"/>
      <c r="X339" s="1269"/>
      <c r="Y339" s="1269"/>
      <c r="Z339" s="1269"/>
      <c r="AA339" s="1269"/>
      <c r="AB339" s="1269"/>
      <c r="AC339" s="1269"/>
      <c r="AD339" s="1269"/>
      <c r="AE339" s="1269"/>
      <c r="AF339" s="1269"/>
      <c r="AG339" s="1269"/>
      <c r="AH339" s="1269"/>
      <c r="AI339" s="1269"/>
      <c r="AJ339" s="1269"/>
      <c r="AK339" s="1269"/>
    </row>
    <row r="340" spans="2:37">
      <c r="B340" s="2"/>
      <c r="E340" s="4"/>
      <c r="F340" s="1269"/>
      <c r="G340" s="1269"/>
      <c r="H340" s="1269"/>
      <c r="I340" s="1269"/>
      <c r="J340" s="1269"/>
      <c r="K340" s="1269"/>
      <c r="L340" s="1269"/>
      <c r="M340" s="1269"/>
      <c r="N340" s="1269"/>
      <c r="O340" s="1269"/>
      <c r="P340" s="1269"/>
      <c r="Q340" s="1269"/>
      <c r="R340" s="1269"/>
      <c r="S340" s="1269"/>
      <c r="T340" s="1269"/>
      <c r="U340" s="1269"/>
      <c r="V340" s="1269"/>
      <c r="W340" s="1269"/>
      <c r="X340" s="1269"/>
      <c r="Y340" s="1269"/>
      <c r="Z340" s="1269"/>
      <c r="AA340" s="1269"/>
      <c r="AB340" s="1269"/>
      <c r="AC340" s="1269"/>
      <c r="AD340" s="1269"/>
      <c r="AE340" s="1269"/>
      <c r="AF340" s="1269"/>
      <c r="AG340" s="1269"/>
      <c r="AH340" s="1269"/>
      <c r="AI340" s="1269"/>
      <c r="AJ340" s="1269"/>
      <c r="AK340" s="1269"/>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2" customHeight="1">
      <c r="B343" s="2"/>
      <c r="E343" s="1274" t="s">
        <v>1342</v>
      </c>
      <c r="F343" s="1274"/>
      <c r="G343" s="1274"/>
      <c r="H343" s="1274"/>
      <c r="I343" s="1274"/>
      <c r="J343" s="1274"/>
      <c r="K343" s="1274"/>
      <c r="L343" s="1274"/>
      <c r="M343" s="1274"/>
      <c r="N343" s="1274"/>
      <c r="O343" s="1274"/>
      <c r="P343" s="1274"/>
      <c r="Q343" s="1274"/>
      <c r="R343" s="1274"/>
      <c r="S343" s="1274"/>
      <c r="T343" s="1274"/>
      <c r="U343" s="1274"/>
      <c r="V343" s="1274"/>
      <c r="W343" s="1274"/>
      <c r="X343" s="1274"/>
      <c r="Y343" s="1274"/>
      <c r="Z343" s="1274"/>
      <c r="AA343" s="1274"/>
      <c r="AB343" s="1274"/>
      <c r="AC343" s="1274"/>
      <c r="AD343" s="1274"/>
      <c r="AE343" s="1274"/>
      <c r="AF343" s="1274"/>
      <c r="AG343" s="1274"/>
      <c r="AH343" s="1274"/>
      <c r="AI343" s="1274"/>
      <c r="AJ343" s="1274"/>
      <c r="AK343" s="1274"/>
    </row>
    <row r="344" spans="2:37">
      <c r="B344" s="2"/>
      <c r="E344" s="1274"/>
      <c r="F344" s="1274"/>
      <c r="G344" s="1274"/>
      <c r="H344" s="1274"/>
      <c r="I344" s="1274"/>
      <c r="J344" s="1274"/>
      <c r="K344" s="1274"/>
      <c r="L344" s="1274"/>
      <c r="M344" s="1274"/>
      <c r="N344" s="1274"/>
      <c r="O344" s="1274"/>
      <c r="P344" s="1274"/>
      <c r="Q344" s="1274"/>
      <c r="R344" s="1274"/>
      <c r="S344" s="1274"/>
      <c r="T344" s="1274"/>
      <c r="U344" s="1274"/>
      <c r="V344" s="1274"/>
      <c r="W344" s="1274"/>
      <c r="X344" s="1274"/>
      <c r="Y344" s="1274"/>
      <c r="Z344" s="1274"/>
      <c r="AA344" s="1274"/>
      <c r="AB344" s="1274"/>
      <c r="AC344" s="1274"/>
      <c r="AD344" s="1274"/>
      <c r="AE344" s="1274"/>
      <c r="AF344" s="1274"/>
      <c r="AG344" s="1274"/>
      <c r="AH344" s="1274"/>
      <c r="AI344" s="1274"/>
      <c r="AJ344" s="1274"/>
      <c r="AK344" s="1274"/>
    </row>
    <row r="345" spans="2:37">
      <c r="B345" s="2"/>
      <c r="E345" s="1274"/>
      <c r="F345" s="1274"/>
      <c r="G345" s="1274"/>
      <c r="H345" s="1274"/>
      <c r="I345" s="1274"/>
      <c r="J345" s="1274"/>
      <c r="K345" s="1274"/>
      <c r="L345" s="1274"/>
      <c r="M345" s="1274"/>
      <c r="N345" s="1274"/>
      <c r="O345" s="1274"/>
      <c r="P345" s="1274"/>
      <c r="Q345" s="1274"/>
      <c r="R345" s="1274"/>
      <c r="S345" s="1274"/>
      <c r="T345" s="1274"/>
      <c r="U345" s="1274"/>
      <c r="V345" s="1274"/>
      <c r="W345" s="1274"/>
      <c r="X345" s="1274"/>
      <c r="Y345" s="1274"/>
      <c r="Z345" s="1274"/>
      <c r="AA345" s="1274"/>
      <c r="AB345" s="1274"/>
      <c r="AC345" s="1274"/>
      <c r="AD345" s="1274"/>
      <c r="AE345" s="1274"/>
      <c r="AF345" s="1274"/>
      <c r="AG345" s="1274"/>
      <c r="AH345" s="1274"/>
      <c r="AI345" s="1274"/>
      <c r="AJ345" s="1274"/>
      <c r="AK345" s="1274"/>
    </row>
    <row r="346" spans="2:37">
      <c r="B346" s="2"/>
      <c r="E346" s="1274"/>
      <c r="F346" s="1274"/>
      <c r="G346" s="1274"/>
      <c r="H346" s="1274"/>
      <c r="I346" s="1274"/>
      <c r="J346" s="1274"/>
      <c r="K346" s="1274"/>
      <c r="L346" s="1274"/>
      <c r="M346" s="1274"/>
      <c r="N346" s="1274"/>
      <c r="O346" s="1274"/>
      <c r="P346" s="1274"/>
      <c r="Q346" s="1274"/>
      <c r="R346" s="1274"/>
      <c r="S346" s="1274"/>
      <c r="T346" s="1274"/>
      <c r="U346" s="1274"/>
      <c r="V346" s="1274"/>
      <c r="W346" s="1274"/>
      <c r="X346" s="1274"/>
      <c r="Y346" s="1274"/>
      <c r="Z346" s="1274"/>
      <c r="AA346" s="1274"/>
      <c r="AB346" s="1274"/>
      <c r="AC346" s="1274"/>
      <c r="AD346" s="1274"/>
      <c r="AE346" s="1274"/>
      <c r="AF346" s="1274"/>
      <c r="AG346" s="1274"/>
      <c r="AH346" s="1274"/>
      <c r="AI346" s="1274"/>
      <c r="AJ346" s="1274"/>
      <c r="AK346" s="1274"/>
    </row>
    <row r="347" spans="2:37">
      <c r="B347" s="2"/>
      <c r="E347" s="1274"/>
      <c r="F347" s="1274"/>
      <c r="G347" s="1274"/>
      <c r="H347" s="1274"/>
      <c r="I347" s="1274"/>
      <c r="J347" s="1274"/>
      <c r="K347" s="1274"/>
      <c r="L347" s="1274"/>
      <c r="M347" s="1274"/>
      <c r="N347" s="1274"/>
      <c r="O347" s="1274"/>
      <c r="P347" s="1274"/>
      <c r="Q347" s="1274"/>
      <c r="R347" s="1274"/>
      <c r="S347" s="1274"/>
      <c r="T347" s="1274"/>
      <c r="U347" s="1274"/>
      <c r="V347" s="1274"/>
      <c r="W347" s="1274"/>
      <c r="X347" s="1274"/>
      <c r="Y347" s="1274"/>
      <c r="Z347" s="1274"/>
      <c r="AA347" s="1274"/>
      <c r="AB347" s="1274"/>
      <c r="AC347" s="1274"/>
      <c r="AD347" s="1274"/>
      <c r="AE347" s="1274"/>
      <c r="AF347" s="1274"/>
      <c r="AG347" s="1274"/>
      <c r="AH347" s="1274"/>
      <c r="AI347" s="1274"/>
      <c r="AJ347" s="1274"/>
      <c r="AK347" s="1274"/>
    </row>
    <row r="348" spans="2:37">
      <c r="B348" s="2"/>
      <c r="E348" s="3" t="s">
        <v>112</v>
      </c>
      <c r="F348" s="1269" t="s">
        <v>1344</v>
      </c>
      <c r="G348" s="1269"/>
      <c r="H348" s="1269"/>
      <c r="I348" s="1269"/>
      <c r="J348" s="1269"/>
      <c r="K348" s="1269"/>
      <c r="L348" s="1269"/>
      <c r="M348" s="1269"/>
      <c r="N348" s="1269"/>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row>
    <row r="349" spans="2:37">
      <c r="B349" s="2"/>
      <c r="E349" s="3"/>
      <c r="F349" s="1269"/>
      <c r="G349" s="1269"/>
      <c r="H349" s="1269"/>
      <c r="I349" s="1269"/>
      <c r="J349" s="1269"/>
      <c r="K349" s="1269"/>
      <c r="L349" s="1269"/>
      <c r="M349" s="1269"/>
      <c r="N349" s="1269"/>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row>
    <row r="350" spans="2:37">
      <c r="B350" s="2"/>
      <c r="E350" s="3"/>
      <c r="F350" s="1269"/>
      <c r="G350" s="1269"/>
      <c r="H350" s="1269"/>
      <c r="I350" s="1269"/>
      <c r="J350" s="1269"/>
      <c r="K350" s="1269"/>
      <c r="L350" s="1269"/>
      <c r="M350" s="1269"/>
      <c r="N350" s="1269"/>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row>
    <row r="351" spans="2:37">
      <c r="B351" s="2"/>
      <c r="E351" s="3"/>
      <c r="F351" s="1269"/>
      <c r="G351" s="1269"/>
      <c r="H351" s="1269"/>
      <c r="I351" s="1269"/>
      <c r="J351" s="1269"/>
      <c r="K351" s="1269"/>
      <c r="L351" s="1269"/>
      <c r="M351" s="1269"/>
      <c r="N351" s="1269"/>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row>
    <row r="352" spans="2:37">
      <c r="B352" s="2"/>
      <c r="E352" s="3" t="s">
        <v>113</v>
      </c>
      <c r="F352" s="1269" t="s">
        <v>1343</v>
      </c>
      <c r="G352" s="1269"/>
      <c r="H352" s="1269"/>
      <c r="I352" s="1269"/>
      <c r="J352" s="1269"/>
      <c r="K352" s="1269"/>
      <c r="L352" s="1269"/>
      <c r="M352" s="1269"/>
      <c r="N352" s="1269"/>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row>
    <row r="353" spans="1:38">
      <c r="B353" s="2"/>
      <c r="F353" s="1269"/>
      <c r="G353" s="1269"/>
      <c r="H353" s="1269"/>
      <c r="I353" s="1269"/>
      <c r="J353" s="1269"/>
      <c r="K353" s="1269"/>
      <c r="L353" s="1269"/>
      <c r="M353" s="1269"/>
      <c r="N353" s="1269"/>
      <c r="O353" s="1269"/>
      <c r="P353" s="1269"/>
      <c r="Q353" s="1269"/>
      <c r="R353" s="1269"/>
      <c r="S353" s="1269"/>
      <c r="T353" s="1269"/>
      <c r="U353" s="1269"/>
      <c r="V353" s="1269"/>
      <c r="W353" s="1269"/>
      <c r="X353" s="1269"/>
      <c r="Y353" s="1269"/>
      <c r="Z353" s="1269"/>
      <c r="AA353" s="1269"/>
      <c r="AB353" s="1269"/>
      <c r="AC353" s="1269"/>
      <c r="AD353" s="1269"/>
      <c r="AE353" s="1269"/>
      <c r="AF353" s="1269"/>
      <c r="AG353" s="1269"/>
      <c r="AH353" s="1269"/>
      <c r="AI353" s="1269"/>
      <c r="AJ353" s="1269"/>
      <c r="AK353" s="1269"/>
    </row>
    <row r="354" spans="1:38">
      <c r="B354" s="2"/>
      <c r="F354" s="1269"/>
      <c r="G354" s="1269"/>
      <c r="H354" s="1269"/>
      <c r="I354" s="1269"/>
      <c r="J354" s="1269"/>
      <c r="K354" s="1269"/>
      <c r="L354" s="1269"/>
      <c r="M354" s="1269"/>
      <c r="N354" s="1269"/>
      <c r="O354" s="1269"/>
      <c r="P354" s="1269"/>
      <c r="Q354" s="1269"/>
      <c r="R354" s="1269"/>
      <c r="S354" s="1269"/>
      <c r="T354" s="1269"/>
      <c r="U354" s="1269"/>
      <c r="V354" s="1269"/>
      <c r="W354" s="1269"/>
      <c r="X354" s="1269"/>
      <c r="Y354" s="1269"/>
      <c r="Z354" s="1269"/>
      <c r="AA354" s="1269"/>
      <c r="AB354" s="1269"/>
      <c r="AC354" s="1269"/>
      <c r="AD354" s="1269"/>
      <c r="AE354" s="1269"/>
      <c r="AF354" s="1269"/>
      <c r="AG354" s="1269"/>
      <c r="AH354" s="1269"/>
      <c r="AI354" s="1269"/>
      <c r="AJ354" s="1269"/>
      <c r="AK354" s="1269"/>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7" t="s">
        <v>1333</v>
      </c>
      <c r="F367" s="1277"/>
      <c r="G367" s="1277"/>
      <c r="H367" s="1277"/>
      <c r="I367" s="1277"/>
      <c r="J367" s="1277"/>
      <c r="K367" s="1277"/>
      <c r="L367" s="1277"/>
      <c r="M367" s="1277"/>
      <c r="N367" s="1277"/>
      <c r="O367" s="1277"/>
      <c r="P367" s="1277"/>
      <c r="Q367" s="1277"/>
      <c r="R367" s="1277"/>
      <c r="S367" s="1277"/>
      <c r="T367" s="1277"/>
      <c r="U367" s="1277"/>
      <c r="V367" s="1277"/>
      <c r="W367" s="1277"/>
      <c r="X367" s="1277"/>
      <c r="Y367" s="1277"/>
      <c r="Z367" s="1277"/>
      <c r="AA367" s="1277"/>
      <c r="AB367" s="1277"/>
      <c r="AC367" s="1277"/>
      <c r="AD367" s="1277"/>
      <c r="AE367" s="1277"/>
      <c r="AF367" s="1277"/>
      <c r="AG367" s="1277"/>
      <c r="AH367" s="1277"/>
      <c r="AI367" s="1277"/>
      <c r="AJ367" s="1277"/>
      <c r="AK367" s="1277"/>
      <c r="AL367" s="1277"/>
    </row>
    <row r="368" spans="1:38">
      <c r="B368" s="2"/>
      <c r="E368" s="1277"/>
      <c r="F368" s="1277"/>
      <c r="G368" s="1277"/>
      <c r="H368" s="1277"/>
      <c r="I368" s="1277"/>
      <c r="J368" s="1277"/>
      <c r="K368" s="1277"/>
      <c r="L368" s="1277"/>
      <c r="M368" s="1277"/>
      <c r="N368" s="1277"/>
      <c r="O368" s="1277"/>
      <c r="P368" s="1277"/>
      <c r="Q368" s="1277"/>
      <c r="R368" s="1277"/>
      <c r="S368" s="1277"/>
      <c r="T368" s="1277"/>
      <c r="U368" s="1277"/>
      <c r="V368" s="1277"/>
      <c r="W368" s="1277"/>
      <c r="X368" s="1277"/>
      <c r="Y368" s="1277"/>
      <c r="Z368" s="1277"/>
      <c r="AA368" s="1277"/>
      <c r="AB368" s="1277"/>
      <c r="AC368" s="1277"/>
      <c r="AD368" s="1277"/>
      <c r="AE368" s="1277"/>
      <c r="AF368" s="1277"/>
      <c r="AG368" s="1277"/>
      <c r="AH368" s="1277"/>
      <c r="AI368" s="1277"/>
      <c r="AJ368" s="1277"/>
      <c r="AK368" s="1277"/>
      <c r="AL368" s="1277"/>
    </row>
    <row r="369" spans="1:37" s="1278" customFormat="1">
      <c r="A369"/>
      <c r="B369" s="2"/>
      <c r="C369"/>
      <c r="D369"/>
      <c r="E369" s="1275" t="s">
        <v>1368</v>
      </c>
    </row>
    <row r="370" spans="1:37" s="1278"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9" t="s">
        <v>1379</v>
      </c>
      <c r="G388" s="1269"/>
      <c r="H388" s="1269"/>
      <c r="I388" s="1269"/>
      <c r="J388" s="1269"/>
      <c r="K388" s="1269"/>
      <c r="L388" s="1269"/>
      <c r="M388" s="1269"/>
      <c r="N388" s="1269"/>
      <c r="O388" s="1269"/>
      <c r="P388" s="1269"/>
      <c r="Q388" s="1269"/>
      <c r="R388" s="1269"/>
      <c r="S388" s="1269"/>
      <c r="T388" s="1269"/>
      <c r="U388" s="1269"/>
      <c r="V388" s="1269"/>
      <c r="W388" s="1269"/>
      <c r="X388" s="1269"/>
      <c r="Y388" s="1269"/>
      <c r="Z388" s="1269"/>
      <c r="AA388" s="1269"/>
      <c r="AB388" s="1269"/>
      <c r="AC388" s="1269"/>
      <c r="AD388" s="1269"/>
      <c r="AE388" s="1269"/>
      <c r="AF388" s="1269"/>
      <c r="AG388" s="1269"/>
      <c r="AH388" s="1269"/>
      <c r="AI388" s="1269"/>
      <c r="AJ388" s="1269"/>
      <c r="AK388" s="1269"/>
    </row>
    <row r="389" spans="1:38">
      <c r="B389" s="2"/>
      <c r="E389" s="3"/>
      <c r="F389" s="1269"/>
      <c r="G389" s="1269"/>
      <c r="H389" s="1269"/>
      <c r="I389" s="1269"/>
      <c r="J389" s="1269"/>
      <c r="K389" s="1269"/>
      <c r="L389" s="1269"/>
      <c r="M389" s="1269"/>
      <c r="N389" s="1269"/>
      <c r="O389" s="1269"/>
      <c r="P389" s="1269"/>
      <c r="Q389" s="1269"/>
      <c r="R389" s="1269"/>
      <c r="S389" s="1269"/>
      <c r="T389" s="1269"/>
      <c r="U389" s="1269"/>
      <c r="V389" s="1269"/>
      <c r="W389" s="1269"/>
      <c r="X389" s="1269"/>
      <c r="Y389" s="1269"/>
      <c r="Z389" s="1269"/>
      <c r="AA389" s="1269"/>
      <c r="AB389" s="1269"/>
      <c r="AC389" s="1269"/>
      <c r="AD389" s="1269"/>
      <c r="AE389" s="1269"/>
      <c r="AF389" s="1269"/>
      <c r="AG389" s="1269"/>
      <c r="AH389" s="1269"/>
      <c r="AI389" s="1269"/>
      <c r="AJ389" s="1269"/>
      <c r="AK389" s="1269"/>
    </row>
    <row r="390" spans="1:38">
      <c r="B390" s="2"/>
      <c r="E390" s="3"/>
      <c r="F390" s="1269"/>
      <c r="G390" s="1269"/>
      <c r="H390" s="1269"/>
      <c r="I390" s="1269"/>
      <c r="J390" s="1269"/>
      <c r="K390" s="1269"/>
      <c r="L390" s="1269"/>
      <c r="M390" s="1269"/>
      <c r="N390" s="1269"/>
      <c r="O390" s="1269"/>
      <c r="P390" s="1269"/>
      <c r="Q390" s="1269"/>
      <c r="R390" s="1269"/>
      <c r="S390" s="1269"/>
      <c r="T390" s="1269"/>
      <c r="U390" s="1269"/>
      <c r="V390" s="1269"/>
      <c r="W390" s="1269"/>
      <c r="X390" s="1269"/>
      <c r="Y390" s="1269"/>
      <c r="Z390" s="1269"/>
      <c r="AA390" s="1269"/>
      <c r="AB390" s="1269"/>
      <c r="AC390" s="1269"/>
      <c r="AD390" s="1269"/>
      <c r="AE390" s="1269"/>
      <c r="AF390" s="1269"/>
      <c r="AG390" s="1269"/>
      <c r="AH390" s="1269"/>
      <c r="AI390" s="1269"/>
      <c r="AJ390" s="1269"/>
      <c r="AK390" s="1269"/>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2"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codeName="Sheet6">
    <pageSetUpPr fitToPage="1"/>
  </sheetPr>
  <dimension ref="A1:BR254"/>
  <sheetViews>
    <sheetView topLeftCell="A185" zoomScale="112" zoomScaleNormal="100" workbookViewId="0">
      <selection activeCell="AC73" sqref="AC73:BC77"/>
    </sheetView>
  </sheetViews>
  <sheetFormatPr defaultColWidth="2.77734375" defaultRowHeight="15.75" customHeight="1"/>
  <cols>
    <col min="1" max="13" width="2.77734375" style="1200"/>
    <col min="14" max="14" width="4.77734375" style="1200" customWidth="1"/>
    <col min="15" max="37" width="2.77734375" style="1200"/>
    <col min="38" max="38" width="3" style="1200" customWidth="1"/>
    <col min="39" max="45" width="2.77734375" style="1200"/>
    <col min="46" max="46" width="4.77734375" style="1200" customWidth="1"/>
    <col min="47" max="64" width="2.77734375" style="1200"/>
    <col min="65" max="65" width="10.44140625" style="1200" hidden="1" customWidth="1"/>
    <col min="66" max="70" width="5.44140625" style="1200" bestFit="1" customWidth="1"/>
    <col min="71" max="71" width="6.109375" style="1200" bestFit="1" customWidth="1"/>
    <col min="72" max="76" width="5.44140625" style="1200" bestFit="1" customWidth="1"/>
    <col min="77" max="77" width="6.109375" style="1200" bestFit="1" customWidth="1"/>
    <col min="78" max="78" width="5.44140625" style="1200" bestFit="1" customWidth="1"/>
    <col min="79" max="16384" width="2.77734375" style="1200"/>
  </cols>
  <sheetData>
    <row r="1" spans="1:65" ht="15.75" customHeight="1">
      <c r="A1" s="2589" t="s">
        <v>2409</v>
      </c>
      <c r="B1" s="2590"/>
      <c r="C1" s="2590"/>
      <c r="D1" s="2590"/>
      <c r="E1" s="2590"/>
      <c r="F1" s="2590"/>
      <c r="G1" s="2590"/>
      <c r="H1" s="2590"/>
      <c r="I1" s="2590"/>
      <c r="J1" s="2590"/>
      <c r="K1" s="2590"/>
      <c r="L1" s="2590"/>
      <c r="M1" s="2590"/>
      <c r="N1" s="2590"/>
      <c r="O1" s="2590"/>
      <c r="P1" s="2590"/>
      <c r="Q1" s="2590"/>
      <c r="R1" s="2590"/>
      <c r="S1" s="2590"/>
      <c r="T1" s="2590"/>
      <c r="U1" s="2590"/>
      <c r="V1" s="2590"/>
      <c r="W1" s="2590"/>
      <c r="X1" s="2590"/>
      <c r="Y1" s="2590"/>
      <c r="Z1" s="2590"/>
      <c r="AA1" s="2590"/>
      <c r="AB1" s="2590"/>
      <c r="AC1" s="2590"/>
      <c r="AD1" s="2590"/>
      <c r="AE1" s="2590"/>
      <c r="AF1" s="2590"/>
      <c r="AG1" s="2590"/>
      <c r="AH1" s="2590"/>
      <c r="AI1" s="2590"/>
      <c r="AJ1" s="2590"/>
      <c r="AK1" s="2590"/>
      <c r="AL1" s="2590"/>
      <c r="AM1" s="2590"/>
      <c r="AN1" s="2590"/>
      <c r="AO1" s="2590"/>
      <c r="AP1" s="2590"/>
      <c r="AQ1" s="2590"/>
      <c r="AR1" s="2590"/>
      <c r="AS1" s="2590"/>
      <c r="AT1" s="2590"/>
      <c r="AU1" s="2590"/>
      <c r="AV1" s="2590"/>
      <c r="AW1" s="2590"/>
      <c r="AX1" s="2590"/>
      <c r="AY1" s="2590"/>
      <c r="AZ1" s="2590"/>
      <c r="BA1" s="2590"/>
      <c r="BB1" s="2590"/>
      <c r="BC1" s="2590"/>
      <c r="BD1" s="2590"/>
      <c r="BE1" s="2591"/>
    </row>
    <row r="2" spans="1:65" ht="15.75" customHeight="1">
      <c r="A2" s="2592" t="s">
        <v>2456</v>
      </c>
      <c r="B2" s="2593"/>
      <c r="C2" s="2593"/>
      <c r="D2" s="2593"/>
      <c r="E2" s="2593"/>
      <c r="F2" s="2593"/>
      <c r="G2" s="2593"/>
      <c r="H2" s="2593"/>
      <c r="I2" s="2593"/>
      <c r="J2" s="2593"/>
      <c r="K2" s="2593"/>
      <c r="L2" s="2593"/>
      <c r="M2" s="2593"/>
      <c r="N2" s="2593"/>
      <c r="O2" s="2593"/>
      <c r="P2" s="2593"/>
      <c r="Q2" s="2593"/>
      <c r="R2" s="2593"/>
      <c r="S2" s="2593"/>
      <c r="T2" s="2593"/>
      <c r="U2" s="2593"/>
      <c r="V2" s="2593"/>
      <c r="W2" s="2593"/>
      <c r="X2" s="2593"/>
      <c r="Y2" s="2593"/>
      <c r="Z2" s="2593"/>
      <c r="AA2" s="2593"/>
      <c r="AB2" s="2593"/>
      <c r="AC2" s="2593"/>
      <c r="AD2" s="2593"/>
      <c r="AE2" s="2593"/>
      <c r="AF2" s="2593"/>
      <c r="AG2" s="2593"/>
      <c r="AH2" s="2593"/>
      <c r="AI2" s="2593"/>
      <c r="AJ2" s="2593"/>
      <c r="AK2" s="2593"/>
      <c r="AL2" s="2593"/>
      <c r="AM2" s="2593"/>
      <c r="AN2" s="2593"/>
      <c r="AO2" s="2593"/>
      <c r="AP2" s="2593"/>
      <c r="AQ2" s="2593"/>
      <c r="AR2" s="2593"/>
      <c r="AS2" s="2593"/>
      <c r="AT2" s="2593"/>
      <c r="AU2" s="2593"/>
      <c r="AV2" s="2593"/>
      <c r="AW2" s="2593"/>
      <c r="AX2" s="2593"/>
      <c r="AY2" s="2593"/>
      <c r="AZ2" s="2593"/>
      <c r="BA2" s="2593"/>
      <c r="BB2" s="2593"/>
      <c r="BC2" s="2593"/>
      <c r="BD2" s="2593"/>
      <c r="BE2" s="2594"/>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95" t="str">
        <f>IF(Application!H18="","",Application!H18)</f>
        <v>The Pardes 2</v>
      </c>
      <c r="M4" s="2596"/>
      <c r="N4" s="2596"/>
      <c r="O4" s="2596"/>
      <c r="P4" s="2596"/>
      <c r="Q4" s="2596"/>
      <c r="R4" s="2596"/>
      <c r="S4" s="2596"/>
      <c r="T4" s="2596"/>
      <c r="U4" s="2596"/>
      <c r="V4" s="2596"/>
      <c r="W4" s="2596"/>
      <c r="X4" s="2596"/>
      <c r="Y4" s="2596"/>
      <c r="Z4" s="2596"/>
      <c r="AA4" s="2596"/>
      <c r="AB4" s="2596"/>
      <c r="AC4" s="2597"/>
      <c r="AD4" s="1209"/>
      <c r="AE4" s="1209"/>
      <c r="AF4" s="2238" t="s">
        <v>2457</v>
      </c>
      <c r="AG4" s="2238"/>
      <c r="AH4" s="2238"/>
      <c r="AI4" s="2238"/>
      <c r="AJ4" s="2238"/>
      <c r="AK4" s="2238"/>
      <c r="AL4" s="2238"/>
      <c r="AM4" s="2238"/>
      <c r="AN4" s="2238"/>
      <c r="AO4" s="2238"/>
      <c r="AP4" s="2239" t="s">
        <v>2758</v>
      </c>
      <c r="AQ4" s="2240"/>
      <c r="AR4" s="2240"/>
      <c r="AS4" s="2240"/>
      <c r="AT4" s="2240"/>
      <c r="AU4" s="2240"/>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38" t="s">
        <v>2458</v>
      </c>
      <c r="AG5" s="2238"/>
      <c r="AH5" s="2238"/>
      <c r="AI5" s="2238"/>
      <c r="AJ5" s="2238"/>
      <c r="AK5" s="2238"/>
      <c r="AL5" s="2238"/>
      <c r="AM5" s="2238"/>
      <c r="AN5" s="2238"/>
      <c r="AO5" s="2238"/>
      <c r="AP5" s="2239" t="s">
        <v>2758</v>
      </c>
      <c r="AQ5" s="2240"/>
      <c r="AR5" s="2240"/>
      <c r="AS5" s="2240"/>
      <c r="AT5" s="2240"/>
      <c r="AU5" s="2240"/>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595" t="str">
        <f>IF(Application!H16="","",Application!H16)</f>
        <v>Bold Pardes II LLC</v>
      </c>
      <c r="M6" s="2596"/>
      <c r="N6" s="2596"/>
      <c r="O6" s="2596"/>
      <c r="P6" s="2596"/>
      <c r="Q6" s="2596"/>
      <c r="R6" s="2596"/>
      <c r="S6" s="2596"/>
      <c r="T6" s="2596"/>
      <c r="U6" s="2596"/>
      <c r="V6" s="2596"/>
      <c r="W6" s="2596"/>
      <c r="X6" s="2596"/>
      <c r="Y6" s="2596"/>
      <c r="Z6" s="2596"/>
      <c r="AA6" s="2596"/>
      <c r="AB6" s="2596"/>
      <c r="AC6" s="2597"/>
      <c r="AD6" s="1209"/>
      <c r="AE6" s="1209"/>
      <c r="AF6" s="2598" t="s">
        <v>2459</v>
      </c>
      <c r="AG6" s="2598"/>
      <c r="AH6" s="2598"/>
      <c r="AI6" s="2598"/>
      <c r="AJ6" s="2598"/>
      <c r="AK6" s="2598"/>
      <c r="AL6" s="2598"/>
      <c r="AM6" s="2598"/>
      <c r="AN6" s="2598"/>
      <c r="AO6" s="2598"/>
      <c r="AP6" s="2588">
        <v>4</v>
      </c>
      <c r="AQ6" s="2588"/>
      <c r="AR6" s="2588"/>
      <c r="AS6" s="2588"/>
      <c r="AT6" s="2588"/>
      <c r="AU6" s="2588"/>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98" t="s">
        <v>2460</v>
      </c>
      <c r="AG7" s="2598"/>
      <c r="AH7" s="2598"/>
      <c r="AI7" s="2598"/>
      <c r="AJ7" s="2598"/>
      <c r="AK7" s="2598"/>
      <c r="AL7" s="2598"/>
      <c r="AM7" s="2598"/>
      <c r="AN7" s="2598"/>
      <c r="AO7" s="2598"/>
      <c r="AP7" s="2588">
        <v>0</v>
      </c>
      <c r="AQ7" s="2588"/>
      <c r="AR7" s="2588"/>
      <c r="AS7" s="2588"/>
      <c r="AT7" s="2588"/>
      <c r="AU7" s="2588"/>
      <c r="AV7" s="1209"/>
      <c r="AW7" s="1209"/>
      <c r="AX7" s="1209"/>
      <c r="AY7" s="1209"/>
      <c r="AZ7" s="1209"/>
      <c r="BA7" s="1209"/>
      <c r="BB7" s="1209"/>
      <c r="BC7" s="1209"/>
      <c r="BD7" s="1209"/>
      <c r="BE7" s="1219"/>
    </row>
    <row r="8" spans="1:65" ht="1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99" t="str">
        <f>Application!T197</f>
        <v>No</v>
      </c>
      <c r="AC8" s="2600"/>
      <c r="AD8" s="2601"/>
      <c r="AE8" s="1209"/>
      <c r="AF8" s="2598" t="s">
        <v>2461</v>
      </c>
      <c r="AG8" s="2598"/>
      <c r="AH8" s="2598"/>
      <c r="AI8" s="2598"/>
      <c r="AJ8" s="2598"/>
      <c r="AK8" s="2598"/>
      <c r="AL8" s="2598"/>
      <c r="AM8" s="2598"/>
      <c r="AN8" s="2598"/>
      <c r="AO8" s="2598"/>
      <c r="AP8" s="2588" t="s">
        <v>2413</v>
      </c>
      <c r="AQ8" s="2588"/>
      <c r="AR8" s="2588"/>
      <c r="AS8" s="2588"/>
      <c r="AT8" s="2588"/>
      <c r="AU8" s="2588"/>
      <c r="AV8" s="1209"/>
      <c r="AW8" s="1209"/>
      <c r="AX8" s="1209"/>
      <c r="AY8" s="1209"/>
      <c r="AZ8" s="1209"/>
      <c r="BA8" s="1209"/>
      <c r="BB8" s="1209"/>
      <c r="BC8" s="1209"/>
      <c r="BD8" s="1209"/>
      <c r="BE8" s="1219"/>
      <c r="BM8" s="1200" t="s">
        <v>2289</v>
      </c>
    </row>
    <row r="9" spans="1:65" ht="14.4">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38" t="s">
        <v>2617</v>
      </c>
      <c r="AG9" s="2238"/>
      <c r="AH9" s="2238"/>
      <c r="AI9" s="2238"/>
      <c r="AJ9" s="2238"/>
      <c r="AK9" s="2238"/>
      <c r="AL9" s="2238"/>
      <c r="AM9" s="2238"/>
      <c r="AN9" s="2238"/>
      <c r="AO9" s="2238"/>
      <c r="AP9" s="2239" t="s">
        <v>2759</v>
      </c>
      <c r="AQ9" s="2240"/>
      <c r="AR9" s="2240"/>
      <c r="AS9" s="2240"/>
      <c r="AT9" s="2240"/>
      <c r="AU9" s="2240"/>
      <c r="AV9" s="1209"/>
      <c r="AW9" s="1209"/>
      <c r="AX9" s="1209"/>
      <c r="AY9" s="1209"/>
      <c r="AZ9" s="1209"/>
      <c r="BA9" s="1209"/>
      <c r="BB9" s="1209"/>
      <c r="BC9" s="1209"/>
      <c r="BD9" s="1209"/>
      <c r="BE9" s="1219"/>
      <c r="BM9" s="1200" t="s">
        <v>2462</v>
      </c>
    </row>
    <row r="10" spans="1:65" ht="14.4">
      <c r="A10" s="1215"/>
      <c r="B10" s="1217" t="s">
        <v>1792</v>
      </c>
      <c r="C10" s="1217"/>
      <c r="D10" s="1217"/>
      <c r="E10" s="1217"/>
      <c r="F10" s="1217"/>
      <c r="G10" s="1217"/>
      <c r="H10" s="1217"/>
      <c r="I10" s="1217"/>
      <c r="J10" s="1217"/>
      <c r="K10" s="1217"/>
      <c r="L10" s="1217"/>
      <c r="M10" s="1209"/>
      <c r="N10" s="2570">
        <f>Application!AO627</f>
        <v>16197385</v>
      </c>
      <c r="O10" s="2570"/>
      <c r="P10" s="2570"/>
      <c r="Q10" s="2570"/>
      <c r="R10" s="2570"/>
      <c r="S10" s="2570"/>
      <c r="T10" s="2570"/>
      <c r="U10" s="1209"/>
      <c r="V10" s="1209"/>
      <c r="W10" s="1209"/>
      <c r="X10" s="1258"/>
      <c r="Y10" s="1258"/>
      <c r="Z10" s="1258"/>
      <c r="AA10" s="1258"/>
      <c r="AB10" s="1258"/>
      <c r="AC10" s="1258"/>
      <c r="AD10" s="1258"/>
      <c r="AE10" s="1258"/>
      <c r="AF10" s="2238" t="s">
        <v>2616</v>
      </c>
      <c r="AG10" s="2238"/>
      <c r="AH10" s="2238"/>
      <c r="AI10" s="2238"/>
      <c r="AJ10" s="2238"/>
      <c r="AK10" s="2238"/>
      <c r="AL10" s="2238"/>
      <c r="AM10" s="2238"/>
      <c r="AN10" s="2238"/>
      <c r="AO10" s="2238"/>
      <c r="AP10" s="2239" t="s">
        <v>2759</v>
      </c>
      <c r="AQ10" s="2240"/>
      <c r="AR10" s="2240"/>
      <c r="AS10" s="2240"/>
      <c r="AT10" s="2240"/>
      <c r="AU10" s="2240"/>
      <c r="AV10" s="1258"/>
      <c r="AW10" s="1258"/>
      <c r="AX10" s="1209"/>
      <c r="AY10" s="1209"/>
      <c r="AZ10" s="1209"/>
      <c r="BA10" s="1209"/>
      <c r="BB10" s="1209"/>
      <c r="BC10" s="1209"/>
      <c r="BD10" s="1209"/>
      <c r="BE10" s="1219"/>
      <c r="BM10" s="1200" t="s">
        <v>2464</v>
      </c>
    </row>
    <row r="11" spans="1:65" ht="14.4">
      <c r="A11" s="1215"/>
      <c r="B11" s="1217" t="s">
        <v>1793</v>
      </c>
      <c r="C11" s="1217"/>
      <c r="D11" s="1217"/>
      <c r="E11" s="1217"/>
      <c r="F11" s="1217"/>
      <c r="G11" s="1217"/>
      <c r="H11" s="1217"/>
      <c r="I11" s="1217"/>
      <c r="J11" s="1217"/>
      <c r="K11" s="1217"/>
      <c r="L11" s="1217"/>
      <c r="M11" s="1209"/>
      <c r="N11" s="2570">
        <f>Application!AA933</f>
        <v>0</v>
      </c>
      <c r="O11" s="2570"/>
      <c r="P11" s="2570"/>
      <c r="Q11" s="2570"/>
      <c r="R11" s="2570"/>
      <c r="S11" s="2570"/>
      <c r="T11" s="2570"/>
      <c r="U11" s="1209"/>
      <c r="V11" s="1209"/>
      <c r="W11" s="1209"/>
      <c r="X11" s="1258"/>
      <c r="Y11" s="1258"/>
      <c r="Z11" s="1258"/>
      <c r="AA11" s="1258"/>
      <c r="AB11" s="1258"/>
      <c r="AC11" s="1258"/>
      <c r="AD11" s="1258"/>
      <c r="AE11" s="1258"/>
      <c r="AF11" s="2238" t="s">
        <v>2615</v>
      </c>
      <c r="AG11" s="2238"/>
      <c r="AH11" s="2238"/>
      <c r="AI11" s="2238"/>
      <c r="AJ11" s="2238"/>
      <c r="AK11" s="2238"/>
      <c r="AL11" s="2238"/>
      <c r="AM11" s="2238"/>
      <c r="AN11" s="2238"/>
      <c r="AO11" s="2238"/>
      <c r="AP11" s="2239">
        <v>46419</v>
      </c>
      <c r="AQ11" s="2240"/>
      <c r="AR11" s="2240"/>
      <c r="AS11" s="2240"/>
      <c r="AT11" s="2240"/>
      <c r="AU11" s="2240"/>
      <c r="AV11" s="1258"/>
      <c r="AW11" s="1258"/>
      <c r="AX11" s="1209"/>
      <c r="AY11" s="1209"/>
      <c r="AZ11" s="1209"/>
      <c r="BA11" s="1209"/>
      <c r="BB11" s="1209"/>
      <c r="BC11" s="1209"/>
      <c r="BD11" s="1209"/>
      <c r="BE11" s="1219"/>
      <c r="BM11" s="1200" t="s">
        <v>2413</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2467</v>
      </c>
    </row>
    <row r="13" spans="1:65" ht="15" thickBot="1">
      <c r="A13" s="1209"/>
      <c r="B13" s="2577" t="s">
        <v>1794</v>
      </c>
      <c r="C13" s="2578"/>
      <c r="D13" s="2578"/>
      <c r="E13" s="2578"/>
      <c r="F13" s="2578"/>
      <c r="G13" s="2578"/>
      <c r="H13" s="2578"/>
      <c r="I13" s="2578"/>
      <c r="J13" s="2578"/>
      <c r="K13" s="2578"/>
      <c r="L13" s="2578"/>
      <c r="M13" s="2578"/>
      <c r="N13" s="2578"/>
      <c r="O13" s="2578"/>
      <c r="P13" s="2579"/>
      <c r="Q13" s="2580" t="s">
        <v>677</v>
      </c>
      <c r="R13" s="2581"/>
      <c r="S13" s="2581"/>
      <c r="T13" s="2582"/>
      <c r="U13" s="1258"/>
      <c r="V13" s="1209"/>
      <c r="W13" s="1209"/>
      <c r="X13" s="1209"/>
      <c r="Y13" s="1209"/>
      <c r="Z13" s="1209"/>
      <c r="AA13" s="2571" t="s">
        <v>2463</v>
      </c>
      <c r="AB13" s="2571"/>
      <c r="AC13" s="2571"/>
      <c r="AD13" s="2571"/>
      <c r="AE13" s="2571"/>
      <c r="AF13" s="2571"/>
      <c r="AG13" s="2571"/>
      <c r="AH13" s="2571"/>
      <c r="AI13" s="2571"/>
      <c r="AJ13" s="2571"/>
      <c r="AK13" s="2571"/>
      <c r="AL13" s="2571"/>
      <c r="AM13" s="2571"/>
      <c r="AN13" s="2571"/>
      <c r="AO13" s="2572">
        <f>Application!W473</f>
        <v>21</v>
      </c>
      <c r="AP13" s="2573"/>
      <c r="AQ13" s="2573"/>
      <c r="AR13" s="2573"/>
      <c r="AS13" s="2573"/>
      <c r="AT13" s="1258"/>
      <c r="AU13" s="1258"/>
      <c r="AV13" s="1258"/>
      <c r="AW13" s="1258"/>
      <c r="AX13" s="1258"/>
      <c r="AY13" s="1258"/>
      <c r="AZ13" s="1258"/>
      <c r="BA13" s="1258"/>
      <c r="BB13" s="1258"/>
      <c r="BC13" s="1258"/>
      <c r="BD13" s="1258"/>
      <c r="BE13" s="1205"/>
      <c r="BM13" s="1200" t="s">
        <v>2468</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74" t="s">
        <v>2465</v>
      </c>
      <c r="AB14" s="2574"/>
      <c r="AC14" s="2574"/>
      <c r="AD14" s="2574"/>
      <c r="AE14" s="2574"/>
      <c r="AF14" s="2574"/>
      <c r="AG14" s="2574"/>
      <c r="AH14" s="2574"/>
      <c r="AI14" s="2574"/>
      <c r="AJ14" s="2574"/>
      <c r="AK14" s="2574"/>
      <c r="AL14" s="2574"/>
      <c r="AM14" s="2574"/>
      <c r="AN14" s="2574"/>
      <c r="AO14" s="2575"/>
      <c r="AP14" s="2576"/>
      <c r="AQ14" s="2576"/>
      <c r="AR14" s="2576"/>
      <c r="AS14" s="2576"/>
      <c r="AT14" s="1258"/>
      <c r="AU14" s="1258"/>
      <c r="AV14" s="1258"/>
      <c r="AW14" s="1258"/>
      <c r="AX14" s="1258"/>
      <c r="AY14" s="1258"/>
      <c r="AZ14" s="1258"/>
      <c r="BA14" s="1258"/>
      <c r="BB14" s="1258"/>
      <c r="BC14" s="1258"/>
      <c r="BD14" s="1258"/>
      <c r="BE14" s="1205"/>
    </row>
    <row r="15" spans="1:65" ht="15" thickBot="1">
      <c r="A15" s="1209"/>
      <c r="B15" s="2583" t="s">
        <v>1795</v>
      </c>
      <c r="C15" s="2584"/>
      <c r="D15" s="2584"/>
      <c r="E15" s="2584"/>
      <c r="F15" s="2584"/>
      <c r="G15" s="2584"/>
      <c r="H15" s="2584"/>
      <c r="I15" s="2584"/>
      <c r="J15" s="2584"/>
      <c r="K15" s="2584"/>
      <c r="L15" s="2584"/>
      <c r="M15" s="2584"/>
      <c r="N15" s="2584"/>
      <c r="O15" s="2584"/>
      <c r="P15" s="2584"/>
      <c r="Q15" s="2584"/>
      <c r="R15" s="2585"/>
      <c r="S15" s="2586" t="str">
        <f>IF(Application!AB214="","",Application!AB214)</f>
        <v/>
      </c>
      <c r="T15" s="2586"/>
      <c r="U15" s="2586"/>
      <c r="V15" s="2586"/>
      <c r="W15" s="2587"/>
      <c r="X15" s="1258"/>
      <c r="Y15" s="1209"/>
      <c r="Z15" s="1209"/>
      <c r="AA15" s="2571" t="s">
        <v>2466</v>
      </c>
      <c r="AB15" s="2571"/>
      <c r="AC15" s="2571"/>
      <c r="AD15" s="2571"/>
      <c r="AE15" s="2571"/>
      <c r="AF15" s="2571"/>
      <c r="AG15" s="2571"/>
      <c r="AH15" s="2571"/>
      <c r="AI15" s="2571"/>
      <c r="AJ15" s="2571"/>
      <c r="AK15" s="2571"/>
      <c r="AL15" s="2571"/>
      <c r="AM15" s="2571"/>
      <c r="AN15" s="2571"/>
      <c r="AO15" s="2575">
        <v>45405</v>
      </c>
      <c r="AP15" s="2576"/>
      <c r="AQ15" s="2576"/>
      <c r="AR15" s="2576"/>
      <c r="AS15" s="2576"/>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4">
      <c r="A17" s="1209"/>
      <c r="B17" s="2450" t="s">
        <v>1796</v>
      </c>
      <c r="C17" s="2451"/>
      <c r="D17" s="2451"/>
      <c r="E17" s="2451"/>
      <c r="F17" s="2451"/>
      <c r="G17" s="2451"/>
      <c r="H17" s="2451"/>
      <c r="I17" s="2451"/>
      <c r="J17" s="2451"/>
      <c r="K17" s="2451"/>
      <c r="L17" s="2451"/>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1"/>
      <c r="AK17" s="2451"/>
      <c r="AL17" s="2451"/>
      <c r="AM17" s="2451"/>
      <c r="AN17" s="2451"/>
      <c r="AO17" s="2451"/>
      <c r="AP17" s="2451"/>
      <c r="AQ17" s="2451"/>
      <c r="AR17" s="2451"/>
      <c r="AS17" s="2451"/>
      <c r="AT17" s="2451"/>
      <c r="AU17" s="2451"/>
      <c r="AV17" s="2451"/>
      <c r="AW17" s="2451"/>
      <c r="AX17" s="2451"/>
      <c r="AY17" s="2452"/>
      <c r="AZ17" s="1209"/>
      <c r="BA17" s="1209"/>
      <c r="BB17" s="1209"/>
      <c r="BC17" s="1209"/>
      <c r="BD17" s="1209"/>
      <c r="BE17" s="1205"/>
      <c r="BF17" s="1201"/>
    </row>
    <row r="18" spans="1:58" ht="15.75" customHeight="1">
      <c r="A18" s="1209"/>
      <c r="B18" s="2563" t="s">
        <v>1797</v>
      </c>
      <c r="C18" s="2564"/>
      <c r="D18" s="2564"/>
      <c r="E18" s="2564"/>
      <c r="F18" s="2564"/>
      <c r="G18" s="2564"/>
      <c r="H18" s="2564"/>
      <c r="I18" s="2565"/>
      <c r="J18" s="2566" t="s">
        <v>1698</v>
      </c>
      <c r="K18" s="2567"/>
      <c r="L18" s="2567"/>
      <c r="M18" s="2567"/>
      <c r="N18" s="2567"/>
      <c r="O18" s="2568"/>
      <c r="P18" s="2566" t="s">
        <v>325</v>
      </c>
      <c r="Q18" s="2567"/>
      <c r="R18" s="2567"/>
      <c r="S18" s="2567"/>
      <c r="T18" s="2567"/>
      <c r="U18" s="2568"/>
      <c r="V18" s="2566" t="s">
        <v>326</v>
      </c>
      <c r="W18" s="2567"/>
      <c r="X18" s="2567"/>
      <c r="Y18" s="2567"/>
      <c r="Z18" s="2567"/>
      <c r="AA18" s="2568"/>
      <c r="AB18" s="2566" t="s">
        <v>163</v>
      </c>
      <c r="AC18" s="2567"/>
      <c r="AD18" s="2567"/>
      <c r="AE18" s="2567"/>
      <c r="AF18" s="2567"/>
      <c r="AG18" s="2568"/>
      <c r="AH18" s="2566" t="s">
        <v>164</v>
      </c>
      <c r="AI18" s="2567"/>
      <c r="AJ18" s="2567"/>
      <c r="AK18" s="2567"/>
      <c r="AL18" s="2567"/>
      <c r="AM18" s="2568"/>
      <c r="AN18" s="2566" t="s">
        <v>165</v>
      </c>
      <c r="AO18" s="2567"/>
      <c r="AP18" s="2567"/>
      <c r="AQ18" s="2567"/>
      <c r="AR18" s="2567"/>
      <c r="AS18" s="2568"/>
      <c r="AT18" s="2566" t="s">
        <v>1798</v>
      </c>
      <c r="AU18" s="2567"/>
      <c r="AV18" s="2567"/>
      <c r="AW18" s="2567"/>
      <c r="AX18" s="2567"/>
      <c r="AY18" s="2569"/>
      <c r="AZ18" s="1209"/>
      <c r="BA18" s="1209"/>
      <c r="BB18" s="1209"/>
      <c r="BC18" s="1209"/>
      <c r="BD18" s="1209"/>
      <c r="BE18" s="1205"/>
    </row>
    <row r="19" spans="1:58" ht="14.4">
      <c r="A19" s="1209"/>
      <c r="B19" s="2540">
        <v>0.3</v>
      </c>
      <c r="C19" s="2541"/>
      <c r="D19" s="2541"/>
      <c r="E19" s="2541"/>
      <c r="F19" s="2541"/>
      <c r="G19" s="2541"/>
      <c r="H19" s="2541"/>
      <c r="I19" s="2542"/>
      <c r="J19" s="2543">
        <f t="shared" ref="J19:J28" si="0">SUM(P19:AS19)</f>
        <v>42</v>
      </c>
      <c r="K19" s="2544"/>
      <c r="L19" s="2544"/>
      <c r="M19" s="2544"/>
      <c r="N19" s="2544"/>
      <c r="O19" s="2545"/>
      <c r="P19" s="2543" cm="1">
        <f t="array" ref="P19">SUMPRODUCT((Application!$B$718:$B$752 = 'CalHFA Addendum'!P$18)*(Application!$AC$718:$AC$752 = 'CalHFA Addendum'!$B19),Application!$G$718:$G$752)</f>
        <v>0</v>
      </c>
      <c r="Q19" s="2544"/>
      <c r="R19" s="2544"/>
      <c r="S19" s="2544"/>
      <c r="T19" s="2544"/>
      <c r="U19" s="2545"/>
      <c r="V19" s="2543" cm="1">
        <f t="array" ref="V19">SUMPRODUCT((Application!$B$714:$B$738 = 'CalHFA Addendum'!V$18)*(Application!$AC$714:$AC$738 = 'CalHFA Addendum'!$B19),Application!$G$714:$G$738)</f>
        <v>14</v>
      </c>
      <c r="W19" s="2544"/>
      <c r="X19" s="2544"/>
      <c r="Y19" s="2544"/>
      <c r="Z19" s="2544"/>
      <c r="AA19" s="2545"/>
      <c r="AB19" s="2543" cm="1">
        <f t="array" ref="AB19">SUMPRODUCT((Application!$B$714:$B$738 = 'CalHFA Addendum'!AB$18)*(Application!$AC$714:$AC$738 = 'CalHFA Addendum'!$B19),Application!$G$714:$G$738)</f>
        <v>14</v>
      </c>
      <c r="AC19" s="2544"/>
      <c r="AD19" s="2544"/>
      <c r="AE19" s="2544"/>
      <c r="AF19" s="2544"/>
      <c r="AG19" s="2545"/>
      <c r="AH19" s="2543" cm="1">
        <f t="array" ref="AH19">SUMPRODUCT((Application!$B$714:$B$738 = 'CalHFA Addendum'!AH$18)*(Application!$AC$714:$AC$738 = 'CalHFA Addendum'!$B19),Application!$G$714:$G$738)</f>
        <v>14</v>
      </c>
      <c r="AI19" s="2544"/>
      <c r="AJ19" s="2544"/>
      <c r="AK19" s="2544"/>
      <c r="AL19" s="2544"/>
      <c r="AM19" s="2545"/>
      <c r="AN19" s="2543" cm="1">
        <f t="array" ref="AN19">SUMPRODUCT((Application!$B$714:$B$738 = 'CalHFA Addendum'!AN$18)*(Application!$AC$714:$AC$738 = 'CalHFA Addendum'!$B19),Application!$G$714:$G$738)</f>
        <v>0</v>
      </c>
      <c r="AO19" s="2544"/>
      <c r="AP19" s="2544"/>
      <c r="AQ19" s="2544"/>
      <c r="AR19" s="2544"/>
      <c r="AS19" s="2545"/>
      <c r="AT19" s="2546">
        <f t="shared" ref="AT19:AT29" si="1">J19/$J$29</f>
        <v>0.30215827338129497</v>
      </c>
      <c r="AU19" s="2547"/>
      <c r="AV19" s="2547"/>
      <c r="AW19" s="2547"/>
      <c r="AX19" s="2547"/>
      <c r="AY19" s="2548"/>
      <c r="AZ19" s="1220"/>
      <c r="BA19" s="1209"/>
      <c r="BB19" s="1209"/>
      <c r="BC19" s="1209"/>
      <c r="BD19" s="1209"/>
      <c r="BE19" s="1205"/>
    </row>
    <row r="20" spans="1:58" ht="15" customHeight="1">
      <c r="A20" s="1209"/>
      <c r="B20" s="2540">
        <v>0.4</v>
      </c>
      <c r="C20" s="2541"/>
      <c r="D20" s="2541"/>
      <c r="E20" s="2541"/>
      <c r="F20" s="2541"/>
      <c r="G20" s="2541"/>
      <c r="H20" s="2541"/>
      <c r="I20" s="2542"/>
      <c r="J20" s="2543">
        <f t="shared" si="0"/>
        <v>0</v>
      </c>
      <c r="K20" s="2544"/>
      <c r="L20" s="2544"/>
      <c r="M20" s="2544"/>
      <c r="N20" s="2544"/>
      <c r="O20" s="2545"/>
      <c r="P20" s="2543" cm="1">
        <f t="array" ref="P20">SUMPRODUCT((Application!$B$718:$B$752 = 'CalHFA Addendum'!P$18)*(Application!$AC$718:$AC$752 = 'CalHFA Addendum'!$B20),Application!$G$718:$G$752)</f>
        <v>0</v>
      </c>
      <c r="Q20" s="2544"/>
      <c r="R20" s="2544"/>
      <c r="S20" s="2544"/>
      <c r="T20" s="2544"/>
      <c r="U20" s="2545"/>
      <c r="V20" s="2543" cm="1">
        <f t="array" ref="V20">SUMPRODUCT((Application!$B$714:$B$738 = 'CalHFA Addendum'!V$18)*(Application!$AC$714:$AC$738 = 'CalHFA Addendum'!$B20),Application!$G$714:$G$738)</f>
        <v>0</v>
      </c>
      <c r="W20" s="2544"/>
      <c r="X20" s="2544"/>
      <c r="Y20" s="2544"/>
      <c r="Z20" s="2544"/>
      <c r="AA20" s="2545"/>
      <c r="AB20" s="2543" cm="1">
        <f t="array" ref="AB20">SUMPRODUCT((Application!$B$714:$B$738 = 'CalHFA Addendum'!AB$18)*(Application!$AC$714:$AC$738 = 'CalHFA Addendum'!$B20),Application!$G$714:$G$738)</f>
        <v>0</v>
      </c>
      <c r="AC20" s="2544"/>
      <c r="AD20" s="2544"/>
      <c r="AE20" s="2544"/>
      <c r="AF20" s="2544"/>
      <c r="AG20" s="2545"/>
      <c r="AH20" s="2543" cm="1">
        <f t="array" ref="AH20">SUMPRODUCT((Application!$B$714:$B$738 = 'CalHFA Addendum'!AH$18)*(Application!$AC$714:$AC$738 = 'CalHFA Addendum'!$B20),Application!$G$714:$G$738)</f>
        <v>0</v>
      </c>
      <c r="AI20" s="2544"/>
      <c r="AJ20" s="2544"/>
      <c r="AK20" s="2544"/>
      <c r="AL20" s="2544"/>
      <c r="AM20" s="2545"/>
      <c r="AN20" s="2543" cm="1">
        <f t="array" ref="AN20">SUMPRODUCT((Application!$B$714:$B$738 = 'CalHFA Addendum'!AN$18)*(Application!$AC$714:$AC$738 = 'CalHFA Addendum'!$B20),Application!$G$714:$G$738)</f>
        <v>0</v>
      </c>
      <c r="AO20" s="2544"/>
      <c r="AP20" s="2544"/>
      <c r="AQ20" s="2544"/>
      <c r="AR20" s="2544"/>
      <c r="AS20" s="2545"/>
      <c r="AT20" s="2546">
        <f t="shared" si="1"/>
        <v>0</v>
      </c>
      <c r="AU20" s="2547"/>
      <c r="AV20" s="2547"/>
      <c r="AW20" s="2547"/>
      <c r="AX20" s="2547"/>
      <c r="AY20" s="2548"/>
      <c r="AZ20" s="1209"/>
      <c r="BA20" s="1209"/>
      <c r="BB20" s="1209"/>
      <c r="BC20" s="1209"/>
      <c r="BD20" s="1209"/>
      <c r="BE20" s="1205"/>
    </row>
    <row r="21" spans="1:58" ht="14.4">
      <c r="A21" s="1209"/>
      <c r="B21" s="2540">
        <v>0.5</v>
      </c>
      <c r="C21" s="2541"/>
      <c r="D21" s="2541"/>
      <c r="E21" s="2541"/>
      <c r="F21" s="2541"/>
      <c r="G21" s="2541"/>
      <c r="H21" s="2541"/>
      <c r="I21" s="2542"/>
      <c r="J21" s="2543">
        <f t="shared" si="0"/>
        <v>0</v>
      </c>
      <c r="K21" s="2544"/>
      <c r="L21" s="2544"/>
      <c r="M21" s="2544"/>
      <c r="N21" s="2544"/>
      <c r="O21" s="2545"/>
      <c r="P21" s="2543" cm="1">
        <f t="array" ref="P21">SUMPRODUCT((Application!$B$714:$B$738 = 'CalHFA Addendum'!P$18)*(Application!$AC$714:$AC$738 = 'CalHFA Addendum'!$B21),Application!$G$714:$G$738)</f>
        <v>0</v>
      </c>
      <c r="Q21" s="2544"/>
      <c r="R21" s="2544"/>
      <c r="S21" s="2544"/>
      <c r="T21" s="2544"/>
      <c r="U21" s="2545"/>
      <c r="V21" s="2543" cm="1">
        <f t="array" ref="V21">SUMPRODUCT((Application!$B$714:$B$738 = 'CalHFA Addendum'!V$18)*(Application!$AC$714:$AC$738 = 'CalHFA Addendum'!$B21),Application!$G$714:$G$738)</f>
        <v>0</v>
      </c>
      <c r="W21" s="2544"/>
      <c r="X21" s="2544"/>
      <c r="Y21" s="2544"/>
      <c r="Z21" s="2544"/>
      <c r="AA21" s="2545"/>
      <c r="AB21" s="2543" cm="1">
        <f t="array" ref="AB21">SUMPRODUCT((Application!$B$714:$B$738 = 'CalHFA Addendum'!AB$18)*(Application!$AC$714:$AC$738 = 'CalHFA Addendum'!$B21),Application!$G$714:$G$738)</f>
        <v>0</v>
      </c>
      <c r="AC21" s="2544"/>
      <c r="AD21" s="2544"/>
      <c r="AE21" s="2544"/>
      <c r="AF21" s="2544"/>
      <c r="AG21" s="2545"/>
      <c r="AH21" s="2543" cm="1">
        <f t="array" ref="AH21">SUMPRODUCT((Application!$B$714:$B$738 = 'CalHFA Addendum'!AH$18)*(Application!$AC$714:$AC$738 = 'CalHFA Addendum'!$B21),Application!$G$714:$G$738)</f>
        <v>0</v>
      </c>
      <c r="AI21" s="2544"/>
      <c r="AJ21" s="2544"/>
      <c r="AK21" s="2544"/>
      <c r="AL21" s="2544"/>
      <c r="AM21" s="2545"/>
      <c r="AN21" s="2543" cm="1">
        <f t="array" ref="AN21">SUMPRODUCT((Application!$B$714:$B$738 = 'CalHFA Addendum'!AN$18)*(Application!$AC$714:$AC$738 = 'CalHFA Addendum'!$B21),Application!$G$714:$G$738)</f>
        <v>0</v>
      </c>
      <c r="AO21" s="2544"/>
      <c r="AP21" s="2544"/>
      <c r="AQ21" s="2544"/>
      <c r="AR21" s="2544"/>
      <c r="AS21" s="2545"/>
      <c r="AT21" s="2546">
        <f t="shared" si="1"/>
        <v>0</v>
      </c>
      <c r="AU21" s="2547"/>
      <c r="AV21" s="2547"/>
      <c r="AW21" s="2547"/>
      <c r="AX21" s="2547"/>
      <c r="AY21" s="2548"/>
      <c r="AZ21" s="1209"/>
      <c r="BA21" s="1209"/>
      <c r="BB21" s="1209"/>
      <c r="BC21" s="1209"/>
      <c r="BD21" s="1209"/>
      <c r="BE21" s="1205"/>
    </row>
    <row r="22" spans="1:58" ht="14.4">
      <c r="A22" s="1209"/>
      <c r="B22" s="2540">
        <v>0.6</v>
      </c>
      <c r="C22" s="2541"/>
      <c r="D22" s="2541"/>
      <c r="E22" s="2541"/>
      <c r="F22" s="2541"/>
      <c r="G22" s="2541"/>
      <c r="H22" s="2541"/>
      <c r="I22" s="2542"/>
      <c r="J22" s="2543">
        <f t="shared" si="0"/>
        <v>24</v>
      </c>
      <c r="K22" s="2544"/>
      <c r="L22" s="2544"/>
      <c r="M22" s="2544"/>
      <c r="N22" s="2544"/>
      <c r="O22" s="2545"/>
      <c r="P22" s="2543" cm="1">
        <f t="array" ref="P22">SUMPRODUCT((Application!$B$714:$B$738 = 'CalHFA Addendum'!P$18)*(Application!$AC$714:$AC$738 = 'CalHFA Addendum'!$B22),Application!$G$714:$G$738)</f>
        <v>0</v>
      </c>
      <c r="Q22" s="2544"/>
      <c r="R22" s="2544"/>
      <c r="S22" s="2544"/>
      <c r="T22" s="2544"/>
      <c r="U22" s="2545"/>
      <c r="V22" s="2543" cm="1">
        <f t="array" ref="V22">SUMPRODUCT((Application!$B$714:$B$738 = 'CalHFA Addendum'!V$18)*(Application!$AC$714:$AC$738 = 'CalHFA Addendum'!$B22),Application!$G$714:$G$738)</f>
        <v>8</v>
      </c>
      <c r="W22" s="2544"/>
      <c r="X22" s="2544"/>
      <c r="Y22" s="2544"/>
      <c r="Z22" s="2544"/>
      <c r="AA22" s="2545"/>
      <c r="AB22" s="2543" cm="1">
        <f t="array" ref="AB22">SUMPRODUCT((Application!$B$714:$B$738 = 'CalHFA Addendum'!AB$18)*(Application!$AC$714:$AC$738 = 'CalHFA Addendum'!$B22),Application!$G$714:$G$738)</f>
        <v>8</v>
      </c>
      <c r="AC22" s="2544"/>
      <c r="AD22" s="2544"/>
      <c r="AE22" s="2544"/>
      <c r="AF22" s="2544"/>
      <c r="AG22" s="2545"/>
      <c r="AH22" s="2543" cm="1">
        <f t="array" ref="AH22">SUMPRODUCT((Application!$B$714:$B$738 = 'CalHFA Addendum'!AH$18)*(Application!$AC$714:$AC$738 = 'CalHFA Addendum'!$B22),Application!$G$714:$G$738)</f>
        <v>8</v>
      </c>
      <c r="AI22" s="2544"/>
      <c r="AJ22" s="2544"/>
      <c r="AK22" s="2544"/>
      <c r="AL22" s="2544"/>
      <c r="AM22" s="2545"/>
      <c r="AN22" s="2543" cm="1">
        <f t="array" ref="AN22">SUMPRODUCT((Application!$B$714:$B$738 = 'CalHFA Addendum'!AN$18)*(Application!$AC$714:$AC$738 = 'CalHFA Addendum'!$B22),Application!$G$714:$G$738)</f>
        <v>0</v>
      </c>
      <c r="AO22" s="2544"/>
      <c r="AP22" s="2544"/>
      <c r="AQ22" s="2544"/>
      <c r="AR22" s="2544"/>
      <c r="AS22" s="2545"/>
      <c r="AT22" s="2546">
        <f t="shared" si="1"/>
        <v>0.17266187050359713</v>
      </c>
      <c r="AU22" s="2547"/>
      <c r="AV22" s="2547"/>
      <c r="AW22" s="2547"/>
      <c r="AX22" s="2547"/>
      <c r="AY22" s="2548"/>
      <c r="AZ22" s="1209"/>
      <c r="BA22" s="1209"/>
      <c r="BB22" s="1209"/>
      <c r="BC22" s="1209"/>
      <c r="BD22" s="1209"/>
      <c r="BE22" s="1205"/>
    </row>
    <row r="23" spans="1:58" ht="14.4">
      <c r="A23" s="1209"/>
      <c r="B23" s="2540">
        <v>0.7</v>
      </c>
      <c r="C23" s="2541"/>
      <c r="D23" s="2541"/>
      <c r="E23" s="2541"/>
      <c r="F23" s="2541"/>
      <c r="G23" s="2541"/>
      <c r="H23" s="2541"/>
      <c r="I23" s="2542"/>
      <c r="J23" s="2543">
        <f t="shared" si="0"/>
        <v>73</v>
      </c>
      <c r="K23" s="2544"/>
      <c r="L23" s="2544"/>
      <c r="M23" s="2544"/>
      <c r="N23" s="2544"/>
      <c r="O23" s="2545"/>
      <c r="P23" s="2543" cm="1">
        <f t="array" ref="P23">SUMPRODUCT((Application!$B$714:$B$738 = 'CalHFA Addendum'!P$18)*(Application!$AC$714:$AC$738 = 'CalHFA Addendum'!$B23),Application!$G$714:$G$738)</f>
        <v>0</v>
      </c>
      <c r="Q23" s="2544"/>
      <c r="R23" s="2544"/>
      <c r="S23" s="2544"/>
      <c r="T23" s="2544"/>
      <c r="U23" s="2545"/>
      <c r="V23" s="2543" cm="1">
        <f t="array" ref="V23">SUMPRODUCT((Application!$B$714:$B$738 = 'CalHFA Addendum'!V$18)*(Application!$AC$714:$AC$738 = 'CalHFA Addendum'!$B23),Application!$G$714:$G$738)</f>
        <v>20</v>
      </c>
      <c r="W23" s="2544"/>
      <c r="X23" s="2544"/>
      <c r="Y23" s="2544"/>
      <c r="Z23" s="2544"/>
      <c r="AA23" s="2545"/>
      <c r="AB23" s="2543" cm="1">
        <f t="array" ref="AB23">SUMPRODUCT((Application!$B$714:$B$738 = 'CalHFA Addendum'!AB$18)*(Application!$AC$714:$AC$738 = 'CalHFA Addendum'!$B23),Application!$G$714:$G$738)</f>
        <v>26</v>
      </c>
      <c r="AC23" s="2544"/>
      <c r="AD23" s="2544"/>
      <c r="AE23" s="2544"/>
      <c r="AF23" s="2544"/>
      <c r="AG23" s="2545"/>
      <c r="AH23" s="2543" cm="1">
        <f t="array" ref="AH23">SUMPRODUCT((Application!$B$714:$B$738 = 'CalHFA Addendum'!AH$18)*(Application!$AC$714:$AC$738 = 'CalHFA Addendum'!$B23),Application!$G$714:$G$738)</f>
        <v>27</v>
      </c>
      <c r="AI23" s="2544"/>
      <c r="AJ23" s="2544"/>
      <c r="AK23" s="2544"/>
      <c r="AL23" s="2544"/>
      <c r="AM23" s="2545"/>
      <c r="AN23" s="2543" cm="1">
        <f t="array" ref="AN23">SUMPRODUCT((Application!$B$714:$B$738 = 'CalHFA Addendum'!AN$18)*(Application!$AC$714:$AC$738 = 'CalHFA Addendum'!$B23),Application!$G$714:$G$738)</f>
        <v>0</v>
      </c>
      <c r="AO23" s="2544"/>
      <c r="AP23" s="2544"/>
      <c r="AQ23" s="2544"/>
      <c r="AR23" s="2544"/>
      <c r="AS23" s="2545"/>
      <c r="AT23" s="2546">
        <f t="shared" si="1"/>
        <v>0.52517985611510787</v>
      </c>
      <c r="AU23" s="2547"/>
      <c r="AV23" s="2547"/>
      <c r="AW23" s="2547"/>
      <c r="AX23" s="2547"/>
      <c r="AY23" s="2548"/>
      <c r="AZ23" s="1209"/>
      <c r="BA23" s="1209"/>
      <c r="BB23" s="1209"/>
      <c r="BC23" s="1209"/>
      <c r="BD23" s="1209"/>
      <c r="BE23" s="1205"/>
    </row>
    <row r="24" spans="1:58" ht="14.4">
      <c r="A24" s="1209"/>
      <c r="B24" s="2540">
        <v>0.8</v>
      </c>
      <c r="C24" s="2541"/>
      <c r="D24" s="2541"/>
      <c r="E24" s="2541"/>
      <c r="F24" s="2541"/>
      <c r="G24" s="2541"/>
      <c r="H24" s="2541"/>
      <c r="I24" s="2542"/>
      <c r="J24" s="2543">
        <f t="shared" si="0"/>
        <v>0</v>
      </c>
      <c r="K24" s="2544"/>
      <c r="L24" s="2544"/>
      <c r="M24" s="2544"/>
      <c r="N24" s="2544"/>
      <c r="O24" s="2545"/>
      <c r="P24" s="2543" cm="1">
        <f t="array" ref="P24">SUMPRODUCT((Application!$B$714:$B$738 = 'CalHFA Addendum'!P$18)*(Application!$AC$714:$AC$738 = 'CalHFA Addendum'!$B24),Application!$G$714:$G$738)</f>
        <v>0</v>
      </c>
      <c r="Q24" s="2544"/>
      <c r="R24" s="2544"/>
      <c r="S24" s="2544"/>
      <c r="T24" s="2544"/>
      <c r="U24" s="2545"/>
      <c r="V24" s="2543" cm="1">
        <f t="array" ref="V24">SUMPRODUCT((Application!$B$714:$B$738 = 'CalHFA Addendum'!V$18)*(Application!$AC$714:$AC$738 = 'CalHFA Addendum'!$B24),Application!$G$714:$G$738)</f>
        <v>0</v>
      </c>
      <c r="W24" s="2544"/>
      <c r="X24" s="2544"/>
      <c r="Y24" s="2544"/>
      <c r="Z24" s="2544"/>
      <c r="AA24" s="2545"/>
      <c r="AB24" s="2543" cm="1">
        <f t="array" ref="AB24">SUMPRODUCT((Application!$B$714:$B$738 = 'CalHFA Addendum'!AB$18)*(Application!$AC$714:$AC$738 = 'CalHFA Addendum'!$B24),Application!$G$714:$G$738)</f>
        <v>0</v>
      </c>
      <c r="AC24" s="2544"/>
      <c r="AD24" s="2544"/>
      <c r="AE24" s="2544"/>
      <c r="AF24" s="2544"/>
      <c r="AG24" s="2545"/>
      <c r="AH24" s="2543" cm="1">
        <f t="array" ref="AH24">SUMPRODUCT((Application!$B$714:$B$738 = 'CalHFA Addendum'!AH$18)*(Application!$AC$714:$AC$738 = 'CalHFA Addendum'!$B24),Application!$G$714:$G$738)</f>
        <v>0</v>
      </c>
      <c r="AI24" s="2544"/>
      <c r="AJ24" s="2544"/>
      <c r="AK24" s="2544"/>
      <c r="AL24" s="2544"/>
      <c r="AM24" s="2545"/>
      <c r="AN24" s="2543" cm="1">
        <f t="array" ref="AN24">SUMPRODUCT((Application!$B$714:$B$738 = 'CalHFA Addendum'!AN$18)*(Application!$AC$714:$AC$738 = 'CalHFA Addendum'!$B24),Application!$G$714:$G$738)</f>
        <v>0</v>
      </c>
      <c r="AO24" s="2544"/>
      <c r="AP24" s="2544"/>
      <c r="AQ24" s="2544"/>
      <c r="AR24" s="2544"/>
      <c r="AS24" s="2545"/>
      <c r="AT24" s="2546">
        <f t="shared" si="1"/>
        <v>0</v>
      </c>
      <c r="AU24" s="2547"/>
      <c r="AV24" s="2547"/>
      <c r="AW24" s="2547"/>
      <c r="AX24" s="2547"/>
      <c r="AY24" s="2548"/>
      <c r="AZ24" s="1209"/>
      <c r="BA24" s="1209"/>
      <c r="BB24" s="1209"/>
      <c r="BC24" s="1209"/>
      <c r="BD24" s="1209"/>
      <c r="BE24" s="1205"/>
    </row>
    <row r="25" spans="1:58" ht="14.4">
      <c r="A25" s="1209"/>
      <c r="B25" s="2540">
        <v>0.9</v>
      </c>
      <c r="C25" s="2541"/>
      <c r="D25" s="2541"/>
      <c r="E25" s="2541"/>
      <c r="F25" s="2541"/>
      <c r="G25" s="2541"/>
      <c r="H25" s="2541"/>
      <c r="I25" s="2542"/>
      <c r="J25" s="2543">
        <f t="shared" si="0"/>
        <v>0</v>
      </c>
      <c r="K25" s="2544"/>
      <c r="L25" s="2544"/>
      <c r="M25" s="2544"/>
      <c r="N25" s="2544"/>
      <c r="O25" s="2545"/>
      <c r="P25" s="2543" cm="1">
        <f t="array" ref="P25">SUMPRODUCT((Application!$B$714:$B$738 = 'CalHFA Addendum'!P$18)*(Application!$AC$714:$AC$738 = 'CalHFA Addendum'!$B25),Application!$G$714:$G$738)</f>
        <v>0</v>
      </c>
      <c r="Q25" s="2544"/>
      <c r="R25" s="2544"/>
      <c r="S25" s="2544"/>
      <c r="T25" s="2544"/>
      <c r="U25" s="2545"/>
      <c r="V25" s="2543" cm="1">
        <f t="array" ref="V25">SUMPRODUCT((Application!$B$714:$B$738 = 'CalHFA Addendum'!V$18)*(Application!$AC$714:$AC$738 = 'CalHFA Addendum'!$B25),Application!$G$714:$G$738)</f>
        <v>0</v>
      </c>
      <c r="W25" s="2544"/>
      <c r="X25" s="2544"/>
      <c r="Y25" s="2544"/>
      <c r="Z25" s="2544"/>
      <c r="AA25" s="2545"/>
      <c r="AB25" s="2543" cm="1">
        <f t="array" ref="AB25">SUMPRODUCT((Application!$B$714:$B$738 = 'CalHFA Addendum'!AB$18)*(Application!$AC$714:$AC$738 = 'CalHFA Addendum'!$B25),Application!$G$714:$G$738)</f>
        <v>0</v>
      </c>
      <c r="AC25" s="2544"/>
      <c r="AD25" s="2544"/>
      <c r="AE25" s="2544"/>
      <c r="AF25" s="2544"/>
      <c r="AG25" s="2545"/>
      <c r="AH25" s="2543" cm="1">
        <f t="array" ref="AH25">SUMPRODUCT((Application!$B$714:$B$738 = 'CalHFA Addendum'!AH$18)*(Application!$AC$714:$AC$738 = 'CalHFA Addendum'!$B25),Application!$G$714:$G$738)</f>
        <v>0</v>
      </c>
      <c r="AI25" s="2544"/>
      <c r="AJ25" s="2544"/>
      <c r="AK25" s="2544"/>
      <c r="AL25" s="2544"/>
      <c r="AM25" s="2545"/>
      <c r="AN25" s="2543" cm="1">
        <f t="array" ref="AN25">SUMPRODUCT((Application!$B$714:$B$738 = 'CalHFA Addendum'!AN$18)*(Application!$AC$714:$AC$738 = 'CalHFA Addendum'!$B25),Application!$G$714:$G$738)</f>
        <v>0</v>
      </c>
      <c r="AO25" s="2544"/>
      <c r="AP25" s="2544"/>
      <c r="AQ25" s="2544"/>
      <c r="AR25" s="2544"/>
      <c r="AS25" s="2545"/>
      <c r="AT25" s="2546">
        <f t="shared" si="1"/>
        <v>0</v>
      </c>
      <c r="AU25" s="2547"/>
      <c r="AV25" s="2547"/>
      <c r="AW25" s="2547"/>
      <c r="AX25" s="2547"/>
      <c r="AY25" s="2548"/>
      <c r="AZ25" s="1209"/>
      <c r="BA25" s="1209"/>
      <c r="BB25" s="1209"/>
      <c r="BC25" s="1209"/>
      <c r="BD25" s="1209"/>
      <c r="BE25" s="1205"/>
    </row>
    <row r="26" spans="1:58" ht="14.4">
      <c r="A26" s="1209"/>
      <c r="B26" s="2540">
        <v>1</v>
      </c>
      <c r="C26" s="2541"/>
      <c r="D26" s="2541"/>
      <c r="E26" s="2541"/>
      <c r="F26" s="2541"/>
      <c r="G26" s="2541"/>
      <c r="H26" s="2541"/>
      <c r="I26" s="2542"/>
      <c r="J26" s="2543">
        <f t="shared" si="0"/>
        <v>0</v>
      </c>
      <c r="K26" s="2544"/>
      <c r="L26" s="2544"/>
      <c r="M26" s="2544"/>
      <c r="N26" s="2544"/>
      <c r="O26" s="2545"/>
      <c r="P26" s="2543" cm="1">
        <f t="array" ref="P26">SUMPRODUCT((Application!$B$714:$B$738 = 'CalHFA Addendum'!P$18)*(Application!$AC$714:$AC$738 = 'CalHFA Addendum'!$B26),Application!$G$714:$G$738)</f>
        <v>0</v>
      </c>
      <c r="Q26" s="2544"/>
      <c r="R26" s="2544"/>
      <c r="S26" s="2544"/>
      <c r="T26" s="2544"/>
      <c r="U26" s="2545"/>
      <c r="V26" s="2543" cm="1">
        <f t="array" ref="V26">SUMPRODUCT((Application!$B$714:$B$738 = 'CalHFA Addendum'!V$18)*(Application!$AC$714:$AC$738 = 'CalHFA Addendum'!$B26),Application!$G$714:$G$738)</f>
        <v>0</v>
      </c>
      <c r="W26" s="2544"/>
      <c r="X26" s="2544"/>
      <c r="Y26" s="2544"/>
      <c r="Z26" s="2544"/>
      <c r="AA26" s="2545"/>
      <c r="AB26" s="2543" cm="1">
        <f t="array" ref="AB26">SUMPRODUCT((Application!$B$714:$B$738 = 'CalHFA Addendum'!AB$18)*(Application!$AC$714:$AC$738 = 'CalHFA Addendum'!$B26),Application!$G$714:$G$738)</f>
        <v>0</v>
      </c>
      <c r="AC26" s="2544"/>
      <c r="AD26" s="2544"/>
      <c r="AE26" s="2544"/>
      <c r="AF26" s="2544"/>
      <c r="AG26" s="2545"/>
      <c r="AH26" s="2543" cm="1">
        <f t="array" ref="AH26">SUMPRODUCT((Application!$B$714:$B$738 = 'CalHFA Addendum'!AH$18)*(Application!$AC$714:$AC$738 = 'CalHFA Addendum'!$B26),Application!$G$714:$G$738)</f>
        <v>0</v>
      </c>
      <c r="AI26" s="2544"/>
      <c r="AJ26" s="2544"/>
      <c r="AK26" s="2544"/>
      <c r="AL26" s="2544"/>
      <c r="AM26" s="2545"/>
      <c r="AN26" s="2543" cm="1">
        <f t="array" ref="AN26">SUMPRODUCT((Application!$B$714:$B$738 = 'CalHFA Addendum'!AN$18)*(Application!$AC$714:$AC$738 = 'CalHFA Addendum'!$B26),Application!$G$714:$G$738)</f>
        <v>0</v>
      </c>
      <c r="AO26" s="2544"/>
      <c r="AP26" s="2544"/>
      <c r="AQ26" s="2544"/>
      <c r="AR26" s="2544"/>
      <c r="AS26" s="2545"/>
      <c r="AT26" s="2546">
        <f t="shared" si="1"/>
        <v>0</v>
      </c>
      <c r="AU26" s="2547"/>
      <c r="AV26" s="2547"/>
      <c r="AW26" s="2547"/>
      <c r="AX26" s="2547"/>
      <c r="AY26" s="2548"/>
      <c r="AZ26" s="1209"/>
      <c r="BA26" s="1209"/>
      <c r="BB26" s="1209"/>
      <c r="BC26" s="1209"/>
      <c r="BD26" s="1209"/>
      <c r="BE26" s="1205"/>
    </row>
    <row r="27" spans="1:58" ht="14.4">
      <c r="A27" s="1209"/>
      <c r="B27" s="2540">
        <v>1.1000000000000001</v>
      </c>
      <c r="C27" s="2541"/>
      <c r="D27" s="2541"/>
      <c r="E27" s="2541"/>
      <c r="F27" s="2541"/>
      <c r="G27" s="2541"/>
      <c r="H27" s="2541"/>
      <c r="I27" s="2542"/>
      <c r="J27" s="2543">
        <f t="shared" si="0"/>
        <v>0</v>
      </c>
      <c r="K27" s="2544"/>
      <c r="L27" s="2544"/>
      <c r="M27" s="2544"/>
      <c r="N27" s="2544"/>
      <c r="O27" s="2545"/>
      <c r="P27" s="2543" cm="1">
        <f t="array" ref="P27">SUMPRODUCT((Application!$B$714:$B$738 = 'CalHFA Addendum'!P$18)*(Application!$AC$714:$AC$738 = 'CalHFA Addendum'!$B27),Application!$G$714:$G$738)</f>
        <v>0</v>
      </c>
      <c r="Q27" s="2544"/>
      <c r="R27" s="2544"/>
      <c r="S27" s="2544"/>
      <c r="T27" s="2544"/>
      <c r="U27" s="2545"/>
      <c r="V27" s="2543" cm="1">
        <f t="array" ref="V27">SUMPRODUCT((Application!$B$714:$B$738 = 'CalHFA Addendum'!V$18)*(Application!$AC$714:$AC$738 = 'CalHFA Addendum'!$B27),Application!$G$714:$G$738)</f>
        <v>0</v>
      </c>
      <c r="W27" s="2544"/>
      <c r="X27" s="2544"/>
      <c r="Y27" s="2544"/>
      <c r="Z27" s="2544"/>
      <c r="AA27" s="2545"/>
      <c r="AB27" s="2543" cm="1">
        <f t="array" ref="AB27">SUMPRODUCT((Application!$B$714:$B$738 = 'CalHFA Addendum'!AB$18)*(Application!$AC$714:$AC$738 = 'CalHFA Addendum'!$B27),Application!$G$714:$G$738)</f>
        <v>0</v>
      </c>
      <c r="AC27" s="2544"/>
      <c r="AD27" s="2544"/>
      <c r="AE27" s="2544"/>
      <c r="AF27" s="2544"/>
      <c r="AG27" s="2545"/>
      <c r="AH27" s="2543" cm="1">
        <f t="array" ref="AH27">SUMPRODUCT((Application!$B$714:$B$738 = 'CalHFA Addendum'!AH$18)*(Application!$AC$714:$AC$738 = 'CalHFA Addendum'!$B27),Application!$G$714:$G$738)</f>
        <v>0</v>
      </c>
      <c r="AI27" s="2544"/>
      <c r="AJ27" s="2544"/>
      <c r="AK27" s="2544"/>
      <c r="AL27" s="2544"/>
      <c r="AM27" s="2545"/>
      <c r="AN27" s="2543" cm="1">
        <f t="array" ref="AN27">SUMPRODUCT((Application!$B$714:$B$738 = 'CalHFA Addendum'!AN$18)*(Application!$AC$714:$AC$738 = 'CalHFA Addendum'!$B27),Application!$G$714:$G$738)</f>
        <v>0</v>
      </c>
      <c r="AO27" s="2544"/>
      <c r="AP27" s="2544"/>
      <c r="AQ27" s="2544"/>
      <c r="AR27" s="2544"/>
      <c r="AS27" s="2545"/>
      <c r="AT27" s="2546">
        <f t="shared" si="1"/>
        <v>0</v>
      </c>
      <c r="AU27" s="2547"/>
      <c r="AV27" s="2547"/>
      <c r="AW27" s="2547"/>
      <c r="AX27" s="2547"/>
      <c r="AY27" s="2548"/>
      <c r="AZ27" s="1209"/>
      <c r="BA27" s="1209"/>
      <c r="BB27" s="1209"/>
      <c r="BC27" s="1209"/>
      <c r="BD27" s="1209"/>
      <c r="BE27" s="1205"/>
    </row>
    <row r="28" spans="1:58" ht="15" thickBot="1">
      <c r="A28" s="1209"/>
      <c r="B28" s="2549" t="s">
        <v>1799</v>
      </c>
      <c r="C28" s="2550"/>
      <c r="D28" s="2550"/>
      <c r="E28" s="2550"/>
      <c r="F28" s="2550"/>
      <c r="G28" s="2550"/>
      <c r="H28" s="2550"/>
      <c r="I28" s="2551"/>
      <c r="J28" s="2552">
        <f t="shared" si="0"/>
        <v>0</v>
      </c>
      <c r="K28" s="2553"/>
      <c r="L28" s="2553"/>
      <c r="M28" s="2553"/>
      <c r="N28" s="2553"/>
      <c r="O28" s="2554"/>
      <c r="P28" s="2552">
        <f>_xlfn.IFNA(VLOOKUP(P$18,Application!$J$758:$S$761,6,FALSE), 0)</f>
        <v>0</v>
      </c>
      <c r="Q28" s="2553"/>
      <c r="R28" s="2553"/>
      <c r="S28" s="2553"/>
      <c r="T28" s="2553"/>
      <c r="U28" s="2554"/>
      <c r="V28" s="2552">
        <f>_xlfn.IFNA(VLOOKUP(V$18,Application!$J$758:$S$761,6,FALSE), 0)</f>
        <v>0</v>
      </c>
      <c r="W28" s="2553"/>
      <c r="X28" s="2553"/>
      <c r="Y28" s="2553"/>
      <c r="Z28" s="2553"/>
      <c r="AA28" s="2554"/>
      <c r="AB28" s="2552">
        <f>_xlfn.IFNA(VLOOKUP(AB$18,Application!$J$758:$S$761,6,FALSE), 0)</f>
        <v>0</v>
      </c>
      <c r="AC28" s="2553"/>
      <c r="AD28" s="2553"/>
      <c r="AE28" s="2553"/>
      <c r="AF28" s="2553"/>
      <c r="AG28" s="2554"/>
      <c r="AH28" s="2552">
        <f>_xlfn.IFNA(VLOOKUP(AH$18,Application!$J$758:$S$761,6,FALSE), 0)</f>
        <v>0</v>
      </c>
      <c r="AI28" s="2553"/>
      <c r="AJ28" s="2553"/>
      <c r="AK28" s="2553"/>
      <c r="AL28" s="2553"/>
      <c r="AM28" s="2554"/>
      <c r="AN28" s="2552">
        <f>_xlfn.IFNA(VLOOKUP(AN$18,Application!$J$758:$S$761,6,FALSE), 0)</f>
        <v>0</v>
      </c>
      <c r="AO28" s="2553"/>
      <c r="AP28" s="2553"/>
      <c r="AQ28" s="2553"/>
      <c r="AR28" s="2553"/>
      <c r="AS28" s="2554"/>
      <c r="AT28" s="2555">
        <f t="shared" si="1"/>
        <v>0</v>
      </c>
      <c r="AU28" s="2556"/>
      <c r="AV28" s="2556"/>
      <c r="AW28" s="2556"/>
      <c r="AX28" s="2556"/>
      <c r="AY28" s="2557"/>
      <c r="AZ28" s="1209"/>
      <c r="BA28" s="1209"/>
      <c r="BB28" s="1209"/>
      <c r="BC28" s="1209"/>
      <c r="BD28" s="1209"/>
      <c r="BE28" s="1205"/>
    </row>
    <row r="29" spans="1:58" ht="15" thickBot="1">
      <c r="A29" s="1209"/>
      <c r="B29" s="2529" t="s">
        <v>1698</v>
      </c>
      <c r="C29" s="2507"/>
      <c r="D29" s="2507"/>
      <c r="E29" s="2507"/>
      <c r="F29" s="2507"/>
      <c r="G29" s="2507"/>
      <c r="H29" s="2507"/>
      <c r="I29" s="2508"/>
      <c r="J29" s="2506">
        <f>SUM(J19:O28)</f>
        <v>139</v>
      </c>
      <c r="K29" s="2507"/>
      <c r="L29" s="2507"/>
      <c r="M29" s="2507"/>
      <c r="N29" s="2507"/>
      <c r="O29" s="2508"/>
      <c r="P29" s="2506">
        <f>SUM(P19:U28)</f>
        <v>0</v>
      </c>
      <c r="Q29" s="2507"/>
      <c r="R29" s="2507"/>
      <c r="S29" s="2507"/>
      <c r="T29" s="2507"/>
      <c r="U29" s="2508"/>
      <c r="V29" s="2506">
        <f>SUM(V19:AA28)</f>
        <v>42</v>
      </c>
      <c r="W29" s="2507"/>
      <c r="X29" s="2507"/>
      <c r="Y29" s="2507"/>
      <c r="Z29" s="2507"/>
      <c r="AA29" s="2508"/>
      <c r="AB29" s="2506">
        <f>SUM(AB19:AG28)</f>
        <v>48</v>
      </c>
      <c r="AC29" s="2507"/>
      <c r="AD29" s="2507"/>
      <c r="AE29" s="2507"/>
      <c r="AF29" s="2507"/>
      <c r="AG29" s="2508"/>
      <c r="AH29" s="2506">
        <f>SUM(AH19:AM28)</f>
        <v>49</v>
      </c>
      <c r="AI29" s="2507"/>
      <c r="AJ29" s="2507"/>
      <c r="AK29" s="2507"/>
      <c r="AL29" s="2507"/>
      <c r="AM29" s="2508"/>
      <c r="AN29" s="2506">
        <f>SUM(AN19:AS28)</f>
        <v>0</v>
      </c>
      <c r="AO29" s="2507"/>
      <c r="AP29" s="2507"/>
      <c r="AQ29" s="2507"/>
      <c r="AR29" s="2507"/>
      <c r="AS29" s="2508"/>
      <c r="AT29" s="2522">
        <f t="shared" si="1"/>
        <v>1</v>
      </c>
      <c r="AU29" s="2523"/>
      <c r="AV29" s="2523"/>
      <c r="AW29" s="2523"/>
      <c r="AX29" s="2523"/>
      <c r="AY29" s="2524"/>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510" t="s">
        <v>1800</v>
      </c>
      <c r="C31" s="2511"/>
      <c r="D31" s="2511"/>
      <c r="E31" s="2511"/>
      <c r="F31" s="2511"/>
      <c r="G31" s="2511"/>
      <c r="H31" s="2511"/>
      <c r="I31" s="2511"/>
      <c r="J31" s="2511"/>
      <c r="K31" s="2511"/>
      <c r="L31" s="2511"/>
      <c r="M31" s="2511"/>
      <c r="N31" s="2511"/>
      <c r="O31" s="2511"/>
      <c r="P31" s="2511"/>
      <c r="Q31" s="2511"/>
      <c r="R31" s="2511"/>
      <c r="S31" s="2511"/>
      <c r="T31" s="2511"/>
      <c r="U31" s="2511"/>
      <c r="V31" s="2511"/>
      <c r="W31" s="2511"/>
      <c r="X31" s="2511"/>
      <c r="Y31" s="2511"/>
      <c r="Z31" s="2511"/>
      <c r="AA31" s="2511"/>
      <c r="AB31" s="2511"/>
      <c r="AC31" s="2511"/>
      <c r="AD31" s="2511"/>
      <c r="AE31" s="2511"/>
      <c r="AF31" s="2511"/>
      <c r="AG31" s="2511"/>
      <c r="AH31" s="2511"/>
      <c r="AI31" s="2511"/>
      <c r="AJ31" s="2511"/>
      <c r="AK31" s="2511"/>
      <c r="AL31" s="2511"/>
      <c r="AM31" s="2511"/>
      <c r="AN31" s="2511"/>
      <c r="AO31" s="2511"/>
      <c r="AP31" s="2511"/>
      <c r="AQ31" s="2511"/>
      <c r="AR31" s="2511"/>
      <c r="AS31" s="2511"/>
      <c r="AT31" s="2511"/>
      <c r="AU31" s="2511"/>
      <c r="AV31" s="2511"/>
      <c r="AW31" s="2511"/>
      <c r="AX31" s="2511"/>
      <c r="AY31" s="2511"/>
      <c r="AZ31" s="2511"/>
      <c r="BA31" s="2511"/>
      <c r="BB31" s="2511"/>
      <c r="BC31" s="2511"/>
      <c r="BD31" s="2512"/>
      <c r="BE31" s="1205"/>
    </row>
    <row r="32" spans="1:58" ht="15" thickBot="1">
      <c r="A32" s="1209"/>
      <c r="B32" s="2525" t="s">
        <v>2469</v>
      </c>
      <c r="C32" s="2526"/>
      <c r="D32" s="2526"/>
      <c r="E32" s="2526"/>
      <c r="F32" s="2526"/>
      <c r="G32" s="2526"/>
      <c r="H32" s="2526"/>
      <c r="I32" s="2526"/>
      <c r="J32" s="2558" t="s">
        <v>2470</v>
      </c>
      <c r="K32" s="2559"/>
      <c r="L32" s="2559"/>
      <c r="M32" s="2559"/>
      <c r="N32" s="2558" t="s">
        <v>1801</v>
      </c>
      <c r="O32" s="2559"/>
      <c r="P32" s="2559"/>
      <c r="Q32" s="2561"/>
      <c r="R32" s="2519" t="s">
        <v>1802</v>
      </c>
      <c r="S32" s="2520"/>
      <c r="T32" s="2520"/>
      <c r="U32" s="2520"/>
      <c r="V32" s="2520"/>
      <c r="W32" s="2520"/>
      <c r="X32" s="2520"/>
      <c r="Y32" s="2520"/>
      <c r="Z32" s="2520"/>
      <c r="AA32" s="2520"/>
      <c r="AB32" s="2520"/>
      <c r="AC32" s="2520"/>
      <c r="AD32" s="2520"/>
      <c r="AE32" s="2520"/>
      <c r="AF32" s="2520"/>
      <c r="AG32" s="2520"/>
      <c r="AH32" s="2520"/>
      <c r="AI32" s="2520"/>
      <c r="AJ32" s="2520"/>
      <c r="AK32" s="2520"/>
      <c r="AL32" s="2520"/>
      <c r="AM32" s="2520"/>
      <c r="AN32" s="2520"/>
      <c r="AO32" s="2520"/>
      <c r="AP32" s="2520"/>
      <c r="AQ32" s="2520"/>
      <c r="AR32" s="2520"/>
      <c r="AS32" s="2520"/>
      <c r="AT32" s="2520"/>
      <c r="AU32" s="2520"/>
      <c r="AV32" s="2520"/>
      <c r="AW32" s="2520"/>
      <c r="AX32" s="2520"/>
      <c r="AY32" s="2520"/>
      <c r="AZ32" s="2520"/>
      <c r="BA32" s="2520"/>
      <c r="BB32" s="2520"/>
      <c r="BC32" s="2520"/>
      <c r="BD32" s="2521"/>
      <c r="BE32" s="1205"/>
    </row>
    <row r="33" spans="1:58" ht="15" customHeight="1">
      <c r="A33" s="1209"/>
      <c r="B33" s="2527"/>
      <c r="C33" s="2528"/>
      <c r="D33" s="2528"/>
      <c r="E33" s="2528"/>
      <c r="F33" s="2528"/>
      <c r="G33" s="2528"/>
      <c r="H33" s="2528"/>
      <c r="I33" s="2528"/>
      <c r="J33" s="2560"/>
      <c r="K33" s="2560"/>
      <c r="L33" s="2560"/>
      <c r="M33" s="2560"/>
      <c r="N33" s="2560"/>
      <c r="O33" s="2560"/>
      <c r="P33" s="2560"/>
      <c r="Q33" s="2562"/>
      <c r="R33" s="2513" t="s">
        <v>1803</v>
      </c>
      <c r="S33" s="2514"/>
      <c r="T33" s="2514"/>
      <c r="U33" s="2514"/>
      <c r="V33" s="2514"/>
      <c r="W33" s="2514"/>
      <c r="X33" s="2514"/>
      <c r="Y33" s="2514"/>
      <c r="Z33" s="2514"/>
      <c r="AA33" s="2514"/>
      <c r="AB33" s="2514"/>
      <c r="AC33" s="2514"/>
      <c r="AD33" s="2514"/>
      <c r="AE33" s="2514"/>
      <c r="AF33" s="2514"/>
      <c r="AG33" s="2514"/>
      <c r="AH33" s="2514"/>
      <c r="AI33" s="2514"/>
      <c r="AJ33" s="2514"/>
      <c r="AK33" s="2514"/>
      <c r="AL33" s="2514"/>
      <c r="AM33" s="2514"/>
      <c r="AN33" s="2514"/>
      <c r="AO33" s="2514"/>
      <c r="AP33" s="2514"/>
      <c r="AQ33" s="2514"/>
      <c r="AR33" s="2514"/>
      <c r="AS33" s="2514"/>
      <c r="AT33" s="2514"/>
      <c r="AU33" s="2514"/>
      <c r="AV33" s="2514"/>
      <c r="AW33" s="2514"/>
      <c r="AX33" s="2514"/>
      <c r="AY33" s="2514"/>
      <c r="AZ33" s="2514"/>
      <c r="BA33" s="2514"/>
      <c r="BB33" s="2514"/>
      <c r="BC33" s="2514"/>
      <c r="BD33" s="2515"/>
      <c r="BE33" s="1205"/>
    </row>
    <row r="34" spans="1:58" ht="15.75" customHeight="1" thickBot="1">
      <c r="A34" s="1209"/>
      <c r="B34" s="2527"/>
      <c r="C34" s="2528"/>
      <c r="D34" s="2528"/>
      <c r="E34" s="2528"/>
      <c r="F34" s="2528"/>
      <c r="G34" s="2528"/>
      <c r="H34" s="2528"/>
      <c r="I34" s="2528"/>
      <c r="J34" s="2560"/>
      <c r="K34" s="2560"/>
      <c r="L34" s="2560"/>
      <c r="M34" s="2560"/>
      <c r="N34" s="2560"/>
      <c r="O34" s="2560"/>
      <c r="P34" s="2560"/>
      <c r="Q34" s="2562"/>
      <c r="R34" s="2516"/>
      <c r="S34" s="2517"/>
      <c r="T34" s="2517"/>
      <c r="U34" s="2517"/>
      <c r="V34" s="2517"/>
      <c r="W34" s="2517"/>
      <c r="X34" s="2517"/>
      <c r="Y34" s="2517"/>
      <c r="Z34" s="2517"/>
      <c r="AA34" s="2517"/>
      <c r="AB34" s="2517"/>
      <c r="AC34" s="2517"/>
      <c r="AD34" s="2517"/>
      <c r="AE34" s="2517"/>
      <c r="AF34" s="2517"/>
      <c r="AG34" s="2517"/>
      <c r="AH34" s="2517"/>
      <c r="AI34" s="2517"/>
      <c r="AJ34" s="2517"/>
      <c r="AK34" s="2517"/>
      <c r="AL34" s="2517"/>
      <c r="AM34" s="2517"/>
      <c r="AN34" s="2517"/>
      <c r="AO34" s="2517"/>
      <c r="AP34" s="2517"/>
      <c r="AQ34" s="2517"/>
      <c r="AR34" s="2517"/>
      <c r="AS34" s="2517"/>
      <c r="AT34" s="2517"/>
      <c r="AU34" s="2517"/>
      <c r="AV34" s="2517"/>
      <c r="AW34" s="2517"/>
      <c r="AX34" s="2517"/>
      <c r="AY34" s="2517"/>
      <c r="AZ34" s="2517"/>
      <c r="BA34" s="2517"/>
      <c r="BB34" s="2517"/>
      <c r="BC34" s="2517"/>
      <c r="BD34" s="2518"/>
      <c r="BE34" s="1205"/>
    </row>
    <row r="35" spans="1:58" ht="15.75" customHeight="1">
      <c r="A35" s="1209"/>
      <c r="B35" s="2527"/>
      <c r="C35" s="2528"/>
      <c r="D35" s="2528"/>
      <c r="E35" s="2528"/>
      <c r="F35" s="2528"/>
      <c r="G35" s="2528"/>
      <c r="H35" s="2528"/>
      <c r="I35" s="2528"/>
      <c r="J35" s="2560"/>
      <c r="K35" s="2560"/>
      <c r="L35" s="2560"/>
      <c r="M35" s="2560"/>
      <c r="N35" s="2560"/>
      <c r="O35" s="2560"/>
      <c r="P35" s="2560"/>
      <c r="Q35" s="2560"/>
      <c r="R35" s="2509">
        <v>0.3</v>
      </c>
      <c r="S35" s="2509"/>
      <c r="T35" s="2509"/>
      <c r="U35" s="2509"/>
      <c r="V35" s="2509">
        <v>0.4</v>
      </c>
      <c r="W35" s="2509"/>
      <c r="X35" s="2509"/>
      <c r="Y35" s="2509"/>
      <c r="Z35" s="2509">
        <v>0.5</v>
      </c>
      <c r="AA35" s="2509"/>
      <c r="AB35" s="2509"/>
      <c r="AC35" s="2509"/>
      <c r="AD35" s="2509">
        <v>0.6</v>
      </c>
      <c r="AE35" s="2509"/>
      <c r="AF35" s="2509"/>
      <c r="AG35" s="2509"/>
      <c r="AH35" s="2509">
        <v>0.7</v>
      </c>
      <c r="AI35" s="2509"/>
      <c r="AJ35" s="2509"/>
      <c r="AK35" s="2509"/>
      <c r="AL35" s="2530">
        <v>0.8</v>
      </c>
      <c r="AM35" s="2531"/>
      <c r="AN35" s="2531"/>
      <c r="AO35" s="2532"/>
      <c r="AP35" s="2533">
        <v>1.2</v>
      </c>
      <c r="AQ35" s="2534"/>
      <c r="AR35" s="2535"/>
      <c r="AS35" s="2536" t="s">
        <v>1804</v>
      </c>
      <c r="AT35" s="2537"/>
      <c r="AU35" s="2537"/>
      <c r="AV35" s="2537"/>
      <c r="AW35" s="2537"/>
      <c r="AX35" s="2538"/>
      <c r="AY35" s="2536" t="s">
        <v>1805</v>
      </c>
      <c r="AZ35" s="2537"/>
      <c r="BA35" s="2537"/>
      <c r="BB35" s="2537"/>
      <c r="BC35" s="2537"/>
      <c r="BD35" s="2539"/>
      <c r="BE35" s="1205"/>
    </row>
    <row r="36" spans="1:58" ht="15.75" customHeight="1">
      <c r="A36" s="1209"/>
      <c r="B36" s="2263" t="s">
        <v>1806</v>
      </c>
      <c r="C36" s="2264"/>
      <c r="D36" s="2264"/>
      <c r="E36" s="2264"/>
      <c r="F36" s="2264"/>
      <c r="G36" s="2264"/>
      <c r="H36" s="2264"/>
      <c r="I36" s="2264"/>
      <c r="J36" s="2499" t="s">
        <v>1807</v>
      </c>
      <c r="K36" s="2499"/>
      <c r="L36" s="2499"/>
      <c r="M36" s="2499"/>
      <c r="N36" s="2499">
        <v>55</v>
      </c>
      <c r="O36" s="2499"/>
      <c r="P36" s="2499"/>
      <c r="Q36" s="2499"/>
      <c r="R36" s="2241">
        <v>0</v>
      </c>
      <c r="S36" s="2241"/>
      <c r="T36" s="2241"/>
      <c r="U36" s="2241"/>
      <c r="V36" s="2241">
        <v>0</v>
      </c>
      <c r="W36" s="2241"/>
      <c r="X36" s="2241"/>
      <c r="Y36" s="2241"/>
      <c r="Z36" s="2241">
        <v>0</v>
      </c>
      <c r="AA36" s="2241"/>
      <c r="AB36" s="2241"/>
      <c r="AC36" s="2241"/>
      <c r="AD36" s="2241">
        <v>0</v>
      </c>
      <c r="AE36" s="2241"/>
      <c r="AF36" s="2241"/>
      <c r="AG36" s="2241"/>
      <c r="AH36" s="2241">
        <v>30</v>
      </c>
      <c r="AI36" s="2241"/>
      <c r="AJ36" s="2241"/>
      <c r="AK36" s="2241"/>
      <c r="AL36" s="2242">
        <v>0</v>
      </c>
      <c r="AM36" s="2243"/>
      <c r="AN36" s="2243"/>
      <c r="AO36" s="2244"/>
      <c r="AP36" s="2242">
        <v>0</v>
      </c>
      <c r="AQ36" s="2243"/>
      <c r="AR36" s="2244"/>
      <c r="AS36" s="2245">
        <f t="shared" ref="AS36:AS47" si="2">SUM(R36:AR36)</f>
        <v>30</v>
      </c>
      <c r="AT36" s="2246"/>
      <c r="AU36" s="2246"/>
      <c r="AV36" s="2246"/>
      <c r="AW36" s="2246"/>
      <c r="AX36" s="2247"/>
      <c r="AY36" s="2503">
        <f t="shared" ref="AY36:AY47" si="3">AS36/$J$29</f>
        <v>0.21582733812949639</v>
      </c>
      <c r="AZ36" s="2504"/>
      <c r="BA36" s="2504"/>
      <c r="BB36" s="2504"/>
      <c r="BC36" s="2504"/>
      <c r="BD36" s="2505"/>
      <c r="BE36" s="1205"/>
    </row>
    <row r="37" spans="1:58" ht="15.75" customHeight="1">
      <c r="A37" s="1209"/>
      <c r="B37" s="2263" t="s">
        <v>2471</v>
      </c>
      <c r="C37" s="2264"/>
      <c r="D37" s="2264"/>
      <c r="E37" s="2264"/>
      <c r="F37" s="2264"/>
      <c r="G37" s="2264"/>
      <c r="H37" s="2264"/>
      <c r="I37" s="2264"/>
      <c r="J37" s="2499" t="s">
        <v>1808</v>
      </c>
      <c r="K37" s="2499"/>
      <c r="L37" s="2499"/>
      <c r="M37" s="2499"/>
      <c r="N37" s="2499">
        <v>55</v>
      </c>
      <c r="O37" s="2499"/>
      <c r="P37" s="2499"/>
      <c r="Q37" s="2499"/>
      <c r="R37" s="2241">
        <v>0</v>
      </c>
      <c r="S37" s="2241"/>
      <c r="T37" s="2241"/>
      <c r="U37" s="2241"/>
      <c r="V37" s="2241">
        <v>0</v>
      </c>
      <c r="W37" s="2241"/>
      <c r="X37" s="2241"/>
      <c r="Y37" s="2241"/>
      <c r="Z37" s="2241">
        <v>0</v>
      </c>
      <c r="AA37" s="2241"/>
      <c r="AB37" s="2241"/>
      <c r="AC37" s="2241"/>
      <c r="AD37" s="2241">
        <v>0</v>
      </c>
      <c r="AE37" s="2241"/>
      <c r="AF37" s="2241"/>
      <c r="AG37" s="2241"/>
      <c r="AH37" s="2241">
        <v>0</v>
      </c>
      <c r="AI37" s="2241"/>
      <c r="AJ37" s="2241"/>
      <c r="AK37" s="2241"/>
      <c r="AL37" s="2242">
        <v>0</v>
      </c>
      <c r="AM37" s="2243"/>
      <c r="AN37" s="2243"/>
      <c r="AO37" s="2244"/>
      <c r="AP37" s="2242">
        <v>0</v>
      </c>
      <c r="AQ37" s="2243"/>
      <c r="AR37" s="2244"/>
      <c r="AS37" s="2245">
        <f t="shared" si="2"/>
        <v>0</v>
      </c>
      <c r="AT37" s="2246"/>
      <c r="AU37" s="2246"/>
      <c r="AV37" s="2246"/>
      <c r="AW37" s="2246"/>
      <c r="AX37" s="2247"/>
      <c r="AY37" s="2503">
        <f t="shared" si="3"/>
        <v>0</v>
      </c>
      <c r="AZ37" s="2504"/>
      <c r="BA37" s="2504"/>
      <c r="BB37" s="2504"/>
      <c r="BC37" s="2504"/>
      <c r="BD37" s="2505"/>
      <c r="BE37" s="1205"/>
    </row>
    <row r="38" spans="1:58" ht="15.75" customHeight="1">
      <c r="A38" s="1209"/>
      <c r="B38" s="2263" t="s">
        <v>2410</v>
      </c>
      <c r="C38" s="2264"/>
      <c r="D38" s="2264"/>
      <c r="E38" s="2264"/>
      <c r="F38" s="2264"/>
      <c r="G38" s="2264"/>
      <c r="H38" s="2264"/>
      <c r="I38" s="2264"/>
      <c r="J38" s="2499" t="s">
        <v>1809</v>
      </c>
      <c r="K38" s="2499"/>
      <c r="L38" s="2499"/>
      <c r="M38" s="2499"/>
      <c r="N38" s="2499">
        <v>55</v>
      </c>
      <c r="O38" s="2499"/>
      <c r="P38" s="2499"/>
      <c r="Q38" s="2499"/>
      <c r="R38" s="2241">
        <v>42</v>
      </c>
      <c r="S38" s="2241"/>
      <c r="T38" s="2241"/>
      <c r="U38" s="2241"/>
      <c r="V38" s="2241">
        <v>0</v>
      </c>
      <c r="W38" s="2241"/>
      <c r="X38" s="2241"/>
      <c r="Y38" s="2241"/>
      <c r="Z38" s="2241">
        <v>0</v>
      </c>
      <c r="AA38" s="2241"/>
      <c r="AB38" s="2241"/>
      <c r="AC38" s="2241"/>
      <c r="AD38" s="2241">
        <v>24</v>
      </c>
      <c r="AE38" s="2241"/>
      <c r="AF38" s="2241"/>
      <c r="AG38" s="2241"/>
      <c r="AH38" s="2241">
        <v>73</v>
      </c>
      <c r="AI38" s="2241"/>
      <c r="AJ38" s="2241"/>
      <c r="AK38" s="2241"/>
      <c r="AL38" s="2242">
        <v>0</v>
      </c>
      <c r="AM38" s="2243"/>
      <c r="AN38" s="2243"/>
      <c r="AO38" s="2244"/>
      <c r="AP38" s="2242">
        <v>0</v>
      </c>
      <c r="AQ38" s="2243"/>
      <c r="AR38" s="2244"/>
      <c r="AS38" s="2245">
        <f t="shared" si="2"/>
        <v>139</v>
      </c>
      <c r="AT38" s="2246"/>
      <c r="AU38" s="2246"/>
      <c r="AV38" s="2246"/>
      <c r="AW38" s="2246"/>
      <c r="AX38" s="2247"/>
      <c r="AY38" s="2503">
        <f t="shared" si="3"/>
        <v>1</v>
      </c>
      <c r="AZ38" s="2504"/>
      <c r="BA38" s="2504"/>
      <c r="BB38" s="2504"/>
      <c r="BC38" s="2504"/>
      <c r="BD38" s="2505"/>
      <c r="BE38" s="1205"/>
    </row>
    <row r="39" spans="1:58" ht="15.75" customHeight="1">
      <c r="A39" s="1209"/>
      <c r="B39" s="2263" t="s">
        <v>1810</v>
      </c>
      <c r="C39" s="2264"/>
      <c r="D39" s="2264"/>
      <c r="E39" s="2264"/>
      <c r="F39" s="2264"/>
      <c r="G39" s="2264"/>
      <c r="H39" s="2264"/>
      <c r="I39" s="2264"/>
      <c r="J39" s="2499"/>
      <c r="K39" s="2499"/>
      <c r="L39" s="2499"/>
      <c r="M39" s="2499"/>
      <c r="N39" s="2499"/>
      <c r="O39" s="2499"/>
      <c r="P39" s="2499"/>
      <c r="Q39" s="2499"/>
      <c r="R39" s="2241"/>
      <c r="S39" s="2241"/>
      <c r="T39" s="2241"/>
      <c r="U39" s="2241"/>
      <c r="V39" s="2241"/>
      <c r="W39" s="2241"/>
      <c r="X39" s="2241"/>
      <c r="Y39" s="2241"/>
      <c r="Z39" s="2241"/>
      <c r="AA39" s="2241"/>
      <c r="AB39" s="2241"/>
      <c r="AC39" s="2241"/>
      <c r="AD39" s="2241"/>
      <c r="AE39" s="2241"/>
      <c r="AF39" s="2241"/>
      <c r="AG39" s="2241"/>
      <c r="AH39" s="2241"/>
      <c r="AI39" s="2241"/>
      <c r="AJ39" s="2241"/>
      <c r="AK39" s="2241"/>
      <c r="AL39" s="2242"/>
      <c r="AM39" s="2243"/>
      <c r="AN39" s="2243"/>
      <c r="AO39" s="2244"/>
      <c r="AP39" s="2242"/>
      <c r="AQ39" s="2243"/>
      <c r="AR39" s="2244"/>
      <c r="AS39" s="2245">
        <f t="shared" si="2"/>
        <v>0</v>
      </c>
      <c r="AT39" s="2246"/>
      <c r="AU39" s="2246"/>
      <c r="AV39" s="2246"/>
      <c r="AW39" s="2246"/>
      <c r="AX39" s="2247"/>
      <c r="AY39" s="2503">
        <f t="shared" si="3"/>
        <v>0</v>
      </c>
      <c r="AZ39" s="2504"/>
      <c r="BA39" s="2504"/>
      <c r="BB39" s="2504"/>
      <c r="BC39" s="2504"/>
      <c r="BD39" s="2505"/>
      <c r="BE39" s="1205"/>
    </row>
    <row r="40" spans="1:58" ht="15.75" customHeight="1">
      <c r="A40" s="1209"/>
      <c r="B40" s="2263" t="s">
        <v>1810</v>
      </c>
      <c r="C40" s="2264"/>
      <c r="D40" s="2264"/>
      <c r="E40" s="2264"/>
      <c r="F40" s="2264"/>
      <c r="G40" s="2264"/>
      <c r="H40" s="2264"/>
      <c r="I40" s="2264"/>
      <c r="J40" s="2499"/>
      <c r="K40" s="2499"/>
      <c r="L40" s="2499"/>
      <c r="M40" s="2499"/>
      <c r="N40" s="2499"/>
      <c r="O40" s="2499"/>
      <c r="P40" s="2499"/>
      <c r="Q40" s="2499"/>
      <c r="R40" s="2241"/>
      <c r="S40" s="2241"/>
      <c r="T40" s="2241"/>
      <c r="U40" s="2241"/>
      <c r="V40" s="2241"/>
      <c r="W40" s="2241"/>
      <c r="X40" s="2241"/>
      <c r="Y40" s="2241"/>
      <c r="Z40" s="2241"/>
      <c r="AA40" s="2241"/>
      <c r="AB40" s="2241"/>
      <c r="AC40" s="2241"/>
      <c r="AD40" s="2241"/>
      <c r="AE40" s="2241"/>
      <c r="AF40" s="2241"/>
      <c r="AG40" s="2241"/>
      <c r="AH40" s="2241"/>
      <c r="AI40" s="2241"/>
      <c r="AJ40" s="2241"/>
      <c r="AK40" s="2241"/>
      <c r="AL40" s="2242"/>
      <c r="AM40" s="2243"/>
      <c r="AN40" s="2243"/>
      <c r="AO40" s="2244"/>
      <c r="AP40" s="2242"/>
      <c r="AQ40" s="2243"/>
      <c r="AR40" s="2244"/>
      <c r="AS40" s="2245">
        <f t="shared" si="2"/>
        <v>0</v>
      </c>
      <c r="AT40" s="2246"/>
      <c r="AU40" s="2246"/>
      <c r="AV40" s="2246"/>
      <c r="AW40" s="2246"/>
      <c r="AX40" s="2247"/>
      <c r="AY40" s="2503">
        <f t="shared" si="3"/>
        <v>0</v>
      </c>
      <c r="AZ40" s="2504"/>
      <c r="BA40" s="2504"/>
      <c r="BB40" s="2504"/>
      <c r="BC40" s="2504"/>
      <c r="BD40" s="2505"/>
      <c r="BE40" s="1205"/>
    </row>
    <row r="41" spans="1:58" ht="15.75" customHeight="1">
      <c r="A41" s="1209"/>
      <c r="B41" s="2263" t="s">
        <v>1811</v>
      </c>
      <c r="C41" s="2264"/>
      <c r="D41" s="2264"/>
      <c r="E41" s="2264"/>
      <c r="F41" s="2264"/>
      <c r="G41" s="2264"/>
      <c r="H41" s="2264"/>
      <c r="I41" s="2264"/>
      <c r="J41" s="2499"/>
      <c r="K41" s="2499"/>
      <c r="L41" s="2499"/>
      <c r="M41" s="2499"/>
      <c r="N41" s="2499"/>
      <c r="O41" s="2499"/>
      <c r="P41" s="2499"/>
      <c r="Q41" s="2499"/>
      <c r="R41" s="2241"/>
      <c r="S41" s="2241"/>
      <c r="T41" s="2241"/>
      <c r="U41" s="2241"/>
      <c r="V41" s="2241"/>
      <c r="W41" s="2241"/>
      <c r="X41" s="2241"/>
      <c r="Y41" s="2241"/>
      <c r="Z41" s="2241"/>
      <c r="AA41" s="2241"/>
      <c r="AB41" s="2241"/>
      <c r="AC41" s="2241"/>
      <c r="AD41" s="2241"/>
      <c r="AE41" s="2241"/>
      <c r="AF41" s="2241"/>
      <c r="AG41" s="2241"/>
      <c r="AH41" s="2241"/>
      <c r="AI41" s="2241"/>
      <c r="AJ41" s="2241"/>
      <c r="AK41" s="2241"/>
      <c r="AL41" s="2242"/>
      <c r="AM41" s="2243"/>
      <c r="AN41" s="2243"/>
      <c r="AO41" s="2244"/>
      <c r="AP41" s="2242"/>
      <c r="AQ41" s="2243"/>
      <c r="AR41" s="2244"/>
      <c r="AS41" s="2245">
        <f t="shared" si="2"/>
        <v>0</v>
      </c>
      <c r="AT41" s="2246"/>
      <c r="AU41" s="2246"/>
      <c r="AV41" s="2246"/>
      <c r="AW41" s="2246"/>
      <c r="AX41" s="2247"/>
      <c r="AY41" s="2503">
        <f t="shared" si="3"/>
        <v>0</v>
      </c>
      <c r="AZ41" s="2504"/>
      <c r="BA41" s="2504"/>
      <c r="BB41" s="2504"/>
      <c r="BC41" s="2504"/>
      <c r="BD41" s="2505"/>
      <c r="BE41" s="1205"/>
    </row>
    <row r="42" spans="1:58" ht="15.75" customHeight="1">
      <c r="A42" s="1209"/>
      <c r="B42" s="2263" t="s">
        <v>1811</v>
      </c>
      <c r="C42" s="2264"/>
      <c r="D42" s="2264"/>
      <c r="E42" s="2264"/>
      <c r="F42" s="2264"/>
      <c r="G42" s="2264"/>
      <c r="H42" s="2264"/>
      <c r="I42" s="2264"/>
      <c r="J42" s="2499"/>
      <c r="K42" s="2499"/>
      <c r="L42" s="2499"/>
      <c r="M42" s="2499"/>
      <c r="N42" s="2499"/>
      <c r="O42" s="2499"/>
      <c r="P42" s="2499"/>
      <c r="Q42" s="2499"/>
      <c r="R42" s="2241"/>
      <c r="S42" s="2241"/>
      <c r="T42" s="2241"/>
      <c r="U42" s="2241"/>
      <c r="V42" s="2241"/>
      <c r="W42" s="2241"/>
      <c r="X42" s="2241"/>
      <c r="Y42" s="2241"/>
      <c r="Z42" s="2241"/>
      <c r="AA42" s="2241"/>
      <c r="AB42" s="2241"/>
      <c r="AC42" s="2241"/>
      <c r="AD42" s="2241"/>
      <c r="AE42" s="2241"/>
      <c r="AF42" s="2241"/>
      <c r="AG42" s="2241"/>
      <c r="AH42" s="2241"/>
      <c r="AI42" s="2241"/>
      <c r="AJ42" s="2241"/>
      <c r="AK42" s="2241"/>
      <c r="AL42" s="2242"/>
      <c r="AM42" s="2243"/>
      <c r="AN42" s="2243"/>
      <c r="AO42" s="2244"/>
      <c r="AP42" s="2242"/>
      <c r="AQ42" s="2243"/>
      <c r="AR42" s="2244"/>
      <c r="AS42" s="2245">
        <f t="shared" si="2"/>
        <v>0</v>
      </c>
      <c r="AT42" s="2246"/>
      <c r="AU42" s="2246"/>
      <c r="AV42" s="2246"/>
      <c r="AW42" s="2246"/>
      <c r="AX42" s="2247"/>
      <c r="AY42" s="2503">
        <f t="shared" si="3"/>
        <v>0</v>
      </c>
      <c r="AZ42" s="2504"/>
      <c r="BA42" s="2504"/>
      <c r="BB42" s="2504"/>
      <c r="BC42" s="2504"/>
      <c r="BD42" s="2505"/>
      <c r="BE42" s="1205"/>
    </row>
    <row r="43" spans="1:58" ht="15.75" customHeight="1">
      <c r="A43" s="1209"/>
      <c r="B43" s="2234" t="s">
        <v>1812</v>
      </c>
      <c r="C43" s="2235"/>
      <c r="D43" s="2235"/>
      <c r="E43" s="2235"/>
      <c r="F43" s="2235"/>
      <c r="G43" s="2235"/>
      <c r="H43" s="2235"/>
      <c r="I43" s="2235"/>
      <c r="J43" s="2499"/>
      <c r="K43" s="2499"/>
      <c r="L43" s="2499"/>
      <c r="M43" s="2499"/>
      <c r="N43" s="2499"/>
      <c r="O43" s="2499"/>
      <c r="P43" s="2499"/>
      <c r="Q43" s="2499"/>
      <c r="R43" s="2241"/>
      <c r="S43" s="2241"/>
      <c r="T43" s="2241"/>
      <c r="U43" s="2241"/>
      <c r="V43" s="2241"/>
      <c r="W43" s="2241"/>
      <c r="X43" s="2241"/>
      <c r="Y43" s="2241"/>
      <c r="Z43" s="2241"/>
      <c r="AA43" s="2241"/>
      <c r="AB43" s="2241"/>
      <c r="AC43" s="2241"/>
      <c r="AD43" s="2241"/>
      <c r="AE43" s="2241"/>
      <c r="AF43" s="2241"/>
      <c r="AG43" s="2241"/>
      <c r="AH43" s="2241"/>
      <c r="AI43" s="2241"/>
      <c r="AJ43" s="2241"/>
      <c r="AK43" s="2241"/>
      <c r="AL43" s="2242"/>
      <c r="AM43" s="2243"/>
      <c r="AN43" s="2243"/>
      <c r="AO43" s="2244"/>
      <c r="AP43" s="2242"/>
      <c r="AQ43" s="2243"/>
      <c r="AR43" s="2244"/>
      <c r="AS43" s="2245">
        <f t="shared" si="2"/>
        <v>0</v>
      </c>
      <c r="AT43" s="2246"/>
      <c r="AU43" s="2246"/>
      <c r="AV43" s="2246"/>
      <c r="AW43" s="2246"/>
      <c r="AX43" s="2247"/>
      <c r="AY43" s="2503">
        <f t="shared" si="3"/>
        <v>0</v>
      </c>
      <c r="AZ43" s="2504"/>
      <c r="BA43" s="2504"/>
      <c r="BB43" s="2504"/>
      <c r="BC43" s="2504"/>
      <c r="BD43" s="2505"/>
      <c r="BE43" s="1205"/>
    </row>
    <row r="44" spans="1:58" ht="15.75" customHeight="1">
      <c r="A44" s="1209"/>
      <c r="B44" s="2234" t="s">
        <v>1813</v>
      </c>
      <c r="C44" s="2235"/>
      <c r="D44" s="2235"/>
      <c r="E44" s="2235"/>
      <c r="F44" s="2235"/>
      <c r="G44" s="2235"/>
      <c r="H44" s="2235"/>
      <c r="I44" s="2235"/>
      <c r="J44" s="2499"/>
      <c r="K44" s="2499"/>
      <c r="L44" s="2499"/>
      <c r="M44" s="2499"/>
      <c r="N44" s="2499"/>
      <c r="O44" s="2499"/>
      <c r="P44" s="2499"/>
      <c r="Q44" s="2499"/>
      <c r="R44" s="2241"/>
      <c r="S44" s="2241"/>
      <c r="T44" s="2241"/>
      <c r="U44" s="2241"/>
      <c r="V44" s="2241"/>
      <c r="W44" s="2241"/>
      <c r="X44" s="2241"/>
      <c r="Y44" s="2241"/>
      <c r="Z44" s="2241"/>
      <c r="AA44" s="2241"/>
      <c r="AB44" s="2241"/>
      <c r="AC44" s="2241"/>
      <c r="AD44" s="2241"/>
      <c r="AE44" s="2241"/>
      <c r="AF44" s="2241"/>
      <c r="AG44" s="2241"/>
      <c r="AH44" s="2241"/>
      <c r="AI44" s="2241"/>
      <c r="AJ44" s="2241"/>
      <c r="AK44" s="2241"/>
      <c r="AL44" s="2242"/>
      <c r="AM44" s="2243"/>
      <c r="AN44" s="2243"/>
      <c r="AO44" s="2244"/>
      <c r="AP44" s="2242"/>
      <c r="AQ44" s="2243"/>
      <c r="AR44" s="2244"/>
      <c r="AS44" s="2245">
        <f t="shared" si="2"/>
        <v>0</v>
      </c>
      <c r="AT44" s="2246"/>
      <c r="AU44" s="2246"/>
      <c r="AV44" s="2246"/>
      <c r="AW44" s="2246"/>
      <c r="AX44" s="2247"/>
      <c r="AY44" s="2503">
        <f t="shared" si="3"/>
        <v>0</v>
      </c>
      <c r="AZ44" s="2504"/>
      <c r="BA44" s="2504"/>
      <c r="BB44" s="2504"/>
      <c r="BC44" s="2504"/>
      <c r="BD44" s="2505"/>
      <c r="BE44" s="1205"/>
    </row>
    <row r="45" spans="1:58" ht="15.75" customHeight="1">
      <c r="A45" s="1209"/>
      <c r="B45" s="2234" t="s">
        <v>1814</v>
      </c>
      <c r="C45" s="2235"/>
      <c r="D45" s="2235"/>
      <c r="E45" s="2235"/>
      <c r="F45" s="2235"/>
      <c r="G45" s="2235"/>
      <c r="H45" s="2235"/>
      <c r="I45" s="2235"/>
      <c r="J45" s="2499"/>
      <c r="K45" s="2499"/>
      <c r="L45" s="2499"/>
      <c r="M45" s="2499"/>
      <c r="N45" s="2499"/>
      <c r="O45" s="2499"/>
      <c r="P45" s="2499"/>
      <c r="Q45" s="2499"/>
      <c r="R45" s="2241"/>
      <c r="S45" s="2241"/>
      <c r="T45" s="2241"/>
      <c r="U45" s="2241"/>
      <c r="V45" s="2241"/>
      <c r="W45" s="2241"/>
      <c r="X45" s="2241"/>
      <c r="Y45" s="2241"/>
      <c r="Z45" s="2241"/>
      <c r="AA45" s="2241"/>
      <c r="AB45" s="2241"/>
      <c r="AC45" s="2241"/>
      <c r="AD45" s="2241"/>
      <c r="AE45" s="2241"/>
      <c r="AF45" s="2241"/>
      <c r="AG45" s="2241"/>
      <c r="AH45" s="2241"/>
      <c r="AI45" s="2241"/>
      <c r="AJ45" s="2241"/>
      <c r="AK45" s="2241"/>
      <c r="AL45" s="2242"/>
      <c r="AM45" s="2243"/>
      <c r="AN45" s="2243"/>
      <c r="AO45" s="2244"/>
      <c r="AP45" s="2242"/>
      <c r="AQ45" s="2243"/>
      <c r="AR45" s="2244"/>
      <c r="AS45" s="2245">
        <f t="shared" si="2"/>
        <v>0</v>
      </c>
      <c r="AT45" s="2246"/>
      <c r="AU45" s="2246"/>
      <c r="AV45" s="2246"/>
      <c r="AW45" s="2246"/>
      <c r="AX45" s="2247"/>
      <c r="AY45" s="2503">
        <f t="shared" si="3"/>
        <v>0</v>
      </c>
      <c r="AZ45" s="2504"/>
      <c r="BA45" s="2504"/>
      <c r="BB45" s="2504"/>
      <c r="BC45" s="2504"/>
      <c r="BD45" s="2505"/>
      <c r="BE45" s="1205"/>
    </row>
    <row r="46" spans="1:58" ht="15.75" customHeight="1">
      <c r="A46" s="1209"/>
      <c r="B46" s="2234" t="s">
        <v>1815</v>
      </c>
      <c r="C46" s="2235"/>
      <c r="D46" s="2235"/>
      <c r="E46" s="2235"/>
      <c r="F46" s="2235"/>
      <c r="G46" s="2235"/>
      <c r="H46" s="2235"/>
      <c r="I46" s="2235"/>
      <c r="J46" s="2499"/>
      <c r="K46" s="2499"/>
      <c r="L46" s="2499"/>
      <c r="M46" s="2499"/>
      <c r="N46" s="2499">
        <v>99</v>
      </c>
      <c r="O46" s="2499"/>
      <c r="P46" s="2499"/>
      <c r="Q46" s="2499"/>
      <c r="R46" s="2241"/>
      <c r="S46" s="2241"/>
      <c r="T46" s="2241"/>
      <c r="U46" s="2241"/>
      <c r="V46" s="2241"/>
      <c r="W46" s="2241"/>
      <c r="X46" s="2241"/>
      <c r="Y46" s="2241"/>
      <c r="Z46" s="2241"/>
      <c r="AA46" s="2241"/>
      <c r="AB46" s="2241"/>
      <c r="AC46" s="2241"/>
      <c r="AD46" s="2241"/>
      <c r="AE46" s="2241"/>
      <c r="AF46" s="2241"/>
      <c r="AG46" s="2241"/>
      <c r="AH46" s="2241"/>
      <c r="AI46" s="2241"/>
      <c r="AJ46" s="2241"/>
      <c r="AK46" s="2241"/>
      <c r="AL46" s="2242"/>
      <c r="AM46" s="2243"/>
      <c r="AN46" s="2243"/>
      <c r="AO46" s="2244"/>
      <c r="AP46" s="2242"/>
      <c r="AQ46" s="2243"/>
      <c r="AR46" s="2244"/>
      <c r="AS46" s="2245">
        <f t="shared" si="2"/>
        <v>0</v>
      </c>
      <c r="AT46" s="2246"/>
      <c r="AU46" s="2246"/>
      <c r="AV46" s="2246"/>
      <c r="AW46" s="2246"/>
      <c r="AX46" s="2247"/>
      <c r="AY46" s="2503">
        <f t="shared" si="3"/>
        <v>0</v>
      </c>
      <c r="AZ46" s="2504"/>
      <c r="BA46" s="2504"/>
      <c r="BB46" s="2504"/>
      <c r="BC46" s="2504"/>
      <c r="BD46" s="2505"/>
      <c r="BE46" s="1205"/>
    </row>
    <row r="47" spans="1:58" ht="15.75" customHeight="1" thickBot="1">
      <c r="A47" s="1209"/>
      <c r="B47" s="2496" t="s">
        <v>301</v>
      </c>
      <c r="C47" s="2497"/>
      <c r="D47" s="2497"/>
      <c r="E47" s="2497"/>
      <c r="F47" s="2497"/>
      <c r="G47" s="2497"/>
      <c r="H47" s="2497"/>
      <c r="I47" s="2497"/>
      <c r="J47" s="2498"/>
      <c r="K47" s="2498"/>
      <c r="L47" s="2498"/>
      <c r="M47" s="2498"/>
      <c r="N47" s="2498"/>
      <c r="O47" s="2498"/>
      <c r="P47" s="2498"/>
      <c r="Q47" s="2498"/>
      <c r="R47" s="2492"/>
      <c r="S47" s="2492"/>
      <c r="T47" s="2492"/>
      <c r="U47" s="2492"/>
      <c r="V47" s="2492"/>
      <c r="W47" s="2492"/>
      <c r="X47" s="2492"/>
      <c r="Y47" s="2492"/>
      <c r="Z47" s="2492"/>
      <c r="AA47" s="2492"/>
      <c r="AB47" s="2492"/>
      <c r="AC47" s="2492"/>
      <c r="AD47" s="2492"/>
      <c r="AE47" s="2492"/>
      <c r="AF47" s="2492"/>
      <c r="AG47" s="2492"/>
      <c r="AH47" s="2492"/>
      <c r="AI47" s="2492"/>
      <c r="AJ47" s="2492"/>
      <c r="AK47" s="2492"/>
      <c r="AL47" s="2493"/>
      <c r="AM47" s="2494"/>
      <c r="AN47" s="2494"/>
      <c r="AO47" s="2495"/>
      <c r="AP47" s="2493"/>
      <c r="AQ47" s="2494"/>
      <c r="AR47" s="2495"/>
      <c r="AS47" s="2245">
        <f t="shared" si="2"/>
        <v>0</v>
      </c>
      <c r="AT47" s="2246"/>
      <c r="AU47" s="2246"/>
      <c r="AV47" s="2246"/>
      <c r="AW47" s="2246"/>
      <c r="AX47" s="2247"/>
      <c r="AY47" s="2500">
        <f t="shared" si="3"/>
        <v>0</v>
      </c>
      <c r="AZ47" s="2501"/>
      <c r="BA47" s="2501"/>
      <c r="BB47" s="2501"/>
      <c r="BC47" s="2501"/>
      <c r="BD47" s="2502"/>
      <c r="BE47" s="1205"/>
    </row>
    <row r="48" spans="1:58" ht="15.75" customHeight="1">
      <c r="A48" s="1209"/>
      <c r="B48" s="1257" t="s">
        <v>2472</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38" t="s">
        <v>1816</v>
      </c>
      <c r="C50" s="2232"/>
      <c r="D50" s="2232"/>
      <c r="E50" s="2232"/>
      <c r="F50" s="2232"/>
      <c r="G50" s="2232"/>
      <c r="H50" s="2232"/>
      <c r="I50" s="2232"/>
      <c r="J50" s="2232"/>
      <c r="K50" s="2232"/>
      <c r="L50" s="2232"/>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c r="AN50" s="2232"/>
      <c r="AO50" s="2233"/>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94" t="s">
        <v>1817</v>
      </c>
      <c r="C51" s="2195"/>
      <c r="D51" s="2195"/>
      <c r="E51" s="2195"/>
      <c r="F51" s="2195"/>
      <c r="G51" s="2195"/>
      <c r="H51" s="2195"/>
      <c r="I51" s="2195"/>
      <c r="J51" s="2195" t="s">
        <v>2473</v>
      </c>
      <c r="K51" s="2195"/>
      <c r="L51" s="2195"/>
      <c r="M51" s="2195"/>
      <c r="N51" s="2195"/>
      <c r="O51" s="2195"/>
      <c r="P51" s="2195"/>
      <c r="Q51" s="2195"/>
      <c r="R51" s="2490" t="s">
        <v>2474</v>
      </c>
      <c r="S51" s="2490"/>
      <c r="T51" s="2490"/>
      <c r="U51" s="2490"/>
      <c r="V51" s="2490"/>
      <c r="W51" s="2490"/>
      <c r="X51" s="2490"/>
      <c r="Y51" s="2490"/>
      <c r="Z51" s="2490" t="s">
        <v>1818</v>
      </c>
      <c r="AA51" s="2490"/>
      <c r="AB51" s="2490"/>
      <c r="AC51" s="2490"/>
      <c r="AD51" s="2490"/>
      <c r="AE51" s="2490"/>
      <c r="AF51" s="2490"/>
      <c r="AG51" s="2490"/>
      <c r="AH51" s="2490" t="s">
        <v>1819</v>
      </c>
      <c r="AI51" s="2490"/>
      <c r="AJ51" s="2490"/>
      <c r="AK51" s="2490"/>
      <c r="AL51" s="2490"/>
      <c r="AM51" s="2490"/>
      <c r="AN51" s="2490"/>
      <c r="AO51" s="2491"/>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34" t="s">
        <v>2768</v>
      </c>
      <c r="C52" s="2235"/>
      <c r="D52" s="2235"/>
      <c r="E52" s="2235"/>
      <c r="F52" s="2235"/>
      <c r="G52" s="2235"/>
      <c r="H52" s="2235"/>
      <c r="I52" s="2235"/>
      <c r="J52" s="2370">
        <v>15</v>
      </c>
      <c r="K52" s="2370"/>
      <c r="L52" s="2370"/>
      <c r="M52" s="2370"/>
      <c r="N52" s="2370"/>
      <c r="O52" s="2370"/>
      <c r="P52" s="2370"/>
      <c r="Q52" s="2370"/>
      <c r="R52" s="2478">
        <v>47520</v>
      </c>
      <c r="S52" s="2478"/>
      <c r="T52" s="2478"/>
      <c r="U52" s="2478"/>
      <c r="V52" s="2478"/>
      <c r="W52" s="2478"/>
      <c r="X52" s="2478"/>
      <c r="Y52" s="2478"/>
      <c r="Z52" s="2479">
        <v>13</v>
      </c>
      <c r="AA52" s="2479"/>
      <c r="AB52" s="2479"/>
      <c r="AC52" s="2479"/>
      <c r="AD52" s="2479"/>
      <c r="AE52" s="2479"/>
      <c r="AF52" s="2479"/>
      <c r="AG52" s="2479"/>
      <c r="AH52" s="2480"/>
      <c r="AI52" s="2480"/>
      <c r="AJ52" s="2480"/>
      <c r="AK52" s="2480"/>
      <c r="AL52" s="2480"/>
      <c r="AM52" s="2480"/>
      <c r="AN52" s="2480"/>
      <c r="AO52" s="2481"/>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34" t="s">
        <v>2768</v>
      </c>
      <c r="C53" s="2235"/>
      <c r="D53" s="2235"/>
      <c r="E53" s="2235"/>
      <c r="F53" s="2235"/>
      <c r="G53" s="2235"/>
      <c r="H53" s="2235"/>
      <c r="I53" s="2235"/>
      <c r="J53" s="2370">
        <v>15</v>
      </c>
      <c r="K53" s="2370"/>
      <c r="L53" s="2370"/>
      <c r="M53" s="2370"/>
      <c r="N53" s="2370"/>
      <c r="O53" s="2370"/>
      <c r="P53" s="2370"/>
      <c r="Q53" s="2370"/>
      <c r="R53" s="2478">
        <v>28800</v>
      </c>
      <c r="S53" s="2478"/>
      <c r="T53" s="2478"/>
      <c r="U53" s="2478"/>
      <c r="V53" s="2478"/>
      <c r="W53" s="2478"/>
      <c r="X53" s="2478"/>
      <c r="Y53" s="2478"/>
      <c r="Z53" s="2479">
        <v>3</v>
      </c>
      <c r="AA53" s="2479"/>
      <c r="AB53" s="2479"/>
      <c r="AC53" s="2479"/>
      <c r="AD53" s="2479"/>
      <c r="AE53" s="2479"/>
      <c r="AF53" s="2479"/>
      <c r="AG53" s="2479"/>
      <c r="AH53" s="2480"/>
      <c r="AI53" s="2480"/>
      <c r="AJ53" s="2480"/>
      <c r="AK53" s="2480"/>
      <c r="AL53" s="2480"/>
      <c r="AM53" s="2480"/>
      <c r="AN53" s="2480"/>
      <c r="AO53" s="2481"/>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34" t="s">
        <v>2768</v>
      </c>
      <c r="C54" s="2235"/>
      <c r="D54" s="2235"/>
      <c r="E54" s="2235"/>
      <c r="F54" s="2235"/>
      <c r="G54" s="2235"/>
      <c r="H54" s="2235"/>
      <c r="I54" s="2235"/>
      <c r="J54" s="2370">
        <v>15</v>
      </c>
      <c r="K54" s="2370"/>
      <c r="L54" s="2370"/>
      <c r="M54" s="2370"/>
      <c r="N54" s="2370"/>
      <c r="O54" s="2370"/>
      <c r="P54" s="2370"/>
      <c r="Q54" s="2370"/>
      <c r="R54" s="2478">
        <v>1800</v>
      </c>
      <c r="S54" s="2478"/>
      <c r="T54" s="2478"/>
      <c r="U54" s="2478"/>
      <c r="V54" s="2478"/>
      <c r="W54" s="2478"/>
      <c r="X54" s="2478"/>
      <c r="Y54" s="2478"/>
      <c r="Z54" s="2479">
        <v>3</v>
      </c>
      <c r="AA54" s="2479"/>
      <c r="AB54" s="2479"/>
      <c r="AC54" s="2479"/>
      <c r="AD54" s="2479"/>
      <c r="AE54" s="2479"/>
      <c r="AF54" s="2479"/>
      <c r="AG54" s="2479"/>
      <c r="AH54" s="2480"/>
      <c r="AI54" s="2480"/>
      <c r="AJ54" s="2480"/>
      <c r="AK54" s="2480"/>
      <c r="AL54" s="2480"/>
      <c r="AM54" s="2480"/>
      <c r="AN54" s="2480"/>
      <c r="AO54" s="2481"/>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34"/>
      <c r="C55" s="2235"/>
      <c r="D55" s="2235"/>
      <c r="E55" s="2235"/>
      <c r="F55" s="2235"/>
      <c r="G55" s="2235"/>
      <c r="H55" s="2235"/>
      <c r="I55" s="2235"/>
      <c r="J55" s="2370"/>
      <c r="K55" s="2370"/>
      <c r="L55" s="2370"/>
      <c r="M55" s="2370"/>
      <c r="N55" s="2370"/>
      <c r="O55" s="2370"/>
      <c r="P55" s="2370"/>
      <c r="Q55" s="2370"/>
      <c r="R55" s="2478"/>
      <c r="S55" s="2478"/>
      <c r="T55" s="2478"/>
      <c r="U55" s="2478"/>
      <c r="V55" s="2478"/>
      <c r="W55" s="2478"/>
      <c r="X55" s="2478"/>
      <c r="Y55" s="2478"/>
      <c r="Z55" s="2479"/>
      <c r="AA55" s="2479"/>
      <c r="AB55" s="2479"/>
      <c r="AC55" s="2479"/>
      <c r="AD55" s="2479"/>
      <c r="AE55" s="2479"/>
      <c r="AF55" s="2479"/>
      <c r="AG55" s="2479"/>
      <c r="AH55" s="2480"/>
      <c r="AI55" s="2480"/>
      <c r="AJ55" s="2480"/>
      <c r="AK55" s="2480"/>
      <c r="AL55" s="2480"/>
      <c r="AM55" s="2480"/>
      <c r="AN55" s="2480"/>
      <c r="AO55" s="2481"/>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34"/>
      <c r="C56" s="2235"/>
      <c r="D56" s="2235"/>
      <c r="E56" s="2235"/>
      <c r="F56" s="2235"/>
      <c r="G56" s="2235"/>
      <c r="H56" s="2235"/>
      <c r="I56" s="2235"/>
      <c r="J56" s="2370"/>
      <c r="K56" s="2370"/>
      <c r="L56" s="2370"/>
      <c r="M56" s="2370"/>
      <c r="N56" s="2370"/>
      <c r="O56" s="2370"/>
      <c r="P56" s="2370"/>
      <c r="Q56" s="2370"/>
      <c r="R56" s="2478"/>
      <c r="S56" s="2478"/>
      <c r="T56" s="2478"/>
      <c r="U56" s="2478"/>
      <c r="V56" s="2478"/>
      <c r="W56" s="2478"/>
      <c r="X56" s="2478"/>
      <c r="Y56" s="2478"/>
      <c r="Z56" s="2479"/>
      <c r="AA56" s="2479"/>
      <c r="AB56" s="2479"/>
      <c r="AC56" s="2479"/>
      <c r="AD56" s="2479"/>
      <c r="AE56" s="2479"/>
      <c r="AF56" s="2479"/>
      <c r="AG56" s="2479"/>
      <c r="AH56" s="2480"/>
      <c r="AI56" s="2480"/>
      <c r="AJ56" s="2480"/>
      <c r="AK56" s="2480"/>
      <c r="AL56" s="2480"/>
      <c r="AM56" s="2480"/>
      <c r="AN56" s="2480"/>
      <c r="AO56" s="2481"/>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88" t="s">
        <v>1698</v>
      </c>
      <c r="C57" s="2189"/>
      <c r="D57" s="2189"/>
      <c r="E57" s="2189"/>
      <c r="F57" s="2189"/>
      <c r="G57" s="2189"/>
      <c r="H57" s="2189"/>
      <c r="I57" s="2189"/>
      <c r="J57" s="2189"/>
      <c r="K57" s="2189"/>
      <c r="L57" s="2189"/>
      <c r="M57" s="2189"/>
      <c r="N57" s="2189"/>
      <c r="O57" s="2189"/>
      <c r="P57" s="2189"/>
      <c r="Q57" s="2189"/>
      <c r="R57" s="2482">
        <f>SUM(R52:Y56)</f>
        <v>78120</v>
      </c>
      <c r="S57" s="2482"/>
      <c r="T57" s="2482"/>
      <c r="U57" s="2482"/>
      <c r="V57" s="2482"/>
      <c r="W57" s="2482"/>
      <c r="X57" s="2482"/>
      <c r="Y57" s="2482"/>
      <c r="Z57" s="2483">
        <f>SUM(Z52:AG56)</f>
        <v>19</v>
      </c>
      <c r="AA57" s="2483"/>
      <c r="AB57" s="2483"/>
      <c r="AC57" s="2483"/>
      <c r="AD57" s="2483"/>
      <c r="AE57" s="2483"/>
      <c r="AF57" s="2483"/>
      <c r="AG57" s="2483"/>
      <c r="AH57" s="2484"/>
      <c r="AI57" s="2484"/>
      <c r="AJ57" s="2484"/>
      <c r="AK57" s="2484"/>
      <c r="AL57" s="2484"/>
      <c r="AM57" s="2484"/>
      <c r="AN57" s="2484"/>
      <c r="AO57" s="2485"/>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86" t="s">
        <v>1817</v>
      </c>
      <c r="C59" s="2487"/>
      <c r="D59" s="2487"/>
      <c r="E59" s="2487"/>
      <c r="F59" s="2487"/>
      <c r="G59" s="2487"/>
      <c r="H59" s="2487"/>
      <c r="I59" s="2488"/>
      <c r="J59" s="2451" t="s">
        <v>2475</v>
      </c>
      <c r="K59" s="2451"/>
      <c r="L59" s="2451"/>
      <c r="M59" s="2451"/>
      <c r="N59" s="2451"/>
      <c r="O59" s="2451"/>
      <c r="P59" s="2451"/>
      <c r="Q59" s="2451"/>
      <c r="R59" s="2451"/>
      <c r="S59" s="2451"/>
      <c r="T59" s="2451"/>
      <c r="U59" s="2451"/>
      <c r="V59" s="2451"/>
      <c r="W59" s="2451"/>
      <c r="X59" s="2451"/>
      <c r="Y59" s="2451"/>
      <c r="Z59" s="2451"/>
      <c r="AA59" s="2451"/>
      <c r="AB59" s="2451"/>
      <c r="AC59" s="2451"/>
      <c r="AD59" s="2451"/>
      <c r="AE59" s="2451"/>
      <c r="AF59" s="2451"/>
      <c r="AG59" s="2451"/>
      <c r="AH59" s="2451"/>
      <c r="AI59" s="2451"/>
      <c r="AJ59" s="2451"/>
      <c r="AK59" s="2451"/>
      <c r="AL59" s="2451"/>
      <c r="AM59" s="2451"/>
      <c r="AN59" s="2451"/>
      <c r="AO59" s="2451"/>
      <c r="AP59" s="2451"/>
      <c r="AQ59" s="2451"/>
      <c r="AR59" s="2451"/>
      <c r="AS59" s="2451"/>
      <c r="AT59" s="2451"/>
      <c r="AU59" s="2451"/>
      <c r="AV59" s="2451"/>
      <c r="AW59" s="2452"/>
      <c r="AX59" s="1209"/>
      <c r="AY59" s="1209"/>
      <c r="AZ59" s="1209"/>
      <c r="BA59" s="1209"/>
      <c r="BB59" s="1209"/>
      <c r="BC59" s="1209"/>
      <c r="BD59" s="1209"/>
      <c r="BE59" s="1205"/>
    </row>
    <row r="60" spans="1:58" ht="15.75" customHeight="1">
      <c r="A60" s="1209"/>
      <c r="B60" s="2471" t="str">
        <f>IF(B52="", "", B52)</f>
        <v>LifeSTEPS</v>
      </c>
      <c r="C60" s="2472"/>
      <c r="D60" s="2472"/>
      <c r="E60" s="2472"/>
      <c r="F60" s="2472"/>
      <c r="G60" s="2472"/>
      <c r="H60" s="2472"/>
      <c r="I60" s="2473"/>
      <c r="J60" s="2474" t="s">
        <v>2769</v>
      </c>
      <c r="K60" s="2373"/>
      <c r="L60" s="2373"/>
      <c r="M60" s="2373"/>
      <c r="N60" s="2373"/>
      <c r="O60" s="2373"/>
      <c r="P60" s="2373"/>
      <c r="Q60" s="2373"/>
      <c r="R60" s="2373"/>
      <c r="S60" s="2373"/>
      <c r="T60" s="2373"/>
      <c r="U60" s="2373"/>
      <c r="V60" s="2373"/>
      <c r="W60" s="2373"/>
      <c r="X60" s="2373"/>
      <c r="Y60" s="2373"/>
      <c r="Z60" s="2373"/>
      <c r="AA60" s="2373"/>
      <c r="AB60" s="2373"/>
      <c r="AC60" s="2373"/>
      <c r="AD60" s="2373"/>
      <c r="AE60" s="2373"/>
      <c r="AF60" s="2373"/>
      <c r="AG60" s="2373"/>
      <c r="AH60" s="2373"/>
      <c r="AI60" s="2373"/>
      <c r="AJ60" s="2373"/>
      <c r="AK60" s="2373"/>
      <c r="AL60" s="2373"/>
      <c r="AM60" s="2373"/>
      <c r="AN60" s="2373"/>
      <c r="AO60" s="2373"/>
      <c r="AP60" s="2373"/>
      <c r="AQ60" s="2373"/>
      <c r="AR60" s="2373"/>
      <c r="AS60" s="2373"/>
      <c r="AT60" s="2373"/>
      <c r="AU60" s="2373"/>
      <c r="AV60" s="2373"/>
      <c r="AW60" s="2374"/>
      <c r="AX60" s="1209"/>
      <c r="AY60" s="1209"/>
      <c r="AZ60" s="1209"/>
      <c r="BA60" s="1209"/>
      <c r="BB60" s="1209"/>
      <c r="BC60" s="1209"/>
      <c r="BD60" s="1209"/>
      <c r="BE60" s="1205"/>
    </row>
    <row r="61" spans="1:58" ht="15.75" customHeight="1">
      <c r="A61" s="1209"/>
      <c r="B61" s="2471" t="str">
        <f>IF(B53="", "", B53)</f>
        <v>LifeSTEPS</v>
      </c>
      <c r="C61" s="2472"/>
      <c r="D61" s="2472"/>
      <c r="E61" s="2472"/>
      <c r="F61" s="2472"/>
      <c r="G61" s="2472"/>
      <c r="H61" s="2472"/>
      <c r="I61" s="2473"/>
      <c r="J61" s="2474" t="s">
        <v>2770</v>
      </c>
      <c r="K61" s="2373"/>
      <c r="L61" s="2373"/>
      <c r="M61" s="2373"/>
      <c r="N61" s="2373"/>
      <c r="O61" s="2373"/>
      <c r="P61" s="2373"/>
      <c r="Q61" s="2373"/>
      <c r="R61" s="2373"/>
      <c r="S61" s="2373"/>
      <c r="T61" s="2373"/>
      <c r="U61" s="2373"/>
      <c r="V61" s="2373"/>
      <c r="W61" s="2373"/>
      <c r="X61" s="2373"/>
      <c r="Y61" s="2373"/>
      <c r="Z61" s="2373"/>
      <c r="AA61" s="2373"/>
      <c r="AB61" s="2373"/>
      <c r="AC61" s="2373"/>
      <c r="AD61" s="2373"/>
      <c r="AE61" s="2373"/>
      <c r="AF61" s="2373"/>
      <c r="AG61" s="2373"/>
      <c r="AH61" s="2373"/>
      <c r="AI61" s="2373"/>
      <c r="AJ61" s="2373"/>
      <c r="AK61" s="2373"/>
      <c r="AL61" s="2373"/>
      <c r="AM61" s="2373"/>
      <c r="AN61" s="2373"/>
      <c r="AO61" s="2373"/>
      <c r="AP61" s="2373"/>
      <c r="AQ61" s="2373"/>
      <c r="AR61" s="2373"/>
      <c r="AS61" s="2373"/>
      <c r="AT61" s="2373"/>
      <c r="AU61" s="2373"/>
      <c r="AV61" s="2373"/>
      <c r="AW61" s="2374"/>
      <c r="AX61" s="1209"/>
      <c r="AY61" s="1209"/>
      <c r="AZ61" s="1209"/>
      <c r="BA61" s="1209"/>
      <c r="BB61" s="1209"/>
      <c r="BC61" s="1209"/>
      <c r="BD61" s="1209"/>
      <c r="BE61" s="1205"/>
    </row>
    <row r="62" spans="1:58" ht="15.75" customHeight="1">
      <c r="A62" s="1209"/>
      <c r="B62" s="2471" t="str">
        <f>IF(B54="", "", B54)</f>
        <v>LifeSTEPS</v>
      </c>
      <c r="C62" s="2472"/>
      <c r="D62" s="2472"/>
      <c r="E62" s="2472"/>
      <c r="F62" s="2472"/>
      <c r="G62" s="2472"/>
      <c r="H62" s="2472"/>
      <c r="I62" s="2473"/>
      <c r="J62" s="2474" t="s">
        <v>2771</v>
      </c>
      <c r="K62" s="2373"/>
      <c r="L62" s="2373"/>
      <c r="M62" s="2373"/>
      <c r="N62" s="2373"/>
      <c r="O62" s="2373"/>
      <c r="P62" s="2373"/>
      <c r="Q62" s="2373"/>
      <c r="R62" s="2373"/>
      <c r="S62" s="2373"/>
      <c r="T62" s="2373"/>
      <c r="U62" s="2373"/>
      <c r="V62" s="2373"/>
      <c r="W62" s="2373"/>
      <c r="X62" s="2373"/>
      <c r="Y62" s="2373"/>
      <c r="Z62" s="2373"/>
      <c r="AA62" s="2373"/>
      <c r="AB62" s="2373"/>
      <c r="AC62" s="2373"/>
      <c r="AD62" s="2373"/>
      <c r="AE62" s="2373"/>
      <c r="AF62" s="2373"/>
      <c r="AG62" s="2373"/>
      <c r="AH62" s="2373"/>
      <c r="AI62" s="2373"/>
      <c r="AJ62" s="2373"/>
      <c r="AK62" s="2373"/>
      <c r="AL62" s="2373"/>
      <c r="AM62" s="2373"/>
      <c r="AN62" s="2373"/>
      <c r="AO62" s="2373"/>
      <c r="AP62" s="2373"/>
      <c r="AQ62" s="2373"/>
      <c r="AR62" s="2373"/>
      <c r="AS62" s="2373"/>
      <c r="AT62" s="2373"/>
      <c r="AU62" s="2373"/>
      <c r="AV62" s="2373"/>
      <c r="AW62" s="2374"/>
      <c r="AX62" s="1209"/>
      <c r="AY62" s="1209"/>
      <c r="AZ62" s="1209"/>
      <c r="BA62" s="1209"/>
      <c r="BB62" s="1209"/>
      <c r="BC62" s="1209"/>
      <c r="BD62" s="1209"/>
      <c r="BE62" s="1205"/>
    </row>
    <row r="63" spans="1:58" ht="15.75" customHeight="1">
      <c r="A63" s="1209"/>
      <c r="B63" s="2471" t="str">
        <f>IF(B55="", "", B55)</f>
        <v/>
      </c>
      <c r="C63" s="2472"/>
      <c r="D63" s="2472"/>
      <c r="E63" s="2472"/>
      <c r="F63" s="2472"/>
      <c r="G63" s="2472"/>
      <c r="H63" s="2472"/>
      <c r="I63" s="2473"/>
      <c r="J63" s="2474"/>
      <c r="K63" s="2373"/>
      <c r="L63" s="2373"/>
      <c r="M63" s="2373"/>
      <c r="N63" s="2373"/>
      <c r="O63" s="2373"/>
      <c r="P63" s="2373"/>
      <c r="Q63" s="2373"/>
      <c r="R63" s="2373"/>
      <c r="S63" s="2373"/>
      <c r="T63" s="2373"/>
      <c r="U63" s="2373"/>
      <c r="V63" s="2373"/>
      <c r="W63" s="2373"/>
      <c r="X63" s="2373"/>
      <c r="Y63" s="2373"/>
      <c r="Z63" s="2373"/>
      <c r="AA63" s="2373"/>
      <c r="AB63" s="2373"/>
      <c r="AC63" s="2373"/>
      <c r="AD63" s="2373"/>
      <c r="AE63" s="2373"/>
      <c r="AF63" s="2373"/>
      <c r="AG63" s="2373"/>
      <c r="AH63" s="2373"/>
      <c r="AI63" s="2373"/>
      <c r="AJ63" s="2373"/>
      <c r="AK63" s="2373"/>
      <c r="AL63" s="2373"/>
      <c r="AM63" s="2373"/>
      <c r="AN63" s="2373"/>
      <c r="AO63" s="2373"/>
      <c r="AP63" s="2373"/>
      <c r="AQ63" s="2373"/>
      <c r="AR63" s="2373"/>
      <c r="AS63" s="2373"/>
      <c r="AT63" s="2373"/>
      <c r="AU63" s="2373"/>
      <c r="AV63" s="2373"/>
      <c r="AW63" s="2374"/>
      <c r="AX63" s="1209"/>
      <c r="AY63" s="1209"/>
      <c r="AZ63" s="1209"/>
      <c r="BA63" s="1209"/>
      <c r="BB63" s="1209"/>
      <c r="BC63" s="1209"/>
      <c r="BD63" s="1209"/>
      <c r="BE63" s="1205"/>
    </row>
    <row r="64" spans="1:58" ht="15.75" customHeight="1" thickBot="1">
      <c r="A64" s="1209"/>
      <c r="B64" s="2475" t="str">
        <f>IF(B56="", "", B56)</f>
        <v/>
      </c>
      <c r="C64" s="2476"/>
      <c r="D64" s="2476"/>
      <c r="E64" s="2476"/>
      <c r="F64" s="2476"/>
      <c r="G64" s="2476"/>
      <c r="H64" s="2476"/>
      <c r="I64" s="2477"/>
      <c r="J64" s="2489"/>
      <c r="K64" s="2469"/>
      <c r="L64" s="2469"/>
      <c r="M64" s="2469"/>
      <c r="N64" s="2469"/>
      <c r="O64" s="2469"/>
      <c r="P64" s="2469"/>
      <c r="Q64" s="2469"/>
      <c r="R64" s="2469"/>
      <c r="S64" s="2469"/>
      <c r="T64" s="2469"/>
      <c r="U64" s="2469"/>
      <c r="V64" s="2469"/>
      <c r="W64" s="2469"/>
      <c r="X64" s="2469"/>
      <c r="Y64" s="2469"/>
      <c r="Z64" s="2469"/>
      <c r="AA64" s="2469"/>
      <c r="AB64" s="2469"/>
      <c r="AC64" s="2469"/>
      <c r="AD64" s="2469"/>
      <c r="AE64" s="2469"/>
      <c r="AF64" s="2469"/>
      <c r="AG64" s="2469"/>
      <c r="AH64" s="2469"/>
      <c r="AI64" s="2469"/>
      <c r="AJ64" s="2469"/>
      <c r="AK64" s="2469"/>
      <c r="AL64" s="2469"/>
      <c r="AM64" s="2469"/>
      <c r="AN64" s="2469"/>
      <c r="AO64" s="2469"/>
      <c r="AP64" s="2469"/>
      <c r="AQ64" s="2469"/>
      <c r="AR64" s="2469"/>
      <c r="AS64" s="2469"/>
      <c r="AT64" s="2469"/>
      <c r="AU64" s="2469"/>
      <c r="AV64" s="2469"/>
      <c r="AW64" s="2470"/>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50" t="s">
        <v>1821</v>
      </c>
      <c r="C68" s="2451"/>
      <c r="D68" s="2451"/>
      <c r="E68" s="2451"/>
      <c r="F68" s="2451"/>
      <c r="G68" s="2451"/>
      <c r="H68" s="2451"/>
      <c r="I68" s="2451"/>
      <c r="J68" s="2451"/>
      <c r="K68" s="2451"/>
      <c r="L68" s="2451"/>
      <c r="M68" s="2451"/>
      <c r="N68" s="2451"/>
      <c r="O68" s="2451"/>
      <c r="P68" s="2451"/>
      <c r="Q68" s="2451"/>
      <c r="R68" s="2451"/>
      <c r="S68" s="2451"/>
      <c r="T68" s="2451"/>
      <c r="U68" s="2451"/>
      <c r="V68" s="2451"/>
      <c r="W68" s="2451"/>
      <c r="X68" s="2451"/>
      <c r="Y68" s="2451"/>
      <c r="Z68" s="2451"/>
      <c r="AA68" s="2452"/>
      <c r="AB68" s="1209"/>
      <c r="AC68" s="2199" t="s">
        <v>1822</v>
      </c>
      <c r="AD68" s="2200"/>
      <c r="AE68" s="2200"/>
      <c r="AF68" s="2200"/>
      <c r="AG68" s="2200"/>
      <c r="AH68" s="2200"/>
      <c r="AI68" s="2200"/>
      <c r="AJ68" s="2200"/>
      <c r="AK68" s="2200"/>
      <c r="AL68" s="2200"/>
      <c r="AM68" s="2200"/>
      <c r="AN68" s="2200"/>
      <c r="AO68" s="2200"/>
      <c r="AP68" s="2200"/>
      <c r="AQ68" s="2200"/>
      <c r="AR68" s="2200"/>
      <c r="AS68" s="2200"/>
      <c r="AT68" s="2200"/>
      <c r="AU68" s="2200"/>
      <c r="AV68" s="2250" t="s">
        <v>553</v>
      </c>
      <c r="AW68" s="2251"/>
      <c r="AX68" s="2251"/>
      <c r="AY68" s="2251"/>
      <c r="AZ68" s="2251"/>
      <c r="BA68" s="2251"/>
      <c r="BB68" s="2251"/>
      <c r="BC68" s="2252"/>
      <c r="BD68" s="1209"/>
      <c r="BE68" s="1205"/>
      <c r="BM68" s="1254" t="s">
        <v>2476</v>
      </c>
    </row>
    <row r="69" spans="1:65" ht="15.75" customHeight="1" thickTop="1" thickBot="1">
      <c r="A69" s="1209"/>
      <c r="B69" s="2253" t="s">
        <v>1823</v>
      </c>
      <c r="C69" s="2254"/>
      <c r="D69" s="2254"/>
      <c r="E69" s="2254"/>
      <c r="F69" s="2254"/>
      <c r="G69" s="2254"/>
      <c r="H69" s="2254"/>
      <c r="I69" s="2254"/>
      <c r="J69" s="2254"/>
      <c r="K69" s="2254"/>
      <c r="L69" s="2254"/>
      <c r="M69" s="2254"/>
      <c r="N69" s="2254"/>
      <c r="O69" s="2255" t="s">
        <v>1824</v>
      </c>
      <c r="P69" s="2256"/>
      <c r="Q69" s="2256"/>
      <c r="R69" s="2256"/>
      <c r="S69" s="2256"/>
      <c r="T69" s="2256"/>
      <c r="U69" s="2256"/>
      <c r="V69" s="2256"/>
      <c r="W69" s="2256"/>
      <c r="X69" s="2256"/>
      <c r="Y69" s="2256"/>
      <c r="Z69" s="2256"/>
      <c r="AA69" s="2257"/>
      <c r="AB69" s="1209"/>
      <c r="AC69" s="2258" t="s">
        <v>1825</v>
      </c>
      <c r="AD69" s="2259"/>
      <c r="AE69" s="2259"/>
      <c r="AF69" s="2259"/>
      <c r="AG69" s="2259"/>
      <c r="AH69" s="2259"/>
      <c r="AI69" s="2259"/>
      <c r="AJ69" s="2259"/>
      <c r="AK69" s="2259"/>
      <c r="AL69" s="2259"/>
      <c r="AM69" s="2259"/>
      <c r="AN69" s="2259"/>
      <c r="AO69" s="2259"/>
      <c r="AP69" s="2259"/>
      <c r="AQ69" s="2259"/>
      <c r="AR69" s="2259"/>
      <c r="AS69" s="2259"/>
      <c r="AT69" s="2259"/>
      <c r="AU69" s="2259"/>
      <c r="AV69" s="2260"/>
      <c r="AW69" s="2261"/>
      <c r="AX69" s="2261"/>
      <c r="AY69" s="2261"/>
      <c r="AZ69" s="2261"/>
      <c r="BA69" s="2261"/>
      <c r="BB69" s="2261"/>
      <c r="BC69" s="2262"/>
      <c r="BD69" s="1209"/>
      <c r="BE69" s="1205"/>
      <c r="BM69" s="1253" t="s">
        <v>553</v>
      </c>
    </row>
    <row r="70" spans="1:65" ht="15.75" customHeight="1">
      <c r="A70" s="1209"/>
      <c r="B70" s="2263" t="s">
        <v>2772</v>
      </c>
      <c r="C70" s="2264"/>
      <c r="D70" s="2264"/>
      <c r="E70" s="2264"/>
      <c r="F70" s="2264"/>
      <c r="G70" s="2264"/>
      <c r="H70" s="2264"/>
      <c r="I70" s="2264"/>
      <c r="J70" s="2264"/>
      <c r="K70" s="2264"/>
      <c r="L70" s="2264"/>
      <c r="M70" s="2264"/>
      <c r="N70" s="2264"/>
      <c r="O70" s="2228">
        <f>'Sources and Uses Budget'!E4</f>
        <v>1957627</v>
      </c>
      <c r="P70" s="2228"/>
      <c r="Q70" s="2228"/>
      <c r="R70" s="2228"/>
      <c r="S70" s="2228"/>
      <c r="T70" s="2228"/>
      <c r="U70" s="2228"/>
      <c r="V70" s="2228"/>
      <c r="W70" s="2228"/>
      <c r="X70" s="2228"/>
      <c r="Y70" s="2228"/>
      <c r="Z70" s="2228"/>
      <c r="AA70" s="2229"/>
      <c r="AB70" s="1209"/>
      <c r="AC70" s="2438" t="s">
        <v>1826</v>
      </c>
      <c r="AD70" s="2232"/>
      <c r="AE70" s="2232"/>
      <c r="AF70" s="2465" t="s">
        <v>2773</v>
      </c>
      <c r="AG70" s="2465"/>
      <c r="AH70" s="2465"/>
      <c r="AI70" s="2465"/>
      <c r="AJ70" s="2465"/>
      <c r="AK70" s="2465"/>
      <c r="AL70" s="2465"/>
      <c r="AM70" s="2465"/>
      <c r="AN70" s="2465"/>
      <c r="AO70" s="2465"/>
      <c r="AP70" s="2465"/>
      <c r="AQ70" s="2465"/>
      <c r="AR70" s="2465"/>
      <c r="AS70" s="2465"/>
      <c r="AT70" s="2465"/>
      <c r="AU70" s="2466"/>
      <c r="AV70" s="1209"/>
      <c r="AW70" s="1209"/>
      <c r="AX70" s="1209"/>
      <c r="AY70" s="1209"/>
      <c r="AZ70" s="1209"/>
      <c r="BA70" s="1209"/>
      <c r="BB70" s="1209"/>
      <c r="BC70" s="1209"/>
      <c r="BD70" s="1209"/>
      <c r="BE70" s="1205"/>
      <c r="BM70" s="1252" t="s">
        <v>677</v>
      </c>
    </row>
    <row r="71" spans="1:65" ht="15.75" customHeight="1" thickBot="1">
      <c r="A71" s="1209"/>
      <c r="B71" s="2263"/>
      <c r="C71" s="2264"/>
      <c r="D71" s="2264"/>
      <c r="E71" s="2264"/>
      <c r="F71" s="2264"/>
      <c r="G71" s="2264"/>
      <c r="H71" s="2264"/>
      <c r="I71" s="2264"/>
      <c r="J71" s="2264"/>
      <c r="K71" s="2264"/>
      <c r="L71" s="2264"/>
      <c r="M71" s="2264"/>
      <c r="N71" s="2264"/>
      <c r="O71" s="2228">
        <v>0</v>
      </c>
      <c r="P71" s="2228"/>
      <c r="Q71" s="2228"/>
      <c r="R71" s="2228"/>
      <c r="S71" s="2228"/>
      <c r="T71" s="2228"/>
      <c r="U71" s="2228"/>
      <c r="V71" s="2228"/>
      <c r="W71" s="2228"/>
      <c r="X71" s="2228"/>
      <c r="Y71" s="2228"/>
      <c r="Z71" s="2228"/>
      <c r="AA71" s="2229"/>
      <c r="AB71" s="1209"/>
      <c r="AC71" s="2467" t="s">
        <v>1827</v>
      </c>
      <c r="AD71" s="2468"/>
      <c r="AE71" s="2468"/>
      <c r="AF71" s="2469" t="s">
        <v>2774</v>
      </c>
      <c r="AG71" s="2469"/>
      <c r="AH71" s="2469"/>
      <c r="AI71" s="2469"/>
      <c r="AJ71" s="2469"/>
      <c r="AK71" s="2469"/>
      <c r="AL71" s="2469"/>
      <c r="AM71" s="2469"/>
      <c r="AN71" s="2469"/>
      <c r="AO71" s="2469"/>
      <c r="AP71" s="2469"/>
      <c r="AQ71" s="2469"/>
      <c r="AR71" s="2469"/>
      <c r="AS71" s="2469"/>
      <c r="AT71" s="2469"/>
      <c r="AU71" s="2470"/>
      <c r="AV71" s="1209"/>
      <c r="AW71" s="1209"/>
      <c r="AX71" s="1209"/>
      <c r="AY71" s="1209"/>
      <c r="AZ71" s="1209"/>
      <c r="BA71" s="1209"/>
      <c r="BB71" s="1209"/>
      <c r="BC71" s="1209"/>
      <c r="BD71" s="1209"/>
      <c r="BE71" s="1205"/>
      <c r="BM71" s="1200" t="s">
        <v>2477</v>
      </c>
    </row>
    <row r="72" spans="1:65" ht="15.75" customHeight="1">
      <c r="A72" s="1209"/>
      <c r="B72" s="2263"/>
      <c r="C72" s="2264"/>
      <c r="D72" s="2264"/>
      <c r="E72" s="2264"/>
      <c r="F72" s="2264"/>
      <c r="G72" s="2264"/>
      <c r="H72" s="2264"/>
      <c r="I72" s="2264"/>
      <c r="J72" s="2264"/>
      <c r="K72" s="2264"/>
      <c r="L72" s="2264"/>
      <c r="M72" s="2264"/>
      <c r="N72" s="2264"/>
      <c r="O72" s="2228">
        <v>0</v>
      </c>
      <c r="P72" s="2228"/>
      <c r="Q72" s="2228"/>
      <c r="R72" s="2228"/>
      <c r="S72" s="2228"/>
      <c r="T72" s="2228"/>
      <c r="U72" s="2228"/>
      <c r="V72" s="2228"/>
      <c r="W72" s="2228"/>
      <c r="X72" s="2228"/>
      <c r="Y72" s="2228"/>
      <c r="Z72" s="2228"/>
      <c r="AA72" s="2229"/>
      <c r="AB72" s="1209"/>
      <c r="AC72" s="2230" t="s">
        <v>2478</v>
      </c>
      <c r="AD72" s="2231"/>
      <c r="AE72" s="2231"/>
      <c r="AF72" s="2231"/>
      <c r="AG72" s="2231"/>
      <c r="AH72" s="2231"/>
      <c r="AI72" s="2231"/>
      <c r="AJ72" s="2231"/>
      <c r="AK72" s="2231"/>
      <c r="AL72" s="2231"/>
      <c r="AM72" s="2231"/>
      <c r="AN72" s="2231"/>
      <c r="AO72" s="2231"/>
      <c r="AP72" s="2231"/>
      <c r="AQ72" s="2231"/>
      <c r="AR72" s="2231"/>
      <c r="AS72" s="2231"/>
      <c r="AT72" s="2231"/>
      <c r="AU72" s="2231"/>
      <c r="AV72" s="2232"/>
      <c r="AW72" s="2232"/>
      <c r="AX72" s="2232"/>
      <c r="AY72" s="2232"/>
      <c r="AZ72" s="2232"/>
      <c r="BA72" s="2232"/>
      <c r="BB72" s="2232"/>
      <c r="BC72" s="2233"/>
      <c r="BD72" s="1209"/>
      <c r="BE72" s="1205"/>
    </row>
    <row r="73" spans="1:65" ht="15.75" customHeight="1">
      <c r="A73" s="1209"/>
      <c r="B73" s="2234"/>
      <c r="C73" s="2235"/>
      <c r="D73" s="2235"/>
      <c r="E73" s="2235"/>
      <c r="F73" s="2235"/>
      <c r="G73" s="2235"/>
      <c r="H73" s="2235"/>
      <c r="I73" s="2235"/>
      <c r="J73" s="2235"/>
      <c r="K73" s="2235"/>
      <c r="L73" s="2235"/>
      <c r="M73" s="2235"/>
      <c r="N73" s="2235"/>
      <c r="O73" s="2228">
        <v>0</v>
      </c>
      <c r="P73" s="2228"/>
      <c r="Q73" s="2228"/>
      <c r="R73" s="2228"/>
      <c r="S73" s="2228"/>
      <c r="T73" s="2228"/>
      <c r="U73" s="2228"/>
      <c r="V73" s="2228"/>
      <c r="W73" s="2228"/>
      <c r="X73" s="2228"/>
      <c r="Y73" s="2228"/>
      <c r="Z73" s="2228"/>
      <c r="AA73" s="2229"/>
      <c r="AB73" s="1209"/>
      <c r="AC73" s="2460" t="s">
        <v>2786</v>
      </c>
      <c r="AD73" s="2421"/>
      <c r="AE73" s="2421"/>
      <c r="AF73" s="2421"/>
      <c r="AG73" s="2421"/>
      <c r="AH73" s="2421"/>
      <c r="AI73" s="2421"/>
      <c r="AJ73" s="2421"/>
      <c r="AK73" s="2421"/>
      <c r="AL73" s="2421"/>
      <c r="AM73" s="2421"/>
      <c r="AN73" s="2421"/>
      <c r="AO73" s="2421"/>
      <c r="AP73" s="2421"/>
      <c r="AQ73" s="2421"/>
      <c r="AR73" s="2421"/>
      <c r="AS73" s="2421"/>
      <c r="AT73" s="2421"/>
      <c r="AU73" s="2421"/>
      <c r="AV73" s="2421"/>
      <c r="AW73" s="2421"/>
      <c r="AX73" s="2421"/>
      <c r="AY73" s="2421"/>
      <c r="AZ73" s="2421"/>
      <c r="BA73" s="2421"/>
      <c r="BB73" s="2421"/>
      <c r="BC73" s="2422"/>
      <c r="BD73" s="1209"/>
      <c r="BE73" s="1205"/>
    </row>
    <row r="74" spans="1:65" ht="15.75" customHeight="1">
      <c r="A74" s="1209"/>
      <c r="B74" s="2369"/>
      <c r="C74" s="2370"/>
      <c r="D74" s="2370"/>
      <c r="E74" s="2370"/>
      <c r="F74" s="2370"/>
      <c r="G74" s="2370"/>
      <c r="H74" s="2370"/>
      <c r="I74" s="2370"/>
      <c r="J74" s="2370"/>
      <c r="K74" s="2370"/>
      <c r="L74" s="2370"/>
      <c r="M74" s="2370"/>
      <c r="N74" s="2370"/>
      <c r="O74" s="2228"/>
      <c r="P74" s="2228"/>
      <c r="Q74" s="2228"/>
      <c r="R74" s="2228"/>
      <c r="S74" s="2228"/>
      <c r="T74" s="2228"/>
      <c r="U74" s="2228"/>
      <c r="V74" s="2228"/>
      <c r="W74" s="2228"/>
      <c r="X74" s="2228"/>
      <c r="Y74" s="2228"/>
      <c r="Z74" s="2228"/>
      <c r="AA74" s="2229"/>
      <c r="AB74" s="1209"/>
      <c r="AC74" s="2420"/>
      <c r="AD74" s="2421"/>
      <c r="AE74" s="2421"/>
      <c r="AF74" s="2421"/>
      <c r="AG74" s="2421"/>
      <c r="AH74" s="2421"/>
      <c r="AI74" s="2421"/>
      <c r="AJ74" s="2421"/>
      <c r="AK74" s="2421"/>
      <c r="AL74" s="2421"/>
      <c r="AM74" s="2421"/>
      <c r="AN74" s="2421"/>
      <c r="AO74" s="2421"/>
      <c r="AP74" s="2421"/>
      <c r="AQ74" s="2421"/>
      <c r="AR74" s="2421"/>
      <c r="AS74" s="2421"/>
      <c r="AT74" s="2421"/>
      <c r="AU74" s="2421"/>
      <c r="AV74" s="2421"/>
      <c r="AW74" s="2421"/>
      <c r="AX74" s="2421"/>
      <c r="AY74" s="2421"/>
      <c r="AZ74" s="2421"/>
      <c r="BA74" s="2421"/>
      <c r="BB74" s="2421"/>
      <c r="BC74" s="2422"/>
      <c r="BD74" s="1209"/>
      <c r="BE74" s="1205"/>
    </row>
    <row r="75" spans="1:65" ht="15.75" customHeight="1" thickBot="1">
      <c r="A75" s="1209"/>
      <c r="B75" s="2463" t="s">
        <v>124</v>
      </c>
      <c r="C75" s="2464"/>
      <c r="D75" s="2464"/>
      <c r="E75" s="2464"/>
      <c r="F75" s="2464"/>
      <c r="G75" s="2464"/>
      <c r="H75" s="2464"/>
      <c r="I75" s="2464"/>
      <c r="J75" s="2464"/>
      <c r="K75" s="2464"/>
      <c r="L75" s="2464"/>
      <c r="M75" s="2464"/>
      <c r="N75" s="2464"/>
      <c r="O75" s="2236">
        <f>SUM(O70:AA74)</f>
        <v>1957627</v>
      </c>
      <c r="P75" s="2236"/>
      <c r="Q75" s="2236"/>
      <c r="R75" s="2236"/>
      <c r="S75" s="2236"/>
      <c r="T75" s="2236"/>
      <c r="U75" s="2236"/>
      <c r="V75" s="2236"/>
      <c r="W75" s="2236"/>
      <c r="X75" s="2236"/>
      <c r="Y75" s="2236"/>
      <c r="Z75" s="2236"/>
      <c r="AA75" s="2237"/>
      <c r="AB75" s="1209"/>
      <c r="AC75" s="2420"/>
      <c r="AD75" s="2421"/>
      <c r="AE75" s="2421"/>
      <c r="AF75" s="2421"/>
      <c r="AG75" s="2421"/>
      <c r="AH75" s="2421"/>
      <c r="AI75" s="2421"/>
      <c r="AJ75" s="2421"/>
      <c r="AK75" s="2421"/>
      <c r="AL75" s="2421"/>
      <c r="AM75" s="2421"/>
      <c r="AN75" s="2421"/>
      <c r="AO75" s="2421"/>
      <c r="AP75" s="2421"/>
      <c r="AQ75" s="2421"/>
      <c r="AR75" s="2421"/>
      <c r="AS75" s="2421"/>
      <c r="AT75" s="2421"/>
      <c r="AU75" s="2421"/>
      <c r="AV75" s="2421"/>
      <c r="AW75" s="2421"/>
      <c r="AX75" s="2421"/>
      <c r="AY75" s="2421"/>
      <c r="AZ75" s="2421"/>
      <c r="BA75" s="2421"/>
      <c r="BB75" s="2421"/>
      <c r="BC75" s="2422"/>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20"/>
      <c r="AD76" s="2421"/>
      <c r="AE76" s="2421"/>
      <c r="AF76" s="2421"/>
      <c r="AG76" s="2421"/>
      <c r="AH76" s="2421"/>
      <c r="AI76" s="2421"/>
      <c r="AJ76" s="2421"/>
      <c r="AK76" s="2421"/>
      <c r="AL76" s="2421"/>
      <c r="AM76" s="2421"/>
      <c r="AN76" s="2421"/>
      <c r="AO76" s="2421"/>
      <c r="AP76" s="2421"/>
      <c r="AQ76" s="2421"/>
      <c r="AR76" s="2421"/>
      <c r="AS76" s="2421"/>
      <c r="AT76" s="2421"/>
      <c r="AU76" s="2421"/>
      <c r="AV76" s="2421"/>
      <c r="AW76" s="2421"/>
      <c r="AX76" s="2421"/>
      <c r="AY76" s="2421"/>
      <c r="AZ76" s="2421"/>
      <c r="BA76" s="2421"/>
      <c r="BB76" s="2421"/>
      <c r="BC76" s="2422"/>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23"/>
      <c r="AD77" s="2424"/>
      <c r="AE77" s="2424"/>
      <c r="AF77" s="2424"/>
      <c r="AG77" s="2424"/>
      <c r="AH77" s="2424"/>
      <c r="AI77" s="2424"/>
      <c r="AJ77" s="2424"/>
      <c r="AK77" s="2424"/>
      <c r="AL77" s="2424"/>
      <c r="AM77" s="2424"/>
      <c r="AN77" s="2424"/>
      <c r="AO77" s="2424"/>
      <c r="AP77" s="2424"/>
      <c r="AQ77" s="2424"/>
      <c r="AR77" s="2424"/>
      <c r="AS77" s="2424"/>
      <c r="AT77" s="2424"/>
      <c r="AU77" s="2424"/>
      <c r="AV77" s="2424"/>
      <c r="AW77" s="2424"/>
      <c r="AX77" s="2424"/>
      <c r="AY77" s="2424"/>
      <c r="AZ77" s="2424"/>
      <c r="BA77" s="2424"/>
      <c r="BB77" s="2424"/>
      <c r="BC77" s="2425"/>
      <c r="BD77" s="1209"/>
      <c r="BE77" s="1205"/>
    </row>
    <row r="78" spans="1:65" ht="15.75" customHeight="1" thickBot="1">
      <c r="A78" s="1209"/>
      <c r="B78" s="1240" t="s">
        <v>2614</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248" t="s">
        <v>2646</v>
      </c>
      <c r="G79" s="2249"/>
      <c r="H79" s="2249"/>
      <c r="I79" s="2249"/>
      <c r="J79" s="2249"/>
      <c r="K79" s="2249"/>
      <c r="L79" s="2249"/>
      <c r="M79" s="2216"/>
      <c r="N79" s="2216"/>
      <c r="O79" s="2216"/>
      <c r="P79" s="2216"/>
      <c r="Q79" s="2217"/>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2606</v>
      </c>
      <c r="C80" s="1243"/>
      <c r="D80" s="1242"/>
      <c r="E80" s="1242"/>
      <c r="F80" s="1242"/>
      <c r="G80" s="1242"/>
      <c r="H80" s="1242"/>
      <c r="I80" s="1242"/>
      <c r="J80" s="1242"/>
      <c r="K80" s="1242"/>
      <c r="L80" s="1241"/>
      <c r="M80" s="1242"/>
      <c r="N80" s="1241"/>
      <c r="O80" s="2221" t="e">
        <f>BR96/SUM($BR$96:$BR$98)</f>
        <v>#DIV/0!</v>
      </c>
      <c r="P80" s="2222"/>
      <c r="Q80" s="2223"/>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2613</v>
      </c>
      <c r="C81" s="1247"/>
      <c r="D81" s="1229"/>
      <c r="E81" s="1229"/>
      <c r="F81" s="1229"/>
      <c r="G81" s="1229"/>
      <c r="H81" s="1229"/>
      <c r="I81" s="1229"/>
      <c r="J81" s="1229"/>
      <c r="K81" s="1229"/>
      <c r="L81" s="1229"/>
      <c r="M81" s="1229"/>
      <c r="N81" s="1249"/>
      <c r="O81" s="2212" t="s">
        <v>2545</v>
      </c>
      <c r="P81" s="2213"/>
      <c r="Q81" s="2214"/>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602" t="s">
        <v>2170</v>
      </c>
      <c r="C83" s="2603"/>
      <c r="D83" s="2603"/>
      <c r="E83" s="2603"/>
      <c r="F83" s="2603"/>
      <c r="G83" s="2603"/>
      <c r="H83" s="2603"/>
      <c r="I83" s="2603"/>
      <c r="J83" s="2603"/>
      <c r="K83" s="2603"/>
      <c r="L83" s="2603"/>
      <c r="M83" s="2603"/>
      <c r="N83" s="2603"/>
      <c r="O83" s="2603"/>
      <c r="P83" s="2603"/>
      <c r="Q83" s="2603"/>
      <c r="R83" s="2603"/>
      <c r="S83" s="2603"/>
      <c r="T83" s="2603"/>
      <c r="U83" s="2603"/>
      <c r="V83" s="2603"/>
      <c r="W83" s="2603"/>
      <c r="X83" s="2603"/>
      <c r="Y83" s="2603"/>
      <c r="Z83" s="2603"/>
      <c r="AA83" s="2603"/>
      <c r="AB83" s="2603"/>
      <c r="AC83" s="2603"/>
      <c r="AD83" s="2603"/>
      <c r="AE83" s="2603"/>
      <c r="AF83" s="2603"/>
      <c r="AG83" s="2603"/>
      <c r="AH83" s="2604"/>
      <c r="AI83" s="1209"/>
      <c r="AJ83" s="2202" t="s">
        <v>2612</v>
      </c>
      <c r="AK83" s="2203"/>
      <c r="AL83" s="2203"/>
      <c r="AM83" s="2203"/>
      <c r="AN83" s="2203"/>
      <c r="AO83" s="2203"/>
      <c r="AP83" s="2203"/>
      <c r="AQ83" s="2203"/>
      <c r="AR83" s="2203"/>
      <c r="AS83" s="2203"/>
      <c r="AT83" s="2203"/>
      <c r="AU83" s="2203"/>
      <c r="AV83" s="2203"/>
      <c r="AW83" s="2203"/>
      <c r="AX83" s="2203"/>
      <c r="AY83" s="2224" t="s">
        <v>553</v>
      </c>
      <c r="AZ83" s="2224"/>
      <c r="BA83" s="2224"/>
      <c r="BB83" s="2225"/>
      <c r="BC83" s="1209"/>
      <c r="BD83" s="1209"/>
      <c r="BE83" s="1205"/>
    </row>
    <row r="84" spans="1:70" ht="15.75" customHeight="1">
      <c r="A84" s="1209"/>
      <c r="B84" s="2194"/>
      <c r="C84" s="2195"/>
      <c r="D84" s="2195"/>
      <c r="E84" s="2195"/>
      <c r="F84" s="2195"/>
      <c r="G84" s="2195"/>
      <c r="H84" s="2195"/>
      <c r="I84" s="2195" t="s">
        <v>1828</v>
      </c>
      <c r="J84" s="2195"/>
      <c r="K84" s="2195"/>
      <c r="L84" s="2195"/>
      <c r="M84" s="2195"/>
      <c r="N84" s="2195"/>
      <c r="O84" s="2195" t="s">
        <v>1829</v>
      </c>
      <c r="P84" s="2195"/>
      <c r="Q84" s="2195"/>
      <c r="R84" s="2195"/>
      <c r="S84" s="2195"/>
      <c r="T84" s="2195"/>
      <c r="U84" s="2195"/>
      <c r="V84" s="2196" t="s">
        <v>2185</v>
      </c>
      <c r="W84" s="2196"/>
      <c r="X84" s="2196"/>
      <c r="Y84" s="2196"/>
      <c r="Z84" s="2196"/>
      <c r="AA84" s="2196"/>
      <c r="AB84" s="2197" t="s">
        <v>1830</v>
      </c>
      <c r="AC84" s="2197"/>
      <c r="AD84" s="2197"/>
      <c r="AE84" s="2197"/>
      <c r="AF84" s="2197"/>
      <c r="AG84" s="2197"/>
      <c r="AH84" s="2198"/>
      <c r="AI84" s="1209"/>
      <c r="AJ84" s="2204"/>
      <c r="AK84" s="2205"/>
      <c r="AL84" s="2205"/>
      <c r="AM84" s="2205"/>
      <c r="AN84" s="2205"/>
      <c r="AO84" s="2205"/>
      <c r="AP84" s="2205"/>
      <c r="AQ84" s="2205"/>
      <c r="AR84" s="2205"/>
      <c r="AS84" s="2205"/>
      <c r="AT84" s="2205"/>
      <c r="AU84" s="2205"/>
      <c r="AV84" s="2205"/>
      <c r="AW84" s="2205"/>
      <c r="AX84" s="2205"/>
      <c r="AY84" s="2226"/>
      <c r="AZ84" s="2226"/>
      <c r="BA84" s="2226"/>
      <c r="BB84" s="2227"/>
      <c r="BC84" s="1209"/>
      <c r="BD84" s="1209"/>
      <c r="BE84" s="1205"/>
    </row>
    <row r="85" spans="1:70" ht="15.75" customHeight="1">
      <c r="A85" s="1209"/>
      <c r="B85" s="2194"/>
      <c r="C85" s="2195"/>
      <c r="D85" s="2195"/>
      <c r="E85" s="2195"/>
      <c r="F85" s="2195"/>
      <c r="G85" s="2195"/>
      <c r="H85" s="2195"/>
      <c r="I85" s="2195"/>
      <c r="J85" s="2195"/>
      <c r="K85" s="2195"/>
      <c r="L85" s="2195"/>
      <c r="M85" s="2195"/>
      <c r="N85" s="2195"/>
      <c r="O85" s="2195"/>
      <c r="P85" s="2195"/>
      <c r="Q85" s="2195"/>
      <c r="R85" s="2195"/>
      <c r="S85" s="2195"/>
      <c r="T85" s="2195"/>
      <c r="U85" s="2195"/>
      <c r="V85" s="2196"/>
      <c r="W85" s="2196"/>
      <c r="X85" s="2196"/>
      <c r="Y85" s="2196"/>
      <c r="Z85" s="2196"/>
      <c r="AA85" s="2196"/>
      <c r="AB85" s="2197"/>
      <c r="AC85" s="2197"/>
      <c r="AD85" s="2197"/>
      <c r="AE85" s="2197"/>
      <c r="AF85" s="2197"/>
      <c r="AG85" s="2197"/>
      <c r="AH85" s="2198"/>
      <c r="AI85" s="1209"/>
      <c r="AJ85" s="2204"/>
      <c r="AK85" s="2205"/>
      <c r="AL85" s="2205"/>
      <c r="AM85" s="2205"/>
      <c r="AN85" s="2205"/>
      <c r="AO85" s="2205"/>
      <c r="AP85" s="2205"/>
      <c r="AQ85" s="2205"/>
      <c r="AR85" s="2205"/>
      <c r="AS85" s="2205"/>
      <c r="AT85" s="2205"/>
      <c r="AU85" s="2205"/>
      <c r="AV85" s="2205"/>
      <c r="AW85" s="2205"/>
      <c r="AX85" s="2205"/>
      <c r="AY85" s="2226"/>
      <c r="AZ85" s="2226"/>
      <c r="BA85" s="2226"/>
      <c r="BB85" s="2227"/>
      <c r="BC85" s="1209"/>
      <c r="BD85" s="1209"/>
      <c r="BE85" s="1205"/>
    </row>
    <row r="86" spans="1:70" ht="15.75" customHeight="1">
      <c r="A86" s="1209"/>
      <c r="B86" s="2194" t="s">
        <v>2171</v>
      </c>
      <c r="C86" s="2195"/>
      <c r="D86" s="2195"/>
      <c r="E86" s="2195"/>
      <c r="F86" s="2195"/>
      <c r="G86" s="2195"/>
      <c r="H86" s="2195"/>
      <c r="I86" s="2192">
        <v>750</v>
      </c>
      <c r="J86" s="2192"/>
      <c r="K86" s="2192"/>
      <c r="L86" s="2192"/>
      <c r="M86" s="2192"/>
      <c r="N86" s="2192"/>
      <c r="O86" s="2192">
        <v>719</v>
      </c>
      <c r="P86" s="2192"/>
      <c r="Q86" s="2192"/>
      <c r="R86" s="2192"/>
      <c r="S86" s="2192"/>
      <c r="T86" s="2192"/>
      <c r="U86" s="2192"/>
      <c r="V86" s="2192">
        <v>66</v>
      </c>
      <c r="W86" s="2192"/>
      <c r="X86" s="2192"/>
      <c r="Y86" s="2192"/>
      <c r="Z86" s="2192"/>
      <c r="AA86" s="2192"/>
      <c r="AB86" s="2192">
        <v>236</v>
      </c>
      <c r="AC86" s="2192"/>
      <c r="AD86" s="2192"/>
      <c r="AE86" s="2192"/>
      <c r="AF86" s="2192"/>
      <c r="AG86" s="2192"/>
      <c r="AH86" s="2193"/>
      <c r="AI86" s="1209"/>
      <c r="AJ86" s="2204"/>
      <c r="AK86" s="2205"/>
      <c r="AL86" s="2205"/>
      <c r="AM86" s="2205"/>
      <c r="AN86" s="2205"/>
      <c r="AO86" s="2205"/>
      <c r="AP86" s="2205"/>
      <c r="AQ86" s="2205"/>
      <c r="AR86" s="2205"/>
      <c r="AS86" s="2205"/>
      <c r="AT86" s="2205"/>
      <c r="AU86" s="2205"/>
      <c r="AV86" s="2205"/>
      <c r="AW86" s="2205"/>
      <c r="AX86" s="2205"/>
      <c r="AY86" s="2226"/>
      <c r="AZ86" s="2226"/>
      <c r="BA86" s="2226"/>
      <c r="BB86" s="2227"/>
      <c r="BC86" s="1209"/>
      <c r="BD86" s="1209"/>
      <c r="BE86" s="1205"/>
    </row>
    <row r="87" spans="1:70" ht="15.75" customHeight="1">
      <c r="A87" s="1209"/>
      <c r="B87" s="2194" t="s">
        <v>2172</v>
      </c>
      <c r="C87" s="2195"/>
      <c r="D87" s="2195"/>
      <c r="E87" s="2195"/>
      <c r="F87" s="2195"/>
      <c r="G87" s="2195"/>
      <c r="H87" s="2195"/>
      <c r="I87" s="2192">
        <v>0</v>
      </c>
      <c r="J87" s="2192"/>
      <c r="K87" s="2192"/>
      <c r="L87" s="2192"/>
      <c r="M87" s="2192"/>
      <c r="N87" s="2192"/>
      <c r="O87" s="2192">
        <v>0</v>
      </c>
      <c r="P87" s="2192"/>
      <c r="Q87" s="2192"/>
      <c r="R87" s="2192"/>
      <c r="S87" s="2192"/>
      <c r="T87" s="2192"/>
      <c r="U87" s="2192"/>
      <c r="V87" s="2192">
        <v>0</v>
      </c>
      <c r="W87" s="2192"/>
      <c r="X87" s="2192"/>
      <c r="Y87" s="2192"/>
      <c r="Z87" s="2192"/>
      <c r="AA87" s="2192"/>
      <c r="AB87" s="2192">
        <v>0</v>
      </c>
      <c r="AC87" s="2192"/>
      <c r="AD87" s="2192"/>
      <c r="AE87" s="2192"/>
      <c r="AF87" s="2192"/>
      <c r="AG87" s="2192"/>
      <c r="AH87" s="2193"/>
      <c r="AI87" s="1209"/>
      <c r="AJ87" s="2206" t="s">
        <v>2479</v>
      </c>
      <c r="AK87" s="2207"/>
      <c r="AL87" s="2207"/>
      <c r="AM87" s="2207"/>
      <c r="AN87" s="2207"/>
      <c r="AO87" s="2207"/>
      <c r="AP87" s="2207"/>
      <c r="AQ87" s="2207"/>
      <c r="AR87" s="2207"/>
      <c r="AS87" s="2207"/>
      <c r="AT87" s="2207"/>
      <c r="AU87" s="2207"/>
      <c r="AV87" s="2207"/>
      <c r="AW87" s="2207"/>
      <c r="AX87" s="2207"/>
      <c r="AY87" s="2207"/>
      <c r="AZ87" s="2207"/>
      <c r="BA87" s="2207"/>
      <c r="BB87" s="2208"/>
      <c r="BC87" s="1209"/>
      <c r="BD87" s="1209"/>
      <c r="BE87" s="1205"/>
    </row>
    <row r="88" spans="1:70" ht="15.75" customHeight="1" thickBot="1">
      <c r="A88" s="1209"/>
      <c r="B88" s="2188" t="s">
        <v>1831</v>
      </c>
      <c r="C88" s="2189"/>
      <c r="D88" s="2189"/>
      <c r="E88" s="2189"/>
      <c r="F88" s="2189"/>
      <c r="G88" s="2189"/>
      <c r="H88" s="2189"/>
      <c r="I88" s="2190">
        <v>750</v>
      </c>
      <c r="J88" s="2190"/>
      <c r="K88" s="2190"/>
      <c r="L88" s="2190"/>
      <c r="M88" s="2190"/>
      <c r="N88" s="2190"/>
      <c r="O88" s="2190">
        <v>719</v>
      </c>
      <c r="P88" s="2190"/>
      <c r="Q88" s="2190"/>
      <c r="R88" s="2190"/>
      <c r="S88" s="2190"/>
      <c r="T88" s="2190"/>
      <c r="U88" s="2190"/>
      <c r="V88" s="2190">
        <v>66</v>
      </c>
      <c r="W88" s="2190"/>
      <c r="X88" s="2190"/>
      <c r="Y88" s="2190"/>
      <c r="Z88" s="2190"/>
      <c r="AA88" s="2190"/>
      <c r="AB88" s="2190">
        <v>236</v>
      </c>
      <c r="AC88" s="2190"/>
      <c r="AD88" s="2190"/>
      <c r="AE88" s="2190"/>
      <c r="AF88" s="2190"/>
      <c r="AG88" s="2190"/>
      <c r="AH88" s="2191"/>
      <c r="AI88" s="1209"/>
      <c r="AJ88" s="2209"/>
      <c r="AK88" s="2210"/>
      <c r="AL88" s="2210"/>
      <c r="AM88" s="2210"/>
      <c r="AN88" s="2210"/>
      <c r="AO88" s="2210"/>
      <c r="AP88" s="2210"/>
      <c r="AQ88" s="2210"/>
      <c r="AR88" s="2210"/>
      <c r="AS88" s="2210"/>
      <c r="AT88" s="2210"/>
      <c r="AU88" s="2210"/>
      <c r="AV88" s="2210"/>
      <c r="AW88" s="2210"/>
      <c r="AX88" s="2210"/>
      <c r="AY88" s="2210"/>
      <c r="AZ88" s="2210"/>
      <c r="BA88" s="2210"/>
      <c r="BB88" s="2211"/>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2611</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215"/>
      <c r="G92" s="2216"/>
      <c r="H92" s="2216"/>
      <c r="I92" s="2216"/>
      <c r="J92" s="2216"/>
      <c r="K92" s="2216"/>
      <c r="L92" s="2216"/>
      <c r="M92" s="2216"/>
      <c r="N92" s="2216"/>
      <c r="O92" s="2216"/>
      <c r="P92" s="2216"/>
      <c r="Q92" s="2217"/>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2606</v>
      </c>
      <c r="C93" s="1243"/>
      <c r="D93" s="1242"/>
      <c r="E93" s="1242"/>
      <c r="F93" s="1242"/>
      <c r="G93" s="1242"/>
      <c r="H93" s="1242"/>
      <c r="I93" s="1242"/>
      <c r="J93" s="1242"/>
      <c r="K93" s="1242"/>
      <c r="L93" s="1241"/>
      <c r="M93" s="1242"/>
      <c r="N93" s="1241"/>
      <c r="O93" s="2221" t="e">
        <f>BR97/SUM($BR$96:$BR$98)</f>
        <v>#DIV/0!</v>
      </c>
      <c r="P93" s="2222"/>
      <c r="Q93" s="2223"/>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2610</v>
      </c>
      <c r="C94" s="1247"/>
      <c r="D94" s="1229"/>
      <c r="E94" s="1229"/>
      <c r="F94" s="1229"/>
      <c r="G94" s="1229"/>
      <c r="H94" s="1229"/>
      <c r="I94" s="1229"/>
      <c r="J94" s="1229"/>
      <c r="K94" s="1229"/>
      <c r="L94" s="1229"/>
      <c r="M94" s="1229"/>
      <c r="N94" s="1249"/>
      <c r="O94" s="2212" t="s">
        <v>2545</v>
      </c>
      <c r="P94" s="2213"/>
      <c r="Q94" s="2214"/>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602" t="s">
        <v>2609</v>
      </c>
      <c r="C96" s="2603"/>
      <c r="D96" s="2603"/>
      <c r="E96" s="2603"/>
      <c r="F96" s="2603"/>
      <c r="G96" s="2603"/>
      <c r="H96" s="2603"/>
      <c r="I96" s="2603"/>
      <c r="J96" s="2603"/>
      <c r="K96" s="2603"/>
      <c r="L96" s="2603"/>
      <c r="M96" s="2603"/>
      <c r="N96" s="2603"/>
      <c r="O96" s="2603"/>
      <c r="P96" s="2603"/>
      <c r="Q96" s="2603"/>
      <c r="R96" s="2603"/>
      <c r="S96" s="2603"/>
      <c r="T96" s="2603"/>
      <c r="U96" s="2603"/>
      <c r="V96" s="2603"/>
      <c r="W96" s="2603"/>
      <c r="X96" s="2603"/>
      <c r="Y96" s="2603"/>
      <c r="Z96" s="2603"/>
      <c r="AA96" s="2603"/>
      <c r="AB96" s="2603"/>
      <c r="AC96" s="2603"/>
      <c r="AD96" s="2603"/>
      <c r="AE96" s="2603"/>
      <c r="AF96" s="2603"/>
      <c r="AG96" s="2603"/>
      <c r="AH96" s="2604"/>
      <c r="AI96" s="1209"/>
      <c r="AJ96" s="2202" t="s">
        <v>2608</v>
      </c>
      <c r="AK96" s="2203"/>
      <c r="AL96" s="2203"/>
      <c r="AM96" s="2203"/>
      <c r="AN96" s="2203"/>
      <c r="AO96" s="2203"/>
      <c r="AP96" s="2203"/>
      <c r="AQ96" s="2203"/>
      <c r="AR96" s="2203"/>
      <c r="AS96" s="2203"/>
      <c r="AT96" s="2203"/>
      <c r="AU96" s="2203"/>
      <c r="AV96" s="2203"/>
      <c r="AW96" s="2203"/>
      <c r="AX96" s="2203"/>
      <c r="AY96" s="2224" t="s">
        <v>553</v>
      </c>
      <c r="AZ96" s="2224"/>
      <c r="BA96" s="2224"/>
      <c r="BB96" s="2225"/>
      <c r="BC96" s="1209"/>
      <c r="BD96" s="1209"/>
      <c r="BE96" s="1205"/>
      <c r="BQ96" s="1248" t="str">
        <f>Application!M243</f>
        <v>CRP The Pardes 2 AGP LLC</v>
      </c>
      <c r="BR96" s="1248">
        <f>Application!AH245</f>
        <v>0</v>
      </c>
    </row>
    <row r="97" spans="1:70" ht="15.75" customHeight="1">
      <c r="A97" s="1209"/>
      <c r="B97" s="2194"/>
      <c r="C97" s="2195"/>
      <c r="D97" s="2195"/>
      <c r="E97" s="2195"/>
      <c r="F97" s="2195"/>
      <c r="G97" s="2195"/>
      <c r="H97" s="2195"/>
      <c r="I97" s="2195" t="s">
        <v>1828</v>
      </c>
      <c r="J97" s="2195"/>
      <c r="K97" s="2195"/>
      <c r="L97" s="2195"/>
      <c r="M97" s="2195"/>
      <c r="N97" s="2195"/>
      <c r="O97" s="2195" t="s">
        <v>1829</v>
      </c>
      <c r="P97" s="2195"/>
      <c r="Q97" s="2195"/>
      <c r="R97" s="2195"/>
      <c r="S97" s="2195"/>
      <c r="T97" s="2195"/>
      <c r="U97" s="2195"/>
      <c r="V97" s="2196" t="s">
        <v>2185</v>
      </c>
      <c r="W97" s="2196"/>
      <c r="X97" s="2196"/>
      <c r="Y97" s="2196"/>
      <c r="Z97" s="2196"/>
      <c r="AA97" s="2196"/>
      <c r="AB97" s="2197" t="s">
        <v>1830</v>
      </c>
      <c r="AC97" s="2197"/>
      <c r="AD97" s="2197"/>
      <c r="AE97" s="2197"/>
      <c r="AF97" s="2197"/>
      <c r="AG97" s="2197"/>
      <c r="AH97" s="2198"/>
      <c r="AI97" s="1209"/>
      <c r="AJ97" s="2204"/>
      <c r="AK97" s="2205"/>
      <c r="AL97" s="2205"/>
      <c r="AM97" s="2205"/>
      <c r="AN97" s="2205"/>
      <c r="AO97" s="2205"/>
      <c r="AP97" s="2205"/>
      <c r="AQ97" s="2205"/>
      <c r="AR97" s="2205"/>
      <c r="AS97" s="2205"/>
      <c r="AT97" s="2205"/>
      <c r="AU97" s="2205"/>
      <c r="AV97" s="2205"/>
      <c r="AW97" s="2205"/>
      <c r="AX97" s="2205"/>
      <c r="AY97" s="2226"/>
      <c r="AZ97" s="2226"/>
      <c r="BA97" s="2226"/>
      <c r="BB97" s="2227"/>
      <c r="BC97" s="1209"/>
      <c r="BD97" s="1209"/>
      <c r="BE97" s="1205"/>
      <c r="BQ97" s="1248" t="str">
        <f>Application!M251</f>
        <v>Enright Pardes, LLC</v>
      </c>
      <c r="BR97" s="1248">
        <f>Application!AH253</f>
        <v>0</v>
      </c>
    </row>
    <row r="98" spans="1:70" ht="15.75" customHeight="1">
      <c r="A98" s="1209"/>
      <c r="B98" s="2194"/>
      <c r="C98" s="2195"/>
      <c r="D98" s="2195"/>
      <c r="E98" s="2195"/>
      <c r="F98" s="2195"/>
      <c r="G98" s="2195"/>
      <c r="H98" s="2195"/>
      <c r="I98" s="2195"/>
      <c r="J98" s="2195"/>
      <c r="K98" s="2195"/>
      <c r="L98" s="2195"/>
      <c r="M98" s="2195"/>
      <c r="N98" s="2195"/>
      <c r="O98" s="2195"/>
      <c r="P98" s="2195"/>
      <c r="Q98" s="2195"/>
      <c r="R98" s="2195"/>
      <c r="S98" s="2195"/>
      <c r="T98" s="2195"/>
      <c r="U98" s="2195"/>
      <c r="V98" s="2196"/>
      <c r="W98" s="2196"/>
      <c r="X98" s="2196"/>
      <c r="Y98" s="2196"/>
      <c r="Z98" s="2196"/>
      <c r="AA98" s="2196"/>
      <c r="AB98" s="2197"/>
      <c r="AC98" s="2197"/>
      <c r="AD98" s="2197"/>
      <c r="AE98" s="2197"/>
      <c r="AF98" s="2197"/>
      <c r="AG98" s="2197"/>
      <c r="AH98" s="2198"/>
      <c r="AI98" s="1209"/>
      <c r="AJ98" s="2204"/>
      <c r="AK98" s="2205"/>
      <c r="AL98" s="2205"/>
      <c r="AM98" s="2205"/>
      <c r="AN98" s="2205"/>
      <c r="AO98" s="2205"/>
      <c r="AP98" s="2205"/>
      <c r="AQ98" s="2205"/>
      <c r="AR98" s="2205"/>
      <c r="AS98" s="2205"/>
      <c r="AT98" s="2205"/>
      <c r="AU98" s="2205"/>
      <c r="AV98" s="2205"/>
      <c r="AW98" s="2205"/>
      <c r="AX98" s="2205"/>
      <c r="AY98" s="2226"/>
      <c r="AZ98" s="2226"/>
      <c r="BA98" s="2226"/>
      <c r="BB98" s="2227"/>
      <c r="BC98" s="1209"/>
      <c r="BD98" s="1209"/>
      <c r="BE98" s="1205"/>
      <c r="BQ98" s="1248" t="str">
        <f>Application!M259</f>
        <v>Bold Pardes II LLC</v>
      </c>
      <c r="BR98" s="1248">
        <f>Application!AH261</f>
        <v>0</v>
      </c>
    </row>
    <row r="99" spans="1:70" ht="15.75" customHeight="1">
      <c r="A99" s="1209"/>
      <c r="B99" s="2194" t="s">
        <v>2171</v>
      </c>
      <c r="C99" s="2195"/>
      <c r="D99" s="2195"/>
      <c r="E99" s="2195"/>
      <c r="F99" s="2195"/>
      <c r="G99" s="2195"/>
      <c r="H99" s="2195"/>
      <c r="I99" s="2192">
        <v>0</v>
      </c>
      <c r="J99" s="2192"/>
      <c r="K99" s="2192"/>
      <c r="L99" s="2192"/>
      <c r="M99" s="2192"/>
      <c r="N99" s="2192"/>
      <c r="O99" s="2192">
        <v>0</v>
      </c>
      <c r="P99" s="2192"/>
      <c r="Q99" s="2192"/>
      <c r="R99" s="2192"/>
      <c r="S99" s="2192"/>
      <c r="T99" s="2192"/>
      <c r="U99" s="2192"/>
      <c r="V99" s="2192">
        <v>0</v>
      </c>
      <c r="W99" s="2192"/>
      <c r="X99" s="2192"/>
      <c r="Y99" s="2192"/>
      <c r="Z99" s="2192"/>
      <c r="AA99" s="2192"/>
      <c r="AB99" s="2192">
        <v>0</v>
      </c>
      <c r="AC99" s="2192"/>
      <c r="AD99" s="2192"/>
      <c r="AE99" s="2192"/>
      <c r="AF99" s="2192"/>
      <c r="AG99" s="2192"/>
      <c r="AH99" s="2193"/>
      <c r="AI99" s="1209"/>
      <c r="AJ99" s="2204"/>
      <c r="AK99" s="2205"/>
      <c r="AL99" s="2205"/>
      <c r="AM99" s="2205"/>
      <c r="AN99" s="2205"/>
      <c r="AO99" s="2205"/>
      <c r="AP99" s="2205"/>
      <c r="AQ99" s="2205"/>
      <c r="AR99" s="2205"/>
      <c r="AS99" s="2205"/>
      <c r="AT99" s="2205"/>
      <c r="AU99" s="2205"/>
      <c r="AV99" s="2205"/>
      <c r="AW99" s="2205"/>
      <c r="AX99" s="2205"/>
      <c r="AY99" s="2226"/>
      <c r="AZ99" s="2226"/>
      <c r="BA99" s="2226"/>
      <c r="BB99" s="2227"/>
      <c r="BC99" s="1209"/>
      <c r="BD99" s="1209"/>
      <c r="BE99" s="1205"/>
    </row>
    <row r="100" spans="1:70" ht="15.75" customHeight="1">
      <c r="A100" s="1209"/>
      <c r="B100" s="2194" t="s">
        <v>2172</v>
      </c>
      <c r="C100" s="2195"/>
      <c r="D100" s="2195"/>
      <c r="E100" s="2195"/>
      <c r="F100" s="2195"/>
      <c r="G100" s="2195"/>
      <c r="H100" s="2195"/>
      <c r="I100" s="2192">
        <v>0</v>
      </c>
      <c r="J100" s="2192"/>
      <c r="K100" s="2192"/>
      <c r="L100" s="2192"/>
      <c r="M100" s="2192"/>
      <c r="N100" s="2192"/>
      <c r="O100" s="2192">
        <v>0</v>
      </c>
      <c r="P100" s="2192"/>
      <c r="Q100" s="2192"/>
      <c r="R100" s="2192"/>
      <c r="S100" s="2192"/>
      <c r="T100" s="2192"/>
      <c r="U100" s="2192"/>
      <c r="V100" s="2192">
        <v>0</v>
      </c>
      <c r="W100" s="2192"/>
      <c r="X100" s="2192"/>
      <c r="Y100" s="2192"/>
      <c r="Z100" s="2192"/>
      <c r="AA100" s="2192"/>
      <c r="AB100" s="2192">
        <v>0</v>
      </c>
      <c r="AC100" s="2192"/>
      <c r="AD100" s="2192"/>
      <c r="AE100" s="2192"/>
      <c r="AF100" s="2192"/>
      <c r="AG100" s="2192"/>
      <c r="AH100" s="2193"/>
      <c r="AI100" s="1209"/>
      <c r="AJ100" s="2206" t="s">
        <v>2479</v>
      </c>
      <c r="AK100" s="2207"/>
      <c r="AL100" s="2207"/>
      <c r="AM100" s="2207"/>
      <c r="AN100" s="2207"/>
      <c r="AO100" s="2207"/>
      <c r="AP100" s="2207"/>
      <c r="AQ100" s="2207"/>
      <c r="AR100" s="2207"/>
      <c r="AS100" s="2207"/>
      <c r="AT100" s="2207"/>
      <c r="AU100" s="2207"/>
      <c r="AV100" s="2207"/>
      <c r="AW100" s="2207"/>
      <c r="AX100" s="2207"/>
      <c r="AY100" s="2207"/>
      <c r="AZ100" s="2207"/>
      <c r="BA100" s="2207"/>
      <c r="BB100" s="2208"/>
      <c r="BC100" s="1209"/>
      <c r="BD100" s="1209"/>
      <c r="BE100" s="1205"/>
    </row>
    <row r="101" spans="1:70" ht="15.75" customHeight="1" thickBot="1">
      <c r="A101" s="1209"/>
      <c r="B101" s="2188" t="s">
        <v>1831</v>
      </c>
      <c r="C101" s="2189"/>
      <c r="D101" s="2189"/>
      <c r="E101" s="2189"/>
      <c r="F101" s="2189"/>
      <c r="G101" s="2189"/>
      <c r="H101" s="2189"/>
      <c r="I101" s="2190">
        <v>0</v>
      </c>
      <c r="J101" s="2190"/>
      <c r="K101" s="2190"/>
      <c r="L101" s="2190"/>
      <c r="M101" s="2190"/>
      <c r="N101" s="2190"/>
      <c r="O101" s="2190">
        <v>0</v>
      </c>
      <c r="P101" s="2190"/>
      <c r="Q101" s="2190"/>
      <c r="R101" s="2190"/>
      <c r="S101" s="2190"/>
      <c r="T101" s="2190"/>
      <c r="U101" s="2190"/>
      <c r="V101" s="2190">
        <v>0</v>
      </c>
      <c r="W101" s="2190"/>
      <c r="X101" s="2190"/>
      <c r="Y101" s="2190"/>
      <c r="Z101" s="2190"/>
      <c r="AA101" s="2190"/>
      <c r="AB101" s="2190">
        <v>0</v>
      </c>
      <c r="AC101" s="2190"/>
      <c r="AD101" s="2190"/>
      <c r="AE101" s="2190"/>
      <c r="AF101" s="2190"/>
      <c r="AG101" s="2190"/>
      <c r="AH101" s="2191"/>
      <c r="AI101" s="1209"/>
      <c r="AJ101" s="2209"/>
      <c r="AK101" s="2210"/>
      <c r="AL101" s="2210"/>
      <c r="AM101" s="2210"/>
      <c r="AN101" s="2210"/>
      <c r="AO101" s="2210"/>
      <c r="AP101" s="2210"/>
      <c r="AQ101" s="2210"/>
      <c r="AR101" s="2210"/>
      <c r="AS101" s="2210"/>
      <c r="AT101" s="2210"/>
      <c r="AU101" s="2210"/>
      <c r="AV101" s="2210"/>
      <c r="AW101" s="2210"/>
      <c r="AX101" s="2210"/>
      <c r="AY101" s="2210"/>
      <c r="AZ101" s="2210"/>
      <c r="BA101" s="2210"/>
      <c r="BB101" s="2211"/>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2607</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218"/>
      <c r="G104" s="2219"/>
      <c r="H104" s="2219"/>
      <c r="I104" s="2219"/>
      <c r="J104" s="2219"/>
      <c r="K104" s="2219"/>
      <c r="L104" s="2219"/>
      <c r="M104" s="2219"/>
      <c r="N104" s="2219"/>
      <c r="O104" s="2219"/>
      <c r="P104" s="2219"/>
      <c r="Q104" s="2219"/>
      <c r="R104" s="2220"/>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2606</v>
      </c>
      <c r="C105" s="1243"/>
      <c r="D105" s="1242"/>
      <c r="E105" s="1242"/>
      <c r="F105" s="1242"/>
      <c r="G105" s="1242"/>
      <c r="H105" s="1242"/>
      <c r="I105" s="1242"/>
      <c r="J105" s="1242"/>
      <c r="K105" s="1242"/>
      <c r="L105" s="1241"/>
      <c r="M105" s="1242"/>
      <c r="N105" s="1241"/>
      <c r="O105" s="2212" t="e">
        <f>BR98/SUM(BR96:BR98)</f>
        <v>#DIV/0!</v>
      </c>
      <c r="P105" s="2213"/>
      <c r="Q105" s="2213"/>
      <c r="R105" s="2214"/>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99" t="s">
        <v>2605</v>
      </c>
      <c r="C107" s="2200"/>
      <c r="D107" s="2200"/>
      <c r="E107" s="2200"/>
      <c r="F107" s="2200"/>
      <c r="G107" s="2200"/>
      <c r="H107" s="2200"/>
      <c r="I107" s="2200"/>
      <c r="J107" s="2200"/>
      <c r="K107" s="2200"/>
      <c r="L107" s="2200"/>
      <c r="M107" s="2200"/>
      <c r="N107" s="2200"/>
      <c r="O107" s="2200"/>
      <c r="P107" s="2200"/>
      <c r="Q107" s="2200"/>
      <c r="R107" s="2200"/>
      <c r="S107" s="2200"/>
      <c r="T107" s="2200"/>
      <c r="U107" s="2200"/>
      <c r="V107" s="2200"/>
      <c r="W107" s="2200"/>
      <c r="X107" s="2200"/>
      <c r="Y107" s="2200"/>
      <c r="Z107" s="2200"/>
      <c r="AA107" s="2200"/>
      <c r="AB107" s="2200"/>
      <c r="AC107" s="2200"/>
      <c r="AD107" s="2200"/>
      <c r="AE107" s="2200"/>
      <c r="AF107" s="2200"/>
      <c r="AG107" s="2200"/>
      <c r="AH107" s="2201"/>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94"/>
      <c r="C108" s="2195"/>
      <c r="D108" s="2195"/>
      <c r="E108" s="2195"/>
      <c r="F108" s="2195"/>
      <c r="G108" s="2195"/>
      <c r="H108" s="2195"/>
      <c r="I108" s="2195" t="s">
        <v>1828</v>
      </c>
      <c r="J108" s="2195"/>
      <c r="K108" s="2195"/>
      <c r="L108" s="2195"/>
      <c r="M108" s="2195"/>
      <c r="N108" s="2195"/>
      <c r="O108" s="2195" t="s">
        <v>1829</v>
      </c>
      <c r="P108" s="2195"/>
      <c r="Q108" s="2195"/>
      <c r="R108" s="2195"/>
      <c r="S108" s="2195"/>
      <c r="T108" s="2195"/>
      <c r="U108" s="2195"/>
      <c r="V108" s="2196" t="s">
        <v>2185</v>
      </c>
      <c r="W108" s="2196"/>
      <c r="X108" s="2196"/>
      <c r="Y108" s="2196"/>
      <c r="Z108" s="2196"/>
      <c r="AA108" s="2196"/>
      <c r="AB108" s="2197" t="s">
        <v>1830</v>
      </c>
      <c r="AC108" s="2197"/>
      <c r="AD108" s="2197"/>
      <c r="AE108" s="2197"/>
      <c r="AF108" s="2197"/>
      <c r="AG108" s="2197"/>
      <c r="AH108" s="2198"/>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94"/>
      <c r="C109" s="2195"/>
      <c r="D109" s="2195"/>
      <c r="E109" s="2195"/>
      <c r="F109" s="2195"/>
      <c r="G109" s="2195"/>
      <c r="H109" s="2195"/>
      <c r="I109" s="2195"/>
      <c r="J109" s="2195"/>
      <c r="K109" s="2195"/>
      <c r="L109" s="2195"/>
      <c r="M109" s="2195"/>
      <c r="N109" s="2195"/>
      <c r="O109" s="2195"/>
      <c r="P109" s="2195"/>
      <c r="Q109" s="2195"/>
      <c r="R109" s="2195"/>
      <c r="S109" s="2195"/>
      <c r="T109" s="2195"/>
      <c r="U109" s="2195"/>
      <c r="V109" s="2196"/>
      <c r="W109" s="2196"/>
      <c r="X109" s="2196"/>
      <c r="Y109" s="2196"/>
      <c r="Z109" s="2196"/>
      <c r="AA109" s="2196"/>
      <c r="AB109" s="2197"/>
      <c r="AC109" s="2197"/>
      <c r="AD109" s="2197"/>
      <c r="AE109" s="2197"/>
      <c r="AF109" s="2197"/>
      <c r="AG109" s="2197"/>
      <c r="AH109" s="2198"/>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94" t="s">
        <v>2171</v>
      </c>
      <c r="C110" s="2195"/>
      <c r="D110" s="2195"/>
      <c r="E110" s="2195"/>
      <c r="F110" s="2195"/>
      <c r="G110" s="2195"/>
      <c r="H110" s="2195"/>
      <c r="I110" s="2192">
        <v>0</v>
      </c>
      <c r="J110" s="2192"/>
      <c r="K110" s="2192"/>
      <c r="L110" s="2192"/>
      <c r="M110" s="2192"/>
      <c r="N110" s="2192"/>
      <c r="O110" s="2192">
        <v>0</v>
      </c>
      <c r="P110" s="2192"/>
      <c r="Q110" s="2192"/>
      <c r="R110" s="2192"/>
      <c r="S110" s="2192"/>
      <c r="T110" s="2192"/>
      <c r="U110" s="2192"/>
      <c r="V110" s="2192">
        <v>0</v>
      </c>
      <c r="W110" s="2192"/>
      <c r="X110" s="2192"/>
      <c r="Y110" s="2192"/>
      <c r="Z110" s="2192"/>
      <c r="AA110" s="2192"/>
      <c r="AB110" s="2192">
        <v>0</v>
      </c>
      <c r="AC110" s="2192"/>
      <c r="AD110" s="2192"/>
      <c r="AE110" s="2192"/>
      <c r="AF110" s="2192"/>
      <c r="AG110" s="2192"/>
      <c r="AH110" s="2193"/>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94" t="s">
        <v>2172</v>
      </c>
      <c r="C111" s="2195"/>
      <c r="D111" s="2195"/>
      <c r="E111" s="2195"/>
      <c r="F111" s="2195"/>
      <c r="G111" s="2195"/>
      <c r="H111" s="2195"/>
      <c r="I111" s="2192">
        <v>0</v>
      </c>
      <c r="J111" s="2192"/>
      <c r="K111" s="2192"/>
      <c r="L111" s="2192"/>
      <c r="M111" s="2192"/>
      <c r="N111" s="2192"/>
      <c r="O111" s="2192">
        <v>0</v>
      </c>
      <c r="P111" s="2192"/>
      <c r="Q111" s="2192"/>
      <c r="R111" s="2192"/>
      <c r="S111" s="2192"/>
      <c r="T111" s="2192"/>
      <c r="U111" s="2192"/>
      <c r="V111" s="2192">
        <v>0</v>
      </c>
      <c r="W111" s="2192"/>
      <c r="X111" s="2192"/>
      <c r="Y111" s="2192"/>
      <c r="Z111" s="2192"/>
      <c r="AA111" s="2192"/>
      <c r="AB111" s="2192">
        <v>0</v>
      </c>
      <c r="AC111" s="2192"/>
      <c r="AD111" s="2192"/>
      <c r="AE111" s="2192"/>
      <c r="AF111" s="2192"/>
      <c r="AG111" s="2192"/>
      <c r="AH111" s="2193"/>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88" t="s">
        <v>1831</v>
      </c>
      <c r="C112" s="2189"/>
      <c r="D112" s="2189"/>
      <c r="E112" s="2189"/>
      <c r="F112" s="2189"/>
      <c r="G112" s="2189"/>
      <c r="H112" s="2189"/>
      <c r="I112" s="2190">
        <v>0</v>
      </c>
      <c r="J112" s="2190"/>
      <c r="K112" s="2190"/>
      <c r="L112" s="2190"/>
      <c r="M112" s="2190"/>
      <c r="N112" s="2190"/>
      <c r="O112" s="2190">
        <v>0</v>
      </c>
      <c r="P112" s="2190"/>
      <c r="Q112" s="2190"/>
      <c r="R112" s="2190"/>
      <c r="S112" s="2190"/>
      <c r="T112" s="2190"/>
      <c r="U112" s="2190"/>
      <c r="V112" s="2190">
        <v>0</v>
      </c>
      <c r="W112" s="2190"/>
      <c r="X112" s="2190"/>
      <c r="Y112" s="2190"/>
      <c r="Z112" s="2190"/>
      <c r="AA112" s="2190"/>
      <c r="AB112" s="2190">
        <v>0</v>
      </c>
      <c r="AC112" s="2190"/>
      <c r="AD112" s="2190"/>
      <c r="AE112" s="2190"/>
      <c r="AF112" s="2190"/>
      <c r="AG112" s="2190"/>
      <c r="AH112" s="2191"/>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2604</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218"/>
      <c r="G115" s="2219"/>
      <c r="H115" s="2219"/>
      <c r="I115" s="2219"/>
      <c r="J115" s="2219"/>
      <c r="K115" s="2219"/>
      <c r="L115" s="2219"/>
      <c r="M115" s="2219"/>
      <c r="N115" s="2219"/>
      <c r="O115" s="2219"/>
      <c r="P115" s="2219"/>
      <c r="Q115" s="2219"/>
      <c r="R115" s="2220"/>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02" t="s">
        <v>2480</v>
      </c>
      <c r="C117" s="2203"/>
      <c r="D117" s="2203"/>
      <c r="E117" s="2203"/>
      <c r="F117" s="2203"/>
      <c r="G117" s="2203"/>
      <c r="H117" s="2203"/>
      <c r="I117" s="2203"/>
      <c r="J117" s="2203"/>
      <c r="K117" s="2203"/>
      <c r="L117" s="2203"/>
      <c r="M117" s="2203"/>
      <c r="N117" s="2203"/>
      <c r="O117" s="2203"/>
      <c r="P117" s="2203"/>
      <c r="Q117" s="2224" t="s">
        <v>553</v>
      </c>
      <c r="R117" s="2224"/>
      <c r="S117" s="2224"/>
      <c r="T117" s="2225"/>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04"/>
      <c r="C118" s="2205"/>
      <c r="D118" s="2205"/>
      <c r="E118" s="2205"/>
      <c r="F118" s="2205"/>
      <c r="G118" s="2205"/>
      <c r="H118" s="2205"/>
      <c r="I118" s="2205"/>
      <c r="J118" s="2205"/>
      <c r="K118" s="2205"/>
      <c r="L118" s="2205"/>
      <c r="M118" s="2205"/>
      <c r="N118" s="2205"/>
      <c r="O118" s="2205"/>
      <c r="P118" s="2205"/>
      <c r="Q118" s="2226"/>
      <c r="R118" s="2226"/>
      <c r="S118" s="2226"/>
      <c r="T118" s="2227"/>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04"/>
      <c r="C119" s="2205"/>
      <c r="D119" s="2205"/>
      <c r="E119" s="2205"/>
      <c r="F119" s="2205"/>
      <c r="G119" s="2205"/>
      <c r="H119" s="2205"/>
      <c r="I119" s="2205"/>
      <c r="J119" s="2205"/>
      <c r="K119" s="2205"/>
      <c r="L119" s="2205"/>
      <c r="M119" s="2205"/>
      <c r="N119" s="2205"/>
      <c r="O119" s="2205"/>
      <c r="P119" s="2205"/>
      <c r="Q119" s="2226"/>
      <c r="R119" s="2226"/>
      <c r="S119" s="2226"/>
      <c r="T119" s="2227"/>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04"/>
      <c r="C120" s="2205"/>
      <c r="D120" s="2205"/>
      <c r="E120" s="2205"/>
      <c r="F120" s="2205"/>
      <c r="G120" s="2205"/>
      <c r="H120" s="2205"/>
      <c r="I120" s="2205"/>
      <c r="J120" s="2205"/>
      <c r="K120" s="2205"/>
      <c r="L120" s="2205"/>
      <c r="M120" s="2205"/>
      <c r="N120" s="2205"/>
      <c r="O120" s="2205"/>
      <c r="P120" s="2205"/>
      <c r="Q120" s="2226"/>
      <c r="R120" s="2226"/>
      <c r="S120" s="2226"/>
      <c r="T120" s="2227"/>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06" t="s">
        <v>2186</v>
      </c>
      <c r="C121" s="2207"/>
      <c r="D121" s="2207"/>
      <c r="E121" s="2207"/>
      <c r="F121" s="2207"/>
      <c r="G121" s="2207"/>
      <c r="H121" s="2207"/>
      <c r="I121" s="2207"/>
      <c r="J121" s="2207"/>
      <c r="K121" s="2207"/>
      <c r="L121" s="2207"/>
      <c r="M121" s="2207"/>
      <c r="N121" s="2207"/>
      <c r="O121" s="2207"/>
      <c r="P121" s="2207"/>
      <c r="Q121" s="2207"/>
      <c r="R121" s="2207"/>
      <c r="S121" s="2207"/>
      <c r="T121" s="2208"/>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09"/>
      <c r="C122" s="2210"/>
      <c r="D122" s="2210"/>
      <c r="E122" s="2210"/>
      <c r="F122" s="2210"/>
      <c r="G122" s="2210"/>
      <c r="H122" s="2210"/>
      <c r="I122" s="2210"/>
      <c r="J122" s="2210"/>
      <c r="K122" s="2210"/>
      <c r="L122" s="2210"/>
      <c r="M122" s="2210"/>
      <c r="N122" s="2210"/>
      <c r="O122" s="2210"/>
      <c r="P122" s="2210"/>
      <c r="Q122" s="2210"/>
      <c r="R122" s="2210"/>
      <c r="S122" s="2210"/>
      <c r="T122" s="2211"/>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02" t="s">
        <v>2173</v>
      </c>
      <c r="Y125" s="2203"/>
      <c r="Z125" s="2203"/>
      <c r="AA125" s="2203"/>
      <c r="AB125" s="2203"/>
      <c r="AC125" s="2203"/>
      <c r="AD125" s="2203"/>
      <c r="AE125" s="2203"/>
      <c r="AF125" s="2203"/>
      <c r="AG125" s="2203"/>
      <c r="AH125" s="2203"/>
      <c r="AI125" s="2203"/>
      <c r="AJ125" s="2203"/>
      <c r="AK125" s="2203"/>
      <c r="AL125" s="2203"/>
      <c r="AM125" s="2203"/>
      <c r="AN125" s="2203"/>
      <c r="AO125" s="2203"/>
      <c r="AP125" s="2203"/>
      <c r="AQ125" s="2203"/>
      <c r="AR125" s="2203"/>
      <c r="AS125" s="2203"/>
      <c r="AT125" s="2203"/>
      <c r="AU125" s="2203"/>
      <c r="AV125" s="2203"/>
      <c r="AW125" s="2203"/>
      <c r="AX125" s="2203"/>
      <c r="AY125" s="2203"/>
      <c r="AZ125" s="2203"/>
      <c r="BA125" s="2203"/>
      <c r="BB125" s="2203"/>
      <c r="BC125" s="2203"/>
      <c r="BD125" s="2453"/>
      <c r="BE125" s="1205"/>
    </row>
    <row r="126" spans="1:57" ht="15.75" customHeight="1">
      <c r="A126" s="1209"/>
      <c r="B126" s="2455" t="s">
        <v>1688</v>
      </c>
      <c r="C126" s="2456"/>
      <c r="D126" s="2456"/>
      <c r="E126" s="2456"/>
      <c r="F126" s="2456"/>
      <c r="G126" s="2456"/>
      <c r="H126" s="2456"/>
      <c r="I126" s="2456"/>
      <c r="J126" s="2456"/>
      <c r="K126" s="2456"/>
      <c r="L126" s="2456"/>
      <c r="M126" s="2456"/>
      <c r="N126" s="2456"/>
      <c r="O126" s="2456"/>
      <c r="P126" s="2456"/>
      <c r="Q126" s="2456"/>
      <c r="R126" s="2456"/>
      <c r="S126" s="2456"/>
      <c r="T126" s="2456"/>
      <c r="U126" s="2457"/>
      <c r="V126" s="1209"/>
      <c r="W126" s="1209"/>
      <c r="X126" s="2204"/>
      <c r="Y126" s="2205"/>
      <c r="Z126" s="2205"/>
      <c r="AA126" s="2205"/>
      <c r="AB126" s="2205"/>
      <c r="AC126" s="2205"/>
      <c r="AD126" s="2205"/>
      <c r="AE126" s="2205"/>
      <c r="AF126" s="2205"/>
      <c r="AG126" s="2205"/>
      <c r="AH126" s="2205"/>
      <c r="AI126" s="2205"/>
      <c r="AJ126" s="2205"/>
      <c r="AK126" s="2205"/>
      <c r="AL126" s="2205"/>
      <c r="AM126" s="2205"/>
      <c r="AN126" s="2205"/>
      <c r="AO126" s="2205"/>
      <c r="AP126" s="2205"/>
      <c r="AQ126" s="2205"/>
      <c r="AR126" s="2205"/>
      <c r="AS126" s="2205"/>
      <c r="AT126" s="2205"/>
      <c r="AU126" s="2205"/>
      <c r="AV126" s="2205"/>
      <c r="AW126" s="2205"/>
      <c r="AX126" s="2205"/>
      <c r="AY126" s="2205"/>
      <c r="AZ126" s="2205"/>
      <c r="BA126" s="2205"/>
      <c r="BB126" s="2205"/>
      <c r="BC126" s="2205"/>
      <c r="BD126" s="2454"/>
      <c r="BE126" s="1205"/>
    </row>
    <row r="127" spans="1:57" ht="15.75" customHeight="1">
      <c r="A127" s="1209"/>
      <c r="B127" s="2417"/>
      <c r="C127" s="2418"/>
      <c r="D127" s="2418"/>
      <c r="E127" s="2418"/>
      <c r="F127" s="2418"/>
      <c r="G127" s="2418"/>
      <c r="H127" s="2418"/>
      <c r="I127" s="2195" t="s">
        <v>2174</v>
      </c>
      <c r="J127" s="2195"/>
      <c r="K127" s="2195"/>
      <c r="L127" s="2195"/>
      <c r="M127" s="2195"/>
      <c r="N127" s="2195"/>
      <c r="O127" s="2458" t="s">
        <v>2175</v>
      </c>
      <c r="P127" s="2458"/>
      <c r="Q127" s="2458"/>
      <c r="R127" s="2458"/>
      <c r="S127" s="2458"/>
      <c r="T127" s="2458"/>
      <c r="U127" s="2459"/>
      <c r="V127" s="1209"/>
      <c r="W127" s="1209"/>
      <c r="X127" s="2460" t="s">
        <v>2784</v>
      </c>
      <c r="Y127" s="2421"/>
      <c r="Z127" s="2421"/>
      <c r="AA127" s="2421"/>
      <c r="AB127" s="2421"/>
      <c r="AC127" s="2421"/>
      <c r="AD127" s="2421"/>
      <c r="AE127" s="2421"/>
      <c r="AF127" s="2421"/>
      <c r="AG127" s="2421"/>
      <c r="AH127" s="2421"/>
      <c r="AI127" s="2421"/>
      <c r="AJ127" s="2421"/>
      <c r="AK127" s="2421"/>
      <c r="AL127" s="2421"/>
      <c r="AM127" s="2421"/>
      <c r="AN127" s="2421"/>
      <c r="AO127" s="2421"/>
      <c r="AP127" s="2421"/>
      <c r="AQ127" s="2421"/>
      <c r="AR127" s="2421"/>
      <c r="AS127" s="2421"/>
      <c r="AT127" s="2421"/>
      <c r="AU127" s="2421"/>
      <c r="AV127" s="2421"/>
      <c r="AW127" s="2421"/>
      <c r="AX127" s="2421"/>
      <c r="AY127" s="2421"/>
      <c r="AZ127" s="2421"/>
      <c r="BA127" s="2421"/>
      <c r="BB127" s="2421"/>
      <c r="BC127" s="2421"/>
      <c r="BD127" s="2422"/>
      <c r="BE127" s="1205"/>
    </row>
    <row r="128" spans="1:57" ht="15.75" customHeight="1">
      <c r="A128" s="1209"/>
      <c r="B128" s="2434" t="s">
        <v>2176</v>
      </c>
      <c r="C128" s="2435"/>
      <c r="D128" s="2435"/>
      <c r="E128" s="2435"/>
      <c r="F128" s="2435"/>
      <c r="G128" s="2435"/>
      <c r="H128" s="2435"/>
      <c r="I128" s="2192">
        <v>0</v>
      </c>
      <c r="J128" s="2192"/>
      <c r="K128" s="2192"/>
      <c r="L128" s="2192"/>
      <c r="M128" s="2192"/>
      <c r="N128" s="2192"/>
      <c r="O128" s="2192">
        <v>0</v>
      </c>
      <c r="P128" s="2192"/>
      <c r="Q128" s="2192"/>
      <c r="R128" s="2192"/>
      <c r="S128" s="2192"/>
      <c r="T128" s="2192"/>
      <c r="U128" s="2193"/>
      <c r="V128" s="1209"/>
      <c r="W128" s="1209"/>
      <c r="X128" s="2420"/>
      <c r="Y128" s="2421"/>
      <c r="Z128" s="2421"/>
      <c r="AA128" s="2421"/>
      <c r="AB128" s="2421"/>
      <c r="AC128" s="2421"/>
      <c r="AD128" s="2421"/>
      <c r="AE128" s="2421"/>
      <c r="AF128" s="2421"/>
      <c r="AG128" s="2421"/>
      <c r="AH128" s="2421"/>
      <c r="AI128" s="2421"/>
      <c r="AJ128" s="2421"/>
      <c r="AK128" s="2421"/>
      <c r="AL128" s="2421"/>
      <c r="AM128" s="2421"/>
      <c r="AN128" s="2421"/>
      <c r="AO128" s="2421"/>
      <c r="AP128" s="2421"/>
      <c r="AQ128" s="2421"/>
      <c r="AR128" s="2421"/>
      <c r="AS128" s="2421"/>
      <c r="AT128" s="2421"/>
      <c r="AU128" s="2421"/>
      <c r="AV128" s="2421"/>
      <c r="AW128" s="2421"/>
      <c r="AX128" s="2421"/>
      <c r="AY128" s="2421"/>
      <c r="AZ128" s="2421"/>
      <c r="BA128" s="2421"/>
      <c r="BB128" s="2421"/>
      <c r="BC128" s="2421"/>
      <c r="BD128" s="2422"/>
      <c r="BE128" s="1205"/>
    </row>
    <row r="129" spans="1:57" ht="15.75" customHeight="1" thickBot="1">
      <c r="A129" s="1209"/>
      <c r="B129" s="2436" t="s">
        <v>2177</v>
      </c>
      <c r="C129" s="2437"/>
      <c r="D129" s="2437"/>
      <c r="E129" s="2437"/>
      <c r="F129" s="2437"/>
      <c r="G129" s="2437"/>
      <c r="H129" s="2437"/>
      <c r="I129" s="2190">
        <v>0</v>
      </c>
      <c r="J129" s="2190"/>
      <c r="K129" s="2190"/>
      <c r="L129" s="2190"/>
      <c r="M129" s="2190"/>
      <c r="N129" s="2190"/>
      <c r="O129" s="2461"/>
      <c r="P129" s="2461"/>
      <c r="Q129" s="2461"/>
      <c r="R129" s="2461"/>
      <c r="S129" s="2461"/>
      <c r="T129" s="2461"/>
      <c r="U129" s="2462"/>
      <c r="V129" s="1209"/>
      <c r="W129" s="1209"/>
      <c r="X129" s="2420"/>
      <c r="Y129" s="2421"/>
      <c r="Z129" s="2421"/>
      <c r="AA129" s="2421"/>
      <c r="AB129" s="2421"/>
      <c r="AC129" s="2421"/>
      <c r="AD129" s="2421"/>
      <c r="AE129" s="2421"/>
      <c r="AF129" s="2421"/>
      <c r="AG129" s="2421"/>
      <c r="AH129" s="2421"/>
      <c r="AI129" s="2421"/>
      <c r="AJ129" s="2421"/>
      <c r="AK129" s="2421"/>
      <c r="AL129" s="2421"/>
      <c r="AM129" s="2421"/>
      <c r="AN129" s="2421"/>
      <c r="AO129" s="2421"/>
      <c r="AP129" s="2421"/>
      <c r="AQ129" s="2421"/>
      <c r="AR129" s="2421"/>
      <c r="AS129" s="2421"/>
      <c r="AT129" s="2421"/>
      <c r="AU129" s="2421"/>
      <c r="AV129" s="2421"/>
      <c r="AW129" s="2421"/>
      <c r="AX129" s="2421"/>
      <c r="AY129" s="2421"/>
      <c r="AZ129" s="2421"/>
      <c r="BA129" s="2421"/>
      <c r="BB129" s="2421"/>
      <c r="BC129" s="2421"/>
      <c r="BD129" s="2422"/>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20"/>
      <c r="Y130" s="2421"/>
      <c r="Z130" s="2421"/>
      <c r="AA130" s="2421"/>
      <c r="AB130" s="2421"/>
      <c r="AC130" s="2421"/>
      <c r="AD130" s="2421"/>
      <c r="AE130" s="2421"/>
      <c r="AF130" s="2421"/>
      <c r="AG130" s="2421"/>
      <c r="AH130" s="2421"/>
      <c r="AI130" s="2421"/>
      <c r="AJ130" s="2421"/>
      <c r="AK130" s="2421"/>
      <c r="AL130" s="2421"/>
      <c r="AM130" s="2421"/>
      <c r="AN130" s="2421"/>
      <c r="AO130" s="2421"/>
      <c r="AP130" s="2421"/>
      <c r="AQ130" s="2421"/>
      <c r="AR130" s="2421"/>
      <c r="AS130" s="2421"/>
      <c r="AT130" s="2421"/>
      <c r="AU130" s="2421"/>
      <c r="AV130" s="2421"/>
      <c r="AW130" s="2421"/>
      <c r="AX130" s="2421"/>
      <c r="AY130" s="2421"/>
      <c r="AZ130" s="2421"/>
      <c r="BA130" s="2421"/>
      <c r="BB130" s="2421"/>
      <c r="BC130" s="2421"/>
      <c r="BD130" s="2422"/>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20"/>
      <c r="Y131" s="2421"/>
      <c r="Z131" s="2421"/>
      <c r="AA131" s="2421"/>
      <c r="AB131" s="2421"/>
      <c r="AC131" s="2421"/>
      <c r="AD131" s="2421"/>
      <c r="AE131" s="2421"/>
      <c r="AF131" s="2421"/>
      <c r="AG131" s="2421"/>
      <c r="AH131" s="2421"/>
      <c r="AI131" s="2421"/>
      <c r="AJ131" s="2421"/>
      <c r="AK131" s="2421"/>
      <c r="AL131" s="2421"/>
      <c r="AM131" s="2421"/>
      <c r="AN131" s="2421"/>
      <c r="AO131" s="2421"/>
      <c r="AP131" s="2421"/>
      <c r="AQ131" s="2421"/>
      <c r="AR131" s="2421"/>
      <c r="AS131" s="2421"/>
      <c r="AT131" s="2421"/>
      <c r="AU131" s="2421"/>
      <c r="AV131" s="2421"/>
      <c r="AW131" s="2421"/>
      <c r="AX131" s="2421"/>
      <c r="AY131" s="2421"/>
      <c r="AZ131" s="2421"/>
      <c r="BA131" s="2421"/>
      <c r="BB131" s="2421"/>
      <c r="BC131" s="2421"/>
      <c r="BD131" s="2422"/>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20"/>
      <c r="Y132" s="2421"/>
      <c r="Z132" s="2421"/>
      <c r="AA132" s="2421"/>
      <c r="AB132" s="2421"/>
      <c r="AC132" s="2421"/>
      <c r="AD132" s="2421"/>
      <c r="AE132" s="2421"/>
      <c r="AF132" s="2421"/>
      <c r="AG132" s="2421"/>
      <c r="AH132" s="2421"/>
      <c r="AI132" s="2421"/>
      <c r="AJ132" s="2421"/>
      <c r="AK132" s="2421"/>
      <c r="AL132" s="2421"/>
      <c r="AM132" s="2421"/>
      <c r="AN132" s="2421"/>
      <c r="AO132" s="2421"/>
      <c r="AP132" s="2421"/>
      <c r="AQ132" s="2421"/>
      <c r="AR132" s="2421"/>
      <c r="AS132" s="2421"/>
      <c r="AT132" s="2421"/>
      <c r="AU132" s="2421"/>
      <c r="AV132" s="2421"/>
      <c r="AW132" s="2421"/>
      <c r="AX132" s="2421"/>
      <c r="AY132" s="2421"/>
      <c r="AZ132" s="2421"/>
      <c r="BA132" s="2421"/>
      <c r="BB132" s="2421"/>
      <c r="BC132" s="2421"/>
      <c r="BD132" s="2422"/>
      <c r="BE132" s="1205"/>
    </row>
    <row r="133" spans="1:57" ht="15.75" customHeight="1">
      <c r="A133" s="1209"/>
      <c r="B133" s="2450" t="s">
        <v>1834</v>
      </c>
      <c r="C133" s="2451"/>
      <c r="D133" s="2451"/>
      <c r="E133" s="2451"/>
      <c r="F133" s="2451"/>
      <c r="G133" s="2451"/>
      <c r="H133" s="2451"/>
      <c r="I133" s="2451"/>
      <c r="J133" s="2451"/>
      <c r="K133" s="2451"/>
      <c r="L133" s="2451"/>
      <c r="M133" s="2451"/>
      <c r="N133" s="2451"/>
      <c r="O133" s="2451"/>
      <c r="P133" s="2451"/>
      <c r="Q133" s="2451"/>
      <c r="R133" s="2451"/>
      <c r="S133" s="2451"/>
      <c r="T133" s="2451"/>
      <c r="U133" s="2452"/>
      <c r="V133" s="1209"/>
      <c r="W133" s="1209"/>
      <c r="X133" s="2420"/>
      <c r="Y133" s="2421"/>
      <c r="Z133" s="2421"/>
      <c r="AA133" s="2421"/>
      <c r="AB133" s="2421"/>
      <c r="AC133" s="2421"/>
      <c r="AD133" s="2421"/>
      <c r="AE133" s="2421"/>
      <c r="AF133" s="2421"/>
      <c r="AG133" s="2421"/>
      <c r="AH133" s="2421"/>
      <c r="AI133" s="2421"/>
      <c r="AJ133" s="2421"/>
      <c r="AK133" s="2421"/>
      <c r="AL133" s="2421"/>
      <c r="AM133" s="2421"/>
      <c r="AN133" s="2421"/>
      <c r="AO133" s="2421"/>
      <c r="AP133" s="2421"/>
      <c r="AQ133" s="2421"/>
      <c r="AR133" s="2421"/>
      <c r="AS133" s="2421"/>
      <c r="AT133" s="2421"/>
      <c r="AU133" s="2421"/>
      <c r="AV133" s="2421"/>
      <c r="AW133" s="2421"/>
      <c r="AX133" s="2421"/>
      <c r="AY133" s="2421"/>
      <c r="AZ133" s="2421"/>
      <c r="BA133" s="2421"/>
      <c r="BB133" s="2421"/>
      <c r="BC133" s="2421"/>
      <c r="BD133" s="2422"/>
      <c r="BE133" s="1205"/>
    </row>
    <row r="134" spans="1:57" ht="15.75" customHeight="1">
      <c r="A134" s="1209"/>
      <c r="B134" s="2417"/>
      <c r="C134" s="2418"/>
      <c r="D134" s="2418"/>
      <c r="E134" s="2418"/>
      <c r="F134" s="2418"/>
      <c r="G134" s="2418"/>
      <c r="H134" s="2418"/>
      <c r="I134" s="2432" t="s">
        <v>1829</v>
      </c>
      <c r="J134" s="2432"/>
      <c r="K134" s="2432"/>
      <c r="L134" s="2432"/>
      <c r="M134" s="2432"/>
      <c r="N134" s="2432"/>
      <c r="O134" s="2432"/>
      <c r="P134" s="2432" t="s">
        <v>2185</v>
      </c>
      <c r="Q134" s="2432"/>
      <c r="R134" s="2432"/>
      <c r="S134" s="2432"/>
      <c r="T134" s="2432"/>
      <c r="U134" s="2433"/>
      <c r="V134" s="1209"/>
      <c r="W134" s="1209"/>
      <c r="X134" s="2420"/>
      <c r="Y134" s="2421"/>
      <c r="Z134" s="2421"/>
      <c r="AA134" s="2421"/>
      <c r="AB134" s="2421"/>
      <c r="AC134" s="2421"/>
      <c r="AD134" s="2421"/>
      <c r="AE134" s="2421"/>
      <c r="AF134" s="2421"/>
      <c r="AG134" s="2421"/>
      <c r="AH134" s="2421"/>
      <c r="AI134" s="2421"/>
      <c r="AJ134" s="2421"/>
      <c r="AK134" s="2421"/>
      <c r="AL134" s="2421"/>
      <c r="AM134" s="2421"/>
      <c r="AN134" s="2421"/>
      <c r="AO134" s="2421"/>
      <c r="AP134" s="2421"/>
      <c r="AQ134" s="2421"/>
      <c r="AR134" s="2421"/>
      <c r="AS134" s="2421"/>
      <c r="AT134" s="2421"/>
      <c r="AU134" s="2421"/>
      <c r="AV134" s="2421"/>
      <c r="AW134" s="2421"/>
      <c r="AX134" s="2421"/>
      <c r="AY134" s="2421"/>
      <c r="AZ134" s="2421"/>
      <c r="BA134" s="2421"/>
      <c r="BB134" s="2421"/>
      <c r="BC134" s="2421"/>
      <c r="BD134" s="2422"/>
      <c r="BE134" s="1205"/>
    </row>
    <row r="135" spans="1:57" ht="15.75" customHeight="1">
      <c r="A135" s="1209"/>
      <c r="B135" s="2417"/>
      <c r="C135" s="2418"/>
      <c r="D135" s="2418"/>
      <c r="E135" s="2418"/>
      <c r="F135" s="2418"/>
      <c r="G135" s="2418"/>
      <c r="H135" s="2418"/>
      <c r="I135" s="2432"/>
      <c r="J135" s="2432"/>
      <c r="K135" s="2432"/>
      <c r="L135" s="2432"/>
      <c r="M135" s="2432"/>
      <c r="N135" s="2432"/>
      <c r="O135" s="2432"/>
      <c r="P135" s="2432"/>
      <c r="Q135" s="2432"/>
      <c r="R135" s="2432"/>
      <c r="S135" s="2432"/>
      <c r="T135" s="2432"/>
      <c r="U135" s="2433"/>
      <c r="V135" s="1209"/>
      <c r="W135" s="1209"/>
      <c r="X135" s="2420"/>
      <c r="Y135" s="2421"/>
      <c r="Z135" s="2421"/>
      <c r="AA135" s="2421"/>
      <c r="AB135" s="2421"/>
      <c r="AC135" s="2421"/>
      <c r="AD135" s="2421"/>
      <c r="AE135" s="2421"/>
      <c r="AF135" s="2421"/>
      <c r="AG135" s="2421"/>
      <c r="AH135" s="2421"/>
      <c r="AI135" s="2421"/>
      <c r="AJ135" s="2421"/>
      <c r="AK135" s="2421"/>
      <c r="AL135" s="2421"/>
      <c r="AM135" s="2421"/>
      <c r="AN135" s="2421"/>
      <c r="AO135" s="2421"/>
      <c r="AP135" s="2421"/>
      <c r="AQ135" s="2421"/>
      <c r="AR135" s="2421"/>
      <c r="AS135" s="2421"/>
      <c r="AT135" s="2421"/>
      <c r="AU135" s="2421"/>
      <c r="AV135" s="2421"/>
      <c r="AW135" s="2421"/>
      <c r="AX135" s="2421"/>
      <c r="AY135" s="2421"/>
      <c r="AZ135" s="2421"/>
      <c r="BA135" s="2421"/>
      <c r="BB135" s="2421"/>
      <c r="BC135" s="2421"/>
      <c r="BD135" s="2422"/>
      <c r="BE135" s="1205"/>
    </row>
    <row r="136" spans="1:57" ht="15.75" customHeight="1">
      <c r="A136" s="1209"/>
      <c r="B136" s="2434" t="s">
        <v>2176</v>
      </c>
      <c r="C136" s="2435"/>
      <c r="D136" s="2435"/>
      <c r="E136" s="2435"/>
      <c r="F136" s="2435"/>
      <c r="G136" s="2435"/>
      <c r="H136" s="2435"/>
      <c r="I136" s="2192">
        <v>6</v>
      </c>
      <c r="J136" s="2192"/>
      <c r="K136" s="2192"/>
      <c r="L136" s="2192"/>
      <c r="M136" s="2192"/>
      <c r="N136" s="2192"/>
      <c r="O136" s="2192"/>
      <c r="P136" s="2192">
        <v>3</v>
      </c>
      <c r="Q136" s="2192"/>
      <c r="R136" s="2192"/>
      <c r="S136" s="2192"/>
      <c r="T136" s="2192"/>
      <c r="U136" s="2193"/>
      <c r="V136" s="1209"/>
      <c r="W136" s="1209"/>
      <c r="X136" s="2420"/>
      <c r="Y136" s="2421"/>
      <c r="Z136" s="2421"/>
      <c r="AA136" s="2421"/>
      <c r="AB136" s="2421"/>
      <c r="AC136" s="2421"/>
      <c r="AD136" s="2421"/>
      <c r="AE136" s="2421"/>
      <c r="AF136" s="2421"/>
      <c r="AG136" s="2421"/>
      <c r="AH136" s="2421"/>
      <c r="AI136" s="2421"/>
      <c r="AJ136" s="2421"/>
      <c r="AK136" s="2421"/>
      <c r="AL136" s="2421"/>
      <c r="AM136" s="2421"/>
      <c r="AN136" s="2421"/>
      <c r="AO136" s="2421"/>
      <c r="AP136" s="2421"/>
      <c r="AQ136" s="2421"/>
      <c r="AR136" s="2421"/>
      <c r="AS136" s="2421"/>
      <c r="AT136" s="2421"/>
      <c r="AU136" s="2421"/>
      <c r="AV136" s="2421"/>
      <c r="AW136" s="2421"/>
      <c r="AX136" s="2421"/>
      <c r="AY136" s="2421"/>
      <c r="AZ136" s="2421"/>
      <c r="BA136" s="2421"/>
      <c r="BB136" s="2421"/>
      <c r="BC136" s="2421"/>
      <c r="BD136" s="2422"/>
      <c r="BE136" s="1205"/>
    </row>
    <row r="137" spans="1:57" ht="15.75" customHeight="1" thickBot="1">
      <c r="A137" s="1209"/>
      <c r="B137" s="2436" t="s">
        <v>2177</v>
      </c>
      <c r="C137" s="2437"/>
      <c r="D137" s="2437"/>
      <c r="E137" s="2437"/>
      <c r="F137" s="2437"/>
      <c r="G137" s="2437"/>
      <c r="H137" s="2437"/>
      <c r="I137" s="2190">
        <v>0</v>
      </c>
      <c r="J137" s="2190"/>
      <c r="K137" s="2190"/>
      <c r="L137" s="2190"/>
      <c r="M137" s="2190"/>
      <c r="N137" s="2190"/>
      <c r="O137" s="2190"/>
      <c r="P137" s="2190">
        <v>0</v>
      </c>
      <c r="Q137" s="2190"/>
      <c r="R137" s="2190"/>
      <c r="S137" s="2190"/>
      <c r="T137" s="2190"/>
      <c r="U137" s="2191"/>
      <c r="V137" s="1209"/>
      <c r="W137" s="1209"/>
      <c r="X137" s="2423"/>
      <c r="Y137" s="2424"/>
      <c r="Z137" s="2424"/>
      <c r="AA137" s="2424"/>
      <c r="AB137" s="2424"/>
      <c r="AC137" s="2424"/>
      <c r="AD137" s="2424"/>
      <c r="AE137" s="2424"/>
      <c r="AF137" s="2424"/>
      <c r="AG137" s="2424"/>
      <c r="AH137" s="2424"/>
      <c r="AI137" s="2424"/>
      <c r="AJ137" s="2424"/>
      <c r="AK137" s="2424"/>
      <c r="AL137" s="2424"/>
      <c r="AM137" s="2424"/>
      <c r="AN137" s="2424"/>
      <c r="AO137" s="2424"/>
      <c r="AP137" s="2424"/>
      <c r="AQ137" s="2424"/>
      <c r="AR137" s="2424"/>
      <c r="AS137" s="2424"/>
      <c r="AT137" s="2424"/>
      <c r="AU137" s="2424"/>
      <c r="AV137" s="2424"/>
      <c r="AW137" s="2424"/>
      <c r="AX137" s="2424"/>
      <c r="AY137" s="2424"/>
      <c r="AZ137" s="2424"/>
      <c r="BA137" s="2424"/>
      <c r="BB137" s="2424"/>
      <c r="BC137" s="2424"/>
      <c r="BD137" s="2425"/>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14" t="s">
        <v>1835</v>
      </c>
      <c r="C139" s="2415"/>
      <c r="D139" s="2415"/>
      <c r="E139" s="2415"/>
      <c r="F139" s="2415"/>
      <c r="G139" s="2415"/>
      <c r="H139" s="2415"/>
      <c r="I139" s="2415"/>
      <c r="J139" s="2415"/>
      <c r="K139" s="2415"/>
      <c r="L139" s="2415"/>
      <c r="M139" s="2415"/>
      <c r="N139" s="2415"/>
      <c r="O139" s="2415"/>
      <c r="P139" s="2415"/>
      <c r="Q139" s="2415"/>
      <c r="R139" s="2415"/>
      <c r="S139" s="2415"/>
      <c r="T139" s="2415"/>
      <c r="U139" s="2415"/>
      <c r="V139" s="2415"/>
      <c r="W139" s="2415"/>
      <c r="X139" s="2415"/>
      <c r="Y139" s="2415"/>
      <c r="Z139" s="2415"/>
      <c r="AA139" s="2415"/>
      <c r="AB139" s="2415"/>
      <c r="AC139" s="2415"/>
      <c r="AD139" s="2415"/>
      <c r="AE139" s="2415"/>
      <c r="AF139" s="2415"/>
      <c r="AG139" s="2415"/>
      <c r="AH139" s="2251" t="s">
        <v>553</v>
      </c>
      <c r="AI139" s="2251"/>
      <c r="AJ139" s="2251"/>
      <c r="AK139" s="2251"/>
      <c r="AL139" s="2251"/>
      <c r="AM139" s="2251"/>
      <c r="AN139" s="2251"/>
      <c r="AO139" s="2251"/>
      <c r="AP139" s="2251"/>
      <c r="AQ139" s="2251"/>
      <c r="AR139" s="2251"/>
      <c r="AS139" s="2251"/>
      <c r="AT139" s="2251"/>
      <c r="AU139" s="2251"/>
      <c r="AV139" s="2251"/>
      <c r="AW139" s="2251"/>
      <c r="AX139" s="2252"/>
      <c r="AY139" s="1209"/>
      <c r="AZ139" s="1209"/>
      <c r="BA139" s="1209"/>
      <c r="BB139" s="1209"/>
      <c r="BC139" s="1209"/>
      <c r="BD139" s="1209"/>
      <c r="BE139" s="1205"/>
    </row>
    <row r="140" spans="1:57" ht="15.75" customHeight="1">
      <c r="A140" s="1209"/>
      <c r="B140" s="2439" t="s">
        <v>1836</v>
      </c>
      <c r="C140" s="2440"/>
      <c r="D140" s="2440"/>
      <c r="E140" s="2440"/>
      <c r="F140" s="2440"/>
      <c r="G140" s="2440"/>
      <c r="H140" s="2440"/>
      <c r="I140" s="2440"/>
      <c r="J140" s="2440"/>
      <c r="K140" s="2440"/>
      <c r="L140" s="2440"/>
      <c r="M140" s="2440"/>
      <c r="N140" s="2440"/>
      <c r="O140" s="2440"/>
      <c r="P140" s="2440"/>
      <c r="Q140" s="2440"/>
      <c r="R140" s="2441" t="s">
        <v>2187</v>
      </c>
      <c r="S140" s="2441"/>
      <c r="T140" s="2441"/>
      <c r="U140" s="2441"/>
      <c r="V140" s="2441"/>
      <c r="W140" s="2441"/>
      <c r="X140" s="2441"/>
      <c r="Y140" s="2441"/>
      <c r="Z140" s="2441"/>
      <c r="AA140" s="2441"/>
      <c r="AB140" s="2441"/>
      <c r="AC140" s="2441"/>
      <c r="AD140" s="2441"/>
      <c r="AE140" s="2441"/>
      <c r="AF140" s="2441"/>
      <c r="AG140" s="2441"/>
      <c r="AH140" s="2441"/>
      <c r="AI140" s="2441"/>
      <c r="AJ140" s="2441"/>
      <c r="AK140" s="2441"/>
      <c r="AL140" s="2441"/>
      <c r="AM140" s="2441"/>
      <c r="AN140" s="2441"/>
      <c r="AO140" s="2441"/>
      <c r="AP140" s="2441"/>
      <c r="AQ140" s="2441"/>
      <c r="AR140" s="2441"/>
      <c r="AS140" s="2441"/>
      <c r="AT140" s="2441"/>
      <c r="AU140" s="2441"/>
      <c r="AV140" s="2441"/>
      <c r="AW140" s="2441"/>
      <c r="AX140" s="2442"/>
      <c r="AY140" s="1209"/>
      <c r="AZ140" s="1209"/>
      <c r="BA140" s="1209"/>
      <c r="BB140" s="1209"/>
      <c r="BC140" s="1209" t="s">
        <v>251</v>
      </c>
      <c r="BD140" s="1209"/>
      <c r="BE140" s="1205"/>
    </row>
    <row r="141" spans="1:57" ht="15.75" customHeight="1">
      <c r="A141" s="1209"/>
      <c r="B141" s="2443" t="s">
        <v>2785</v>
      </c>
      <c r="C141" s="2444"/>
      <c r="D141" s="2444"/>
      <c r="E141" s="2444"/>
      <c r="F141" s="2444"/>
      <c r="G141" s="2444"/>
      <c r="H141" s="2444"/>
      <c r="I141" s="2444"/>
      <c r="J141" s="2444"/>
      <c r="K141" s="2444"/>
      <c r="L141" s="2444"/>
      <c r="M141" s="2444"/>
      <c r="N141" s="2444"/>
      <c r="O141" s="2444"/>
      <c r="P141" s="2444"/>
      <c r="Q141" s="2444"/>
      <c r="R141" s="2444"/>
      <c r="S141" s="2444"/>
      <c r="T141" s="2444"/>
      <c r="U141" s="2444"/>
      <c r="V141" s="2444"/>
      <c r="W141" s="2444"/>
      <c r="X141" s="2444"/>
      <c r="Y141" s="2444"/>
      <c r="Z141" s="2444"/>
      <c r="AA141" s="2444"/>
      <c r="AB141" s="2444"/>
      <c r="AC141" s="2444"/>
      <c r="AD141" s="2444"/>
      <c r="AE141" s="2444"/>
      <c r="AF141" s="2444"/>
      <c r="AG141" s="2444"/>
      <c r="AH141" s="2444"/>
      <c r="AI141" s="2444"/>
      <c r="AJ141" s="2444"/>
      <c r="AK141" s="2444"/>
      <c r="AL141" s="2444"/>
      <c r="AM141" s="2444"/>
      <c r="AN141" s="2444"/>
      <c r="AO141" s="2444"/>
      <c r="AP141" s="2444"/>
      <c r="AQ141" s="2444"/>
      <c r="AR141" s="2444"/>
      <c r="AS141" s="2444"/>
      <c r="AT141" s="2444"/>
      <c r="AU141" s="2444"/>
      <c r="AV141" s="2444"/>
      <c r="AW141" s="2444"/>
      <c r="AX141" s="2445"/>
      <c r="AY141" s="1209"/>
      <c r="AZ141" s="1209"/>
      <c r="BA141" s="1209"/>
      <c r="BB141" s="1209"/>
      <c r="BC141" s="1209"/>
      <c r="BD141" s="1209"/>
      <c r="BE141" s="1205"/>
    </row>
    <row r="142" spans="1:57" ht="15.75" customHeight="1">
      <c r="A142" s="1209"/>
      <c r="B142" s="2446"/>
      <c r="C142" s="2444"/>
      <c r="D142" s="2444"/>
      <c r="E142" s="2444"/>
      <c r="F142" s="2444"/>
      <c r="G142" s="2444"/>
      <c r="H142" s="2444"/>
      <c r="I142" s="2444"/>
      <c r="J142" s="2444"/>
      <c r="K142" s="2444"/>
      <c r="L142" s="2444"/>
      <c r="M142" s="2444"/>
      <c r="N142" s="2444"/>
      <c r="O142" s="2444"/>
      <c r="P142" s="2444"/>
      <c r="Q142" s="2444"/>
      <c r="R142" s="2444"/>
      <c r="S142" s="2444"/>
      <c r="T142" s="2444"/>
      <c r="U142" s="2444"/>
      <c r="V142" s="2444"/>
      <c r="W142" s="2444"/>
      <c r="X142" s="2444"/>
      <c r="Y142" s="2444"/>
      <c r="Z142" s="2444"/>
      <c r="AA142" s="2444"/>
      <c r="AB142" s="2444"/>
      <c r="AC142" s="2444"/>
      <c r="AD142" s="2444"/>
      <c r="AE142" s="2444"/>
      <c r="AF142" s="2444"/>
      <c r="AG142" s="2444"/>
      <c r="AH142" s="2444"/>
      <c r="AI142" s="2444"/>
      <c r="AJ142" s="2444"/>
      <c r="AK142" s="2444"/>
      <c r="AL142" s="2444"/>
      <c r="AM142" s="2444"/>
      <c r="AN142" s="2444"/>
      <c r="AO142" s="2444"/>
      <c r="AP142" s="2444"/>
      <c r="AQ142" s="2444"/>
      <c r="AR142" s="2444"/>
      <c r="AS142" s="2444"/>
      <c r="AT142" s="2444"/>
      <c r="AU142" s="2444"/>
      <c r="AV142" s="2444"/>
      <c r="AW142" s="2444"/>
      <c r="AX142" s="2445"/>
      <c r="AY142" s="1209"/>
      <c r="AZ142" s="1209"/>
      <c r="BA142" s="1209"/>
      <c r="BB142" s="1209"/>
      <c r="BC142" s="1209"/>
      <c r="BD142" s="1209"/>
      <c r="BE142" s="1205"/>
    </row>
    <row r="143" spans="1:57" ht="15.75" customHeight="1">
      <c r="A143" s="1209"/>
      <c r="B143" s="2446"/>
      <c r="C143" s="2444"/>
      <c r="D143" s="2444"/>
      <c r="E143" s="2444"/>
      <c r="F143" s="2444"/>
      <c r="G143" s="2444"/>
      <c r="H143" s="2444"/>
      <c r="I143" s="2444"/>
      <c r="J143" s="2444"/>
      <c r="K143" s="2444"/>
      <c r="L143" s="2444"/>
      <c r="M143" s="2444"/>
      <c r="N143" s="2444"/>
      <c r="O143" s="2444"/>
      <c r="P143" s="2444"/>
      <c r="Q143" s="2444"/>
      <c r="R143" s="2444"/>
      <c r="S143" s="2444"/>
      <c r="T143" s="2444"/>
      <c r="U143" s="2444"/>
      <c r="V143" s="2444"/>
      <c r="W143" s="2444"/>
      <c r="X143" s="2444"/>
      <c r="Y143" s="2444"/>
      <c r="Z143" s="2444"/>
      <c r="AA143" s="2444"/>
      <c r="AB143" s="2444"/>
      <c r="AC143" s="2444"/>
      <c r="AD143" s="2444"/>
      <c r="AE143" s="2444"/>
      <c r="AF143" s="2444"/>
      <c r="AG143" s="2444"/>
      <c r="AH143" s="2444"/>
      <c r="AI143" s="2444"/>
      <c r="AJ143" s="2444"/>
      <c r="AK143" s="2444"/>
      <c r="AL143" s="2444"/>
      <c r="AM143" s="2444"/>
      <c r="AN143" s="2444"/>
      <c r="AO143" s="2444"/>
      <c r="AP143" s="2444"/>
      <c r="AQ143" s="2444"/>
      <c r="AR143" s="2444"/>
      <c r="AS143" s="2444"/>
      <c r="AT143" s="2444"/>
      <c r="AU143" s="2444"/>
      <c r="AV143" s="2444"/>
      <c r="AW143" s="2444"/>
      <c r="AX143" s="2445"/>
      <c r="AY143" s="1209"/>
      <c r="AZ143" s="1209"/>
      <c r="BA143" s="1209"/>
      <c r="BB143" s="1209"/>
      <c r="BC143" s="1209"/>
      <c r="BD143" s="1209"/>
      <c r="BE143" s="1205"/>
    </row>
    <row r="144" spans="1:57" ht="15.75" customHeight="1">
      <c r="A144" s="1209"/>
      <c r="B144" s="2446"/>
      <c r="C144" s="2444"/>
      <c r="D144" s="2444"/>
      <c r="E144" s="2444"/>
      <c r="F144" s="2444"/>
      <c r="G144" s="2444"/>
      <c r="H144" s="2444"/>
      <c r="I144" s="2444"/>
      <c r="J144" s="2444"/>
      <c r="K144" s="2444"/>
      <c r="L144" s="2444"/>
      <c r="M144" s="2444"/>
      <c r="N144" s="2444"/>
      <c r="O144" s="2444"/>
      <c r="P144" s="2444"/>
      <c r="Q144" s="2444"/>
      <c r="R144" s="2444"/>
      <c r="S144" s="2444"/>
      <c r="T144" s="2444"/>
      <c r="U144" s="2444"/>
      <c r="V144" s="2444"/>
      <c r="W144" s="2444"/>
      <c r="X144" s="2444"/>
      <c r="Y144" s="2444"/>
      <c r="Z144" s="2444"/>
      <c r="AA144" s="2444"/>
      <c r="AB144" s="2444"/>
      <c r="AC144" s="2444"/>
      <c r="AD144" s="2444"/>
      <c r="AE144" s="2444"/>
      <c r="AF144" s="2444"/>
      <c r="AG144" s="2444"/>
      <c r="AH144" s="2444"/>
      <c r="AI144" s="2444"/>
      <c r="AJ144" s="2444"/>
      <c r="AK144" s="2444"/>
      <c r="AL144" s="2444"/>
      <c r="AM144" s="2444"/>
      <c r="AN144" s="2444"/>
      <c r="AO144" s="2444"/>
      <c r="AP144" s="2444"/>
      <c r="AQ144" s="2444"/>
      <c r="AR144" s="2444"/>
      <c r="AS144" s="2444"/>
      <c r="AT144" s="2444"/>
      <c r="AU144" s="2444"/>
      <c r="AV144" s="2444"/>
      <c r="AW144" s="2444"/>
      <c r="AX144" s="2445"/>
      <c r="AY144" s="1209"/>
      <c r="AZ144" s="1209"/>
      <c r="BA144" s="1209"/>
      <c r="BB144" s="1209"/>
      <c r="BC144" s="1209"/>
      <c r="BD144" s="1209"/>
      <c r="BE144" s="1205"/>
    </row>
    <row r="145" spans="1:57" ht="15.75" customHeight="1">
      <c r="A145" s="1209"/>
      <c r="B145" s="2446"/>
      <c r="C145" s="2444"/>
      <c r="D145" s="2444"/>
      <c r="E145" s="2444"/>
      <c r="F145" s="2444"/>
      <c r="G145" s="2444"/>
      <c r="H145" s="2444"/>
      <c r="I145" s="2444"/>
      <c r="J145" s="2444"/>
      <c r="K145" s="2444"/>
      <c r="L145" s="2444"/>
      <c r="M145" s="2444"/>
      <c r="N145" s="2444"/>
      <c r="O145" s="2444"/>
      <c r="P145" s="2444"/>
      <c r="Q145" s="2444"/>
      <c r="R145" s="2444"/>
      <c r="S145" s="2444"/>
      <c r="T145" s="2444"/>
      <c r="U145" s="2444"/>
      <c r="V145" s="2444"/>
      <c r="W145" s="2444"/>
      <c r="X145" s="2444"/>
      <c r="Y145" s="2444"/>
      <c r="Z145" s="2444"/>
      <c r="AA145" s="2444"/>
      <c r="AB145" s="2444"/>
      <c r="AC145" s="2444"/>
      <c r="AD145" s="2444"/>
      <c r="AE145" s="2444"/>
      <c r="AF145" s="2444"/>
      <c r="AG145" s="2444"/>
      <c r="AH145" s="2444"/>
      <c r="AI145" s="2444"/>
      <c r="AJ145" s="2444"/>
      <c r="AK145" s="2444"/>
      <c r="AL145" s="2444"/>
      <c r="AM145" s="2444"/>
      <c r="AN145" s="2444"/>
      <c r="AO145" s="2444"/>
      <c r="AP145" s="2444"/>
      <c r="AQ145" s="2444"/>
      <c r="AR145" s="2444"/>
      <c r="AS145" s="2444"/>
      <c r="AT145" s="2444"/>
      <c r="AU145" s="2444"/>
      <c r="AV145" s="2444"/>
      <c r="AW145" s="2444"/>
      <c r="AX145" s="2445"/>
      <c r="AY145" s="1209"/>
      <c r="AZ145" s="1209"/>
      <c r="BA145" s="1209"/>
      <c r="BB145" s="1209"/>
      <c r="BC145" s="1209"/>
      <c r="BD145" s="1209"/>
      <c r="BE145" s="1205"/>
    </row>
    <row r="146" spans="1:57" ht="15.75" customHeight="1">
      <c r="A146" s="1209"/>
      <c r="B146" s="2446"/>
      <c r="C146" s="2444"/>
      <c r="D146" s="2444"/>
      <c r="E146" s="2444"/>
      <c r="F146" s="2444"/>
      <c r="G146" s="2444"/>
      <c r="H146" s="2444"/>
      <c r="I146" s="2444"/>
      <c r="J146" s="2444"/>
      <c r="K146" s="2444"/>
      <c r="L146" s="2444"/>
      <c r="M146" s="2444"/>
      <c r="N146" s="2444"/>
      <c r="O146" s="2444"/>
      <c r="P146" s="2444"/>
      <c r="Q146" s="2444"/>
      <c r="R146" s="2444"/>
      <c r="S146" s="2444"/>
      <c r="T146" s="2444"/>
      <c r="U146" s="2444"/>
      <c r="V146" s="2444"/>
      <c r="W146" s="2444"/>
      <c r="X146" s="2444"/>
      <c r="Y146" s="2444"/>
      <c r="Z146" s="2444"/>
      <c r="AA146" s="2444"/>
      <c r="AB146" s="2444"/>
      <c r="AC146" s="2444"/>
      <c r="AD146" s="2444"/>
      <c r="AE146" s="2444"/>
      <c r="AF146" s="2444"/>
      <c r="AG146" s="2444"/>
      <c r="AH146" s="2444"/>
      <c r="AI146" s="2444"/>
      <c r="AJ146" s="2444"/>
      <c r="AK146" s="2444"/>
      <c r="AL146" s="2444"/>
      <c r="AM146" s="2444"/>
      <c r="AN146" s="2444"/>
      <c r="AO146" s="2444"/>
      <c r="AP146" s="2444"/>
      <c r="AQ146" s="2444"/>
      <c r="AR146" s="2444"/>
      <c r="AS146" s="2444"/>
      <c r="AT146" s="2444"/>
      <c r="AU146" s="2444"/>
      <c r="AV146" s="2444"/>
      <c r="AW146" s="2444"/>
      <c r="AX146" s="2445"/>
      <c r="AY146" s="1209"/>
      <c r="AZ146" s="1209"/>
      <c r="BA146" s="1209"/>
      <c r="BB146" s="1209"/>
      <c r="BC146" s="1209"/>
      <c r="BD146" s="1209"/>
      <c r="BE146" s="1205"/>
    </row>
    <row r="147" spans="1:57" ht="15.75" customHeight="1">
      <c r="A147" s="1209"/>
      <c r="B147" s="2446"/>
      <c r="C147" s="2444"/>
      <c r="D147" s="2444"/>
      <c r="E147" s="2444"/>
      <c r="F147" s="2444"/>
      <c r="G147" s="2444"/>
      <c r="H147" s="2444"/>
      <c r="I147" s="2444"/>
      <c r="J147" s="2444"/>
      <c r="K147" s="2444"/>
      <c r="L147" s="2444"/>
      <c r="M147" s="2444"/>
      <c r="N147" s="2444"/>
      <c r="O147" s="2444"/>
      <c r="P147" s="2444"/>
      <c r="Q147" s="2444"/>
      <c r="R147" s="2444"/>
      <c r="S147" s="2444"/>
      <c r="T147" s="2444"/>
      <c r="U147" s="2444"/>
      <c r="V147" s="2444"/>
      <c r="W147" s="2444"/>
      <c r="X147" s="2444"/>
      <c r="Y147" s="2444"/>
      <c r="Z147" s="2444"/>
      <c r="AA147" s="2444"/>
      <c r="AB147" s="2444"/>
      <c r="AC147" s="2444"/>
      <c r="AD147" s="2444"/>
      <c r="AE147" s="2444"/>
      <c r="AF147" s="2444"/>
      <c r="AG147" s="2444"/>
      <c r="AH147" s="2444"/>
      <c r="AI147" s="2444"/>
      <c r="AJ147" s="2444"/>
      <c r="AK147" s="2444"/>
      <c r="AL147" s="2444"/>
      <c r="AM147" s="2444"/>
      <c r="AN147" s="2444"/>
      <c r="AO147" s="2444"/>
      <c r="AP147" s="2444"/>
      <c r="AQ147" s="2444"/>
      <c r="AR147" s="2444"/>
      <c r="AS147" s="2444"/>
      <c r="AT147" s="2444"/>
      <c r="AU147" s="2444"/>
      <c r="AV147" s="2444"/>
      <c r="AW147" s="2444"/>
      <c r="AX147" s="2445"/>
      <c r="AY147" s="1209"/>
      <c r="AZ147" s="1209"/>
      <c r="BA147" s="1209"/>
      <c r="BB147" s="1209"/>
      <c r="BC147" s="1209"/>
      <c r="BD147" s="1209"/>
      <c r="BE147" s="1205"/>
    </row>
    <row r="148" spans="1:57" ht="15.75" customHeight="1">
      <c r="A148" s="1209"/>
      <c r="B148" s="2446"/>
      <c r="C148" s="2444"/>
      <c r="D148" s="2444"/>
      <c r="E148" s="2444"/>
      <c r="F148" s="2444"/>
      <c r="G148" s="2444"/>
      <c r="H148" s="2444"/>
      <c r="I148" s="2444"/>
      <c r="J148" s="2444"/>
      <c r="K148" s="2444"/>
      <c r="L148" s="2444"/>
      <c r="M148" s="2444"/>
      <c r="N148" s="2444"/>
      <c r="O148" s="2444"/>
      <c r="P148" s="2444"/>
      <c r="Q148" s="2444"/>
      <c r="R148" s="2444"/>
      <c r="S148" s="2444"/>
      <c r="T148" s="2444"/>
      <c r="U148" s="2444"/>
      <c r="V148" s="2444"/>
      <c r="W148" s="2444"/>
      <c r="X148" s="2444"/>
      <c r="Y148" s="2444"/>
      <c r="Z148" s="2444"/>
      <c r="AA148" s="2444"/>
      <c r="AB148" s="2444"/>
      <c r="AC148" s="2444"/>
      <c r="AD148" s="2444"/>
      <c r="AE148" s="2444"/>
      <c r="AF148" s="2444"/>
      <c r="AG148" s="2444"/>
      <c r="AH148" s="2444"/>
      <c r="AI148" s="2444"/>
      <c r="AJ148" s="2444"/>
      <c r="AK148" s="2444"/>
      <c r="AL148" s="2444"/>
      <c r="AM148" s="2444"/>
      <c r="AN148" s="2444"/>
      <c r="AO148" s="2444"/>
      <c r="AP148" s="2444"/>
      <c r="AQ148" s="2444"/>
      <c r="AR148" s="2444"/>
      <c r="AS148" s="2444"/>
      <c r="AT148" s="2444"/>
      <c r="AU148" s="2444"/>
      <c r="AV148" s="2444"/>
      <c r="AW148" s="2444"/>
      <c r="AX148" s="2445"/>
      <c r="AY148" s="1209"/>
      <c r="AZ148" s="1209"/>
      <c r="BA148" s="1209"/>
      <c r="BB148" s="1209"/>
      <c r="BC148" s="1209"/>
      <c r="BD148" s="1209"/>
      <c r="BE148" s="1205"/>
    </row>
    <row r="149" spans="1:57" ht="15.75" customHeight="1">
      <c r="A149" s="1209"/>
      <c r="B149" s="2446"/>
      <c r="C149" s="2444"/>
      <c r="D149" s="2444"/>
      <c r="E149" s="2444"/>
      <c r="F149" s="2444"/>
      <c r="G149" s="2444"/>
      <c r="H149" s="2444"/>
      <c r="I149" s="2444"/>
      <c r="J149" s="2444"/>
      <c r="K149" s="2444"/>
      <c r="L149" s="2444"/>
      <c r="M149" s="2444"/>
      <c r="N149" s="2444"/>
      <c r="O149" s="2444"/>
      <c r="P149" s="2444"/>
      <c r="Q149" s="2444"/>
      <c r="R149" s="2444"/>
      <c r="S149" s="2444"/>
      <c r="T149" s="2444"/>
      <c r="U149" s="2444"/>
      <c r="V149" s="2444"/>
      <c r="W149" s="2444"/>
      <c r="X149" s="2444"/>
      <c r="Y149" s="2444"/>
      <c r="Z149" s="2444"/>
      <c r="AA149" s="2444"/>
      <c r="AB149" s="2444"/>
      <c r="AC149" s="2444"/>
      <c r="AD149" s="2444"/>
      <c r="AE149" s="2444"/>
      <c r="AF149" s="2444"/>
      <c r="AG149" s="2444"/>
      <c r="AH149" s="2444"/>
      <c r="AI149" s="2444"/>
      <c r="AJ149" s="2444"/>
      <c r="AK149" s="2444"/>
      <c r="AL149" s="2444"/>
      <c r="AM149" s="2444"/>
      <c r="AN149" s="2444"/>
      <c r="AO149" s="2444"/>
      <c r="AP149" s="2444"/>
      <c r="AQ149" s="2444"/>
      <c r="AR149" s="2444"/>
      <c r="AS149" s="2444"/>
      <c r="AT149" s="2444"/>
      <c r="AU149" s="2444"/>
      <c r="AV149" s="2444"/>
      <c r="AW149" s="2444"/>
      <c r="AX149" s="2445"/>
      <c r="AY149" s="1209"/>
      <c r="AZ149" s="1209"/>
      <c r="BA149" s="1209"/>
      <c r="BB149" s="1209"/>
      <c r="BC149" s="1209"/>
      <c r="BD149" s="1209"/>
      <c r="BE149" s="1205"/>
    </row>
    <row r="150" spans="1:57" ht="15.75" customHeight="1" thickBot="1">
      <c r="A150" s="1209"/>
      <c r="B150" s="2447"/>
      <c r="C150" s="2448"/>
      <c r="D150" s="2448"/>
      <c r="E150" s="2448"/>
      <c r="F150" s="2448"/>
      <c r="G150" s="2448"/>
      <c r="H150" s="2448"/>
      <c r="I150" s="2448"/>
      <c r="J150" s="2448"/>
      <c r="K150" s="2448"/>
      <c r="L150" s="2448"/>
      <c r="M150" s="2448"/>
      <c r="N150" s="2448"/>
      <c r="O150" s="2448"/>
      <c r="P150" s="2448"/>
      <c r="Q150" s="2448"/>
      <c r="R150" s="2448"/>
      <c r="S150" s="2448"/>
      <c r="T150" s="2448"/>
      <c r="U150" s="2448"/>
      <c r="V150" s="2448"/>
      <c r="W150" s="2448"/>
      <c r="X150" s="2448"/>
      <c r="Y150" s="2448"/>
      <c r="Z150" s="2448"/>
      <c r="AA150" s="2448"/>
      <c r="AB150" s="2448"/>
      <c r="AC150" s="2448"/>
      <c r="AD150" s="2448"/>
      <c r="AE150" s="2448"/>
      <c r="AF150" s="2448"/>
      <c r="AG150" s="2448"/>
      <c r="AH150" s="2448"/>
      <c r="AI150" s="2448"/>
      <c r="AJ150" s="2448"/>
      <c r="AK150" s="2448"/>
      <c r="AL150" s="2448"/>
      <c r="AM150" s="2448"/>
      <c r="AN150" s="2448"/>
      <c r="AO150" s="2448"/>
      <c r="AP150" s="2448"/>
      <c r="AQ150" s="2448"/>
      <c r="AR150" s="2448"/>
      <c r="AS150" s="2448"/>
      <c r="AT150" s="2448"/>
      <c r="AU150" s="2448"/>
      <c r="AV150" s="2448"/>
      <c r="AW150" s="2448"/>
      <c r="AX150" s="2449"/>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2188</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38" t="s">
        <v>1838</v>
      </c>
      <c r="C154" s="2232"/>
      <c r="D154" s="2232"/>
      <c r="E154" s="2232"/>
      <c r="F154" s="2232"/>
      <c r="G154" s="2232"/>
      <c r="H154" s="2232"/>
      <c r="I154" s="2232"/>
      <c r="J154" s="2232"/>
      <c r="K154" s="2232"/>
      <c r="L154" s="2232"/>
      <c r="M154" s="2232"/>
      <c r="N154" s="2232"/>
      <c r="O154" s="2232"/>
      <c r="P154" s="2232"/>
      <c r="Q154" s="2232"/>
      <c r="R154" s="2232"/>
      <c r="S154" s="2232"/>
      <c r="T154" s="2232"/>
      <c r="U154" s="2233"/>
      <c r="V154" s="1209"/>
      <c r="W154" s="1217"/>
      <c r="X154" s="2438" t="s">
        <v>2189</v>
      </c>
      <c r="Y154" s="2232"/>
      <c r="Z154" s="2232"/>
      <c r="AA154" s="2232"/>
      <c r="AB154" s="2232"/>
      <c r="AC154" s="2232"/>
      <c r="AD154" s="2232"/>
      <c r="AE154" s="2232"/>
      <c r="AF154" s="2232"/>
      <c r="AG154" s="2232"/>
      <c r="AH154" s="2232"/>
      <c r="AI154" s="2232"/>
      <c r="AJ154" s="2232"/>
      <c r="AK154" s="2232"/>
      <c r="AL154" s="2232"/>
      <c r="AM154" s="2232"/>
      <c r="AN154" s="2232"/>
      <c r="AO154" s="2232"/>
      <c r="AP154" s="2232"/>
      <c r="AQ154" s="2233"/>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7"/>
      <c r="C155" s="2418"/>
      <c r="D155" s="2418"/>
      <c r="E155" s="2418"/>
      <c r="F155" s="2418"/>
      <c r="G155" s="2418"/>
      <c r="H155" s="2418"/>
      <c r="I155" s="2432" t="s">
        <v>1829</v>
      </c>
      <c r="J155" s="2432"/>
      <c r="K155" s="2432"/>
      <c r="L155" s="2432"/>
      <c r="M155" s="2432"/>
      <c r="N155" s="2432"/>
      <c r="O155" s="2432"/>
      <c r="P155" s="2432" t="s">
        <v>2190</v>
      </c>
      <c r="Q155" s="2432"/>
      <c r="R155" s="2432"/>
      <c r="S155" s="2432"/>
      <c r="T155" s="2432"/>
      <c r="U155" s="2433"/>
      <c r="V155" s="1209"/>
      <c r="W155" s="1209"/>
      <c r="X155" s="2417"/>
      <c r="Y155" s="2418"/>
      <c r="Z155" s="2418"/>
      <c r="AA155" s="2418"/>
      <c r="AB155" s="2418"/>
      <c r="AC155" s="2418"/>
      <c r="AD155" s="2418"/>
      <c r="AE155" s="2432" t="s">
        <v>1829</v>
      </c>
      <c r="AF155" s="2432"/>
      <c r="AG155" s="2432"/>
      <c r="AH155" s="2432"/>
      <c r="AI155" s="2432"/>
      <c r="AJ155" s="2432"/>
      <c r="AK155" s="2432"/>
      <c r="AL155" s="2432" t="s">
        <v>2185</v>
      </c>
      <c r="AM155" s="2432"/>
      <c r="AN155" s="2432"/>
      <c r="AO155" s="2432"/>
      <c r="AP155" s="2432"/>
      <c r="AQ155" s="2433"/>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7"/>
      <c r="C156" s="2418"/>
      <c r="D156" s="2418"/>
      <c r="E156" s="2418"/>
      <c r="F156" s="2418"/>
      <c r="G156" s="2418"/>
      <c r="H156" s="2418"/>
      <c r="I156" s="2432"/>
      <c r="J156" s="2432"/>
      <c r="K156" s="2432"/>
      <c r="L156" s="2432"/>
      <c r="M156" s="2432"/>
      <c r="N156" s="2432"/>
      <c r="O156" s="2432"/>
      <c r="P156" s="2432"/>
      <c r="Q156" s="2432"/>
      <c r="R156" s="2432"/>
      <c r="S156" s="2432"/>
      <c r="T156" s="2432"/>
      <c r="U156" s="2433"/>
      <c r="V156" s="1209"/>
      <c r="W156" s="1209"/>
      <c r="X156" s="2417"/>
      <c r="Y156" s="2418"/>
      <c r="Z156" s="2418"/>
      <c r="AA156" s="2418"/>
      <c r="AB156" s="2418"/>
      <c r="AC156" s="2418"/>
      <c r="AD156" s="2418"/>
      <c r="AE156" s="2432"/>
      <c r="AF156" s="2432"/>
      <c r="AG156" s="2432"/>
      <c r="AH156" s="2432"/>
      <c r="AI156" s="2432"/>
      <c r="AJ156" s="2432"/>
      <c r="AK156" s="2432"/>
      <c r="AL156" s="2432"/>
      <c r="AM156" s="2432"/>
      <c r="AN156" s="2432"/>
      <c r="AO156" s="2432"/>
      <c r="AP156" s="2432"/>
      <c r="AQ156" s="2433"/>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34" t="s">
        <v>2176</v>
      </c>
      <c r="C157" s="2435"/>
      <c r="D157" s="2435"/>
      <c r="E157" s="2435"/>
      <c r="F157" s="2435"/>
      <c r="G157" s="2435"/>
      <c r="H157" s="2435"/>
      <c r="I157" s="2192">
        <v>5</v>
      </c>
      <c r="J157" s="2192"/>
      <c r="K157" s="2192"/>
      <c r="L157" s="2192"/>
      <c r="M157" s="2192"/>
      <c r="N157" s="2192"/>
      <c r="O157" s="2192"/>
      <c r="P157" s="2192">
        <v>2</v>
      </c>
      <c r="Q157" s="2192"/>
      <c r="R157" s="2192"/>
      <c r="S157" s="2192"/>
      <c r="T157" s="2192"/>
      <c r="U157" s="2193"/>
      <c r="V157" s="1209"/>
      <c r="W157" s="1209"/>
      <c r="X157" s="2436" t="s">
        <v>2176</v>
      </c>
      <c r="Y157" s="2437"/>
      <c r="Z157" s="2437"/>
      <c r="AA157" s="2437"/>
      <c r="AB157" s="2437"/>
      <c r="AC157" s="2437"/>
      <c r="AD157" s="2437"/>
      <c r="AE157" s="2190">
        <v>37</v>
      </c>
      <c r="AF157" s="2190"/>
      <c r="AG157" s="2190"/>
      <c r="AH157" s="2190"/>
      <c r="AI157" s="2190"/>
      <c r="AJ157" s="2190"/>
      <c r="AK157" s="2190"/>
      <c r="AL157" s="2190">
        <v>17</v>
      </c>
      <c r="AM157" s="2190"/>
      <c r="AN157" s="2190"/>
      <c r="AO157" s="2190"/>
      <c r="AP157" s="2190"/>
      <c r="AQ157" s="2191"/>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36" t="s">
        <v>2177</v>
      </c>
      <c r="C158" s="2437"/>
      <c r="D158" s="2437"/>
      <c r="E158" s="2437"/>
      <c r="F158" s="2437"/>
      <c r="G158" s="2437"/>
      <c r="H158" s="2437"/>
      <c r="I158" s="2190">
        <v>2</v>
      </c>
      <c r="J158" s="2190"/>
      <c r="K158" s="2190"/>
      <c r="L158" s="2190"/>
      <c r="M158" s="2190"/>
      <c r="N158" s="2190"/>
      <c r="O158" s="2190"/>
      <c r="P158" s="2190">
        <v>3</v>
      </c>
      <c r="Q158" s="2190"/>
      <c r="R158" s="2190"/>
      <c r="S158" s="2190"/>
      <c r="T158" s="2190"/>
      <c r="U158" s="2191"/>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38" t="s">
        <v>2178</v>
      </c>
      <c r="D160" s="2232"/>
      <c r="E160" s="2232"/>
      <c r="F160" s="2232"/>
      <c r="G160" s="2232"/>
      <c r="H160" s="2232"/>
      <c r="I160" s="2232"/>
      <c r="J160" s="2232"/>
      <c r="K160" s="2232"/>
      <c r="L160" s="2232"/>
      <c r="M160" s="2232"/>
      <c r="N160" s="2232"/>
      <c r="O160" s="2232"/>
      <c r="P160" s="2232"/>
      <c r="Q160" s="2232"/>
      <c r="R160" s="2232"/>
      <c r="S160" s="2232"/>
      <c r="T160" s="2232"/>
      <c r="U160" s="2232"/>
      <c r="V160" s="2232"/>
      <c r="W160" s="2232"/>
      <c r="X160" s="2232"/>
      <c r="Y160" s="2232"/>
      <c r="Z160" s="2232"/>
      <c r="AA160" s="2232"/>
      <c r="AB160" s="2232"/>
      <c r="AC160" s="2232"/>
      <c r="AD160" s="2232"/>
      <c r="AE160" s="2232"/>
      <c r="AF160" s="2232"/>
      <c r="AG160" s="223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7" t="s">
        <v>1839</v>
      </c>
      <c r="D161" s="2418"/>
      <c r="E161" s="2418"/>
      <c r="F161" s="2418"/>
      <c r="G161" s="2418"/>
      <c r="H161" s="2418"/>
      <c r="I161" s="2418"/>
      <c r="J161" s="2418"/>
      <c r="K161" s="2418"/>
      <c r="L161" s="2418"/>
      <c r="M161" s="2418"/>
      <c r="N161" s="2418"/>
      <c r="O161" s="2418"/>
      <c r="P161" s="2418"/>
      <c r="Q161" s="2418" t="s">
        <v>1840</v>
      </c>
      <c r="R161" s="2418"/>
      <c r="S161" s="2418"/>
      <c r="T161" s="2197" t="s">
        <v>2179</v>
      </c>
      <c r="U161" s="2197"/>
      <c r="V161" s="2197"/>
      <c r="W161" s="2197"/>
      <c r="X161" s="2197"/>
      <c r="Y161" s="2197"/>
      <c r="Z161" s="2197"/>
      <c r="AA161" s="2197"/>
      <c r="AB161" s="2418" t="s">
        <v>1841</v>
      </c>
      <c r="AC161" s="2418"/>
      <c r="AD161" s="2418"/>
      <c r="AE161" s="2418"/>
      <c r="AF161" s="2418"/>
      <c r="AG161" s="2419"/>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26" t="s">
        <v>1842</v>
      </c>
      <c r="D162" s="2427"/>
      <c r="E162" s="2427"/>
      <c r="F162" s="2427"/>
      <c r="G162" s="2427"/>
      <c r="H162" s="2427"/>
      <c r="I162" s="2427"/>
      <c r="J162" s="2427"/>
      <c r="K162" s="2427"/>
      <c r="L162" s="2427"/>
      <c r="M162" s="2427"/>
      <c r="N162" s="2427"/>
      <c r="O162" s="2427"/>
      <c r="P162" s="2427"/>
      <c r="Q162" s="2376">
        <v>55</v>
      </c>
      <c r="R162" s="2376"/>
      <c r="S162" s="2376"/>
      <c r="T162" s="2390"/>
      <c r="U162" s="2390"/>
      <c r="V162" s="2390"/>
      <c r="W162" s="2390"/>
      <c r="X162" s="2390"/>
      <c r="Y162" s="2390"/>
      <c r="Z162" s="2390"/>
      <c r="AA162" s="2390"/>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26" t="s">
        <v>1843</v>
      </c>
      <c r="D163" s="2427"/>
      <c r="E163" s="2427"/>
      <c r="F163" s="2427"/>
      <c r="G163" s="2427"/>
      <c r="H163" s="2427"/>
      <c r="I163" s="2427"/>
      <c r="J163" s="2427"/>
      <c r="K163" s="2427"/>
      <c r="L163" s="2427"/>
      <c r="M163" s="2427"/>
      <c r="N163" s="2427"/>
      <c r="O163" s="2427"/>
      <c r="P163" s="2427"/>
      <c r="Q163" s="2376">
        <v>55</v>
      </c>
      <c r="R163" s="2376"/>
      <c r="S163" s="2376"/>
      <c r="T163" s="2429"/>
      <c r="U163" s="2429"/>
      <c r="V163" s="2429"/>
      <c r="W163" s="2429"/>
      <c r="X163" s="2429"/>
      <c r="Y163" s="2429"/>
      <c r="Z163" s="2429"/>
      <c r="AA163" s="2429"/>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26" t="s">
        <v>1844</v>
      </c>
      <c r="D164" s="2427"/>
      <c r="E164" s="2427"/>
      <c r="F164" s="2427"/>
      <c r="G164" s="2427"/>
      <c r="H164" s="2427"/>
      <c r="I164" s="2427"/>
      <c r="J164" s="2427"/>
      <c r="K164" s="2427"/>
      <c r="L164" s="2427"/>
      <c r="M164" s="2427"/>
      <c r="N164" s="2427"/>
      <c r="O164" s="2427"/>
      <c r="P164" s="2427"/>
      <c r="Q164" s="2376">
        <v>55</v>
      </c>
      <c r="R164" s="2376"/>
      <c r="S164" s="2376"/>
      <c r="T164" s="2390"/>
      <c r="U164" s="2390"/>
      <c r="V164" s="2390"/>
      <c r="W164" s="2390"/>
      <c r="X164" s="2390"/>
      <c r="Y164" s="2390"/>
      <c r="Z164" s="2390"/>
      <c r="AA164" s="2390"/>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26" t="s">
        <v>1815</v>
      </c>
      <c r="D165" s="2427"/>
      <c r="E165" s="2427"/>
      <c r="F165" s="2427"/>
      <c r="G165" s="2427"/>
      <c r="H165" s="2427"/>
      <c r="I165" s="2427"/>
      <c r="J165" s="2427"/>
      <c r="K165" s="2427"/>
      <c r="L165" s="2427"/>
      <c r="M165" s="2427"/>
      <c r="N165" s="2427"/>
      <c r="O165" s="2427"/>
      <c r="P165" s="2427"/>
      <c r="Q165" s="2376">
        <v>55</v>
      </c>
      <c r="R165" s="2376"/>
      <c r="S165" s="2376"/>
      <c r="T165" s="2390"/>
      <c r="U165" s="2390"/>
      <c r="V165" s="2390"/>
      <c r="W165" s="2390"/>
      <c r="X165" s="2390"/>
      <c r="Y165" s="2390"/>
      <c r="Z165" s="2390"/>
      <c r="AA165" s="2390"/>
      <c r="AB165" s="2430">
        <v>0</v>
      </c>
      <c r="AC165" s="2430"/>
      <c r="AD165" s="2430"/>
      <c r="AE165" s="2430"/>
      <c r="AF165" s="2430"/>
      <c r="AG165" s="2431"/>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26" t="s">
        <v>170</v>
      </c>
      <c r="D166" s="2427"/>
      <c r="E166" s="2427"/>
      <c r="F166" s="2428" t="s">
        <v>1845</v>
      </c>
      <c r="G166" s="2428"/>
      <c r="H166" s="2428"/>
      <c r="I166" s="2428"/>
      <c r="J166" s="2428"/>
      <c r="K166" s="2428"/>
      <c r="L166" s="2428"/>
      <c r="M166" s="2428"/>
      <c r="N166" s="2428"/>
      <c r="O166" s="2428"/>
      <c r="P166" s="2428"/>
      <c r="Q166" s="2376">
        <v>55</v>
      </c>
      <c r="R166" s="2376"/>
      <c r="S166" s="2376"/>
      <c r="T166" s="2429"/>
      <c r="U166" s="2429"/>
      <c r="V166" s="2429"/>
      <c r="W166" s="2429"/>
      <c r="X166" s="2429"/>
      <c r="Y166" s="2429"/>
      <c r="Z166" s="2429"/>
      <c r="AA166" s="2429"/>
      <c r="AB166" s="2430">
        <v>0</v>
      </c>
      <c r="AC166" s="2430"/>
      <c r="AD166" s="2430"/>
      <c r="AE166" s="2430"/>
      <c r="AF166" s="2430"/>
      <c r="AG166" s="2431"/>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26" t="s">
        <v>170</v>
      </c>
      <c r="D167" s="2427"/>
      <c r="E167" s="2427"/>
      <c r="F167" s="2428" t="s">
        <v>1845</v>
      </c>
      <c r="G167" s="2428"/>
      <c r="H167" s="2428"/>
      <c r="I167" s="2428"/>
      <c r="J167" s="2428"/>
      <c r="K167" s="2428"/>
      <c r="L167" s="2428"/>
      <c r="M167" s="2428"/>
      <c r="N167" s="2428"/>
      <c r="O167" s="2428"/>
      <c r="P167" s="2428"/>
      <c r="Q167" s="2376">
        <v>55</v>
      </c>
      <c r="R167" s="2376"/>
      <c r="S167" s="2376"/>
      <c r="T167" s="2429"/>
      <c r="U167" s="2429"/>
      <c r="V167" s="2429"/>
      <c r="W167" s="2429"/>
      <c r="X167" s="2429"/>
      <c r="Y167" s="2429"/>
      <c r="Z167" s="2429"/>
      <c r="AA167" s="2429"/>
      <c r="AB167" s="2430">
        <v>0</v>
      </c>
      <c r="AC167" s="2430"/>
      <c r="AD167" s="2430"/>
      <c r="AE167" s="2430"/>
      <c r="AF167" s="2430"/>
      <c r="AG167" s="2431"/>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97" t="s">
        <v>170</v>
      </c>
      <c r="D168" s="2398"/>
      <c r="E168" s="2398"/>
      <c r="F168" s="2399" t="s">
        <v>1845</v>
      </c>
      <c r="G168" s="2399"/>
      <c r="H168" s="2399"/>
      <c r="I168" s="2399"/>
      <c r="J168" s="2399"/>
      <c r="K168" s="2399"/>
      <c r="L168" s="2399"/>
      <c r="M168" s="2399"/>
      <c r="N168" s="2399"/>
      <c r="O168" s="2399"/>
      <c r="P168" s="2399"/>
      <c r="Q168" s="2400">
        <v>55</v>
      </c>
      <c r="R168" s="2400"/>
      <c r="S168" s="2400"/>
      <c r="T168" s="2401"/>
      <c r="U168" s="2401"/>
      <c r="V168" s="2401"/>
      <c r="W168" s="2401"/>
      <c r="X168" s="2401"/>
      <c r="Y168" s="2401"/>
      <c r="Z168" s="2401"/>
      <c r="AA168" s="2401"/>
      <c r="AB168" s="2402">
        <v>0</v>
      </c>
      <c r="AC168" s="2402"/>
      <c r="AD168" s="2402"/>
      <c r="AE168" s="2402"/>
      <c r="AF168" s="2402"/>
      <c r="AG168" s="2403"/>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99" t="s">
        <v>1846</v>
      </c>
      <c r="D170" s="2200"/>
      <c r="E170" s="2200"/>
      <c r="F170" s="2200"/>
      <c r="G170" s="2200"/>
      <c r="H170" s="2200"/>
      <c r="I170" s="2200"/>
      <c r="J170" s="2200"/>
      <c r="K170" s="2200"/>
      <c r="L170" s="2200"/>
      <c r="M170" s="2200"/>
      <c r="N170" s="2201"/>
      <c r="O170" s="1209"/>
      <c r="P170" s="2414" t="s">
        <v>1847</v>
      </c>
      <c r="Q170" s="2415"/>
      <c r="R170" s="2415"/>
      <c r="S170" s="2415"/>
      <c r="T170" s="2415"/>
      <c r="U170" s="2415"/>
      <c r="V170" s="2415"/>
      <c r="W170" s="2415"/>
      <c r="X170" s="2415"/>
      <c r="Y170" s="2415"/>
      <c r="Z170" s="2415"/>
      <c r="AA170" s="2415"/>
      <c r="AB170" s="2415"/>
      <c r="AC170" s="2415"/>
      <c r="AD170" s="2415"/>
      <c r="AE170" s="2415"/>
      <c r="AF170" s="2415"/>
      <c r="AG170" s="2415"/>
      <c r="AH170" s="2415"/>
      <c r="AI170" s="2415"/>
      <c r="AJ170" s="2415"/>
      <c r="AK170" s="2415"/>
      <c r="AL170" s="2415"/>
      <c r="AM170" s="2415"/>
      <c r="AN170" s="2415"/>
      <c r="AO170" s="2416"/>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7" t="s">
        <v>1848</v>
      </c>
      <c r="D171" s="2418"/>
      <c r="E171" s="2418"/>
      <c r="F171" s="2418"/>
      <c r="G171" s="2418"/>
      <c r="H171" s="2418"/>
      <c r="I171" s="2418" t="s">
        <v>1849</v>
      </c>
      <c r="J171" s="2418"/>
      <c r="K171" s="2418"/>
      <c r="L171" s="2418"/>
      <c r="M171" s="2418"/>
      <c r="N171" s="2419"/>
      <c r="O171" s="1209"/>
      <c r="P171" s="2420" t="s">
        <v>2777</v>
      </c>
      <c r="Q171" s="2421"/>
      <c r="R171" s="2421"/>
      <c r="S171" s="2421"/>
      <c r="T171" s="2421"/>
      <c r="U171" s="2421"/>
      <c r="V171" s="2421"/>
      <c r="W171" s="2421"/>
      <c r="X171" s="2421"/>
      <c r="Y171" s="2421"/>
      <c r="Z171" s="2421"/>
      <c r="AA171" s="2421"/>
      <c r="AB171" s="2421"/>
      <c r="AC171" s="2421"/>
      <c r="AD171" s="2421"/>
      <c r="AE171" s="2421"/>
      <c r="AF171" s="2421"/>
      <c r="AG171" s="2421"/>
      <c r="AH171" s="2421"/>
      <c r="AI171" s="2421"/>
      <c r="AJ171" s="2421"/>
      <c r="AK171" s="2421"/>
      <c r="AL171" s="2421"/>
      <c r="AM171" s="2421"/>
      <c r="AN171" s="2421"/>
      <c r="AO171" s="2422"/>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69" t="s">
        <v>2775</v>
      </c>
      <c r="D172" s="2370"/>
      <c r="E172" s="2370"/>
      <c r="F172" s="2370"/>
      <c r="G172" s="2370"/>
      <c r="H172" s="2370"/>
      <c r="I172" s="2390"/>
      <c r="J172" s="2390"/>
      <c r="K172" s="2390"/>
      <c r="L172" s="2390"/>
      <c r="M172" s="2390"/>
      <c r="N172" s="2391"/>
      <c r="O172" s="1209"/>
      <c r="P172" s="2420"/>
      <c r="Q172" s="2421"/>
      <c r="R172" s="2421"/>
      <c r="S172" s="2421"/>
      <c r="T172" s="2421"/>
      <c r="U172" s="2421"/>
      <c r="V172" s="2421"/>
      <c r="W172" s="2421"/>
      <c r="X172" s="2421"/>
      <c r="Y172" s="2421"/>
      <c r="Z172" s="2421"/>
      <c r="AA172" s="2421"/>
      <c r="AB172" s="2421"/>
      <c r="AC172" s="2421"/>
      <c r="AD172" s="2421"/>
      <c r="AE172" s="2421"/>
      <c r="AF172" s="2421"/>
      <c r="AG172" s="2421"/>
      <c r="AH172" s="2421"/>
      <c r="AI172" s="2421"/>
      <c r="AJ172" s="2421"/>
      <c r="AK172" s="2421"/>
      <c r="AL172" s="2421"/>
      <c r="AM172" s="2421"/>
      <c r="AN172" s="2421"/>
      <c r="AO172" s="2422"/>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69" t="s">
        <v>2776</v>
      </c>
      <c r="D173" s="2370"/>
      <c r="E173" s="2370"/>
      <c r="F173" s="2370"/>
      <c r="G173" s="2370"/>
      <c r="H173" s="2370"/>
      <c r="I173" s="2390"/>
      <c r="J173" s="2390"/>
      <c r="K173" s="2390"/>
      <c r="L173" s="2390"/>
      <c r="M173" s="2390"/>
      <c r="N173" s="2391"/>
      <c r="O173" s="1209"/>
      <c r="P173" s="2420"/>
      <c r="Q173" s="2421"/>
      <c r="R173" s="2421"/>
      <c r="S173" s="2421"/>
      <c r="T173" s="2421"/>
      <c r="U173" s="2421"/>
      <c r="V173" s="2421"/>
      <c r="W173" s="2421"/>
      <c r="X173" s="2421"/>
      <c r="Y173" s="2421"/>
      <c r="Z173" s="2421"/>
      <c r="AA173" s="2421"/>
      <c r="AB173" s="2421"/>
      <c r="AC173" s="2421"/>
      <c r="AD173" s="2421"/>
      <c r="AE173" s="2421"/>
      <c r="AF173" s="2421"/>
      <c r="AG173" s="2421"/>
      <c r="AH173" s="2421"/>
      <c r="AI173" s="2421"/>
      <c r="AJ173" s="2421"/>
      <c r="AK173" s="2421"/>
      <c r="AL173" s="2421"/>
      <c r="AM173" s="2421"/>
      <c r="AN173" s="2421"/>
      <c r="AO173" s="2422"/>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69"/>
      <c r="D174" s="2370"/>
      <c r="E174" s="2370"/>
      <c r="F174" s="2370"/>
      <c r="G174" s="2370"/>
      <c r="H174" s="2370"/>
      <c r="I174" s="2390"/>
      <c r="J174" s="2390"/>
      <c r="K174" s="2390"/>
      <c r="L174" s="2390"/>
      <c r="M174" s="2390"/>
      <c r="N174" s="2391"/>
      <c r="O174" s="1209"/>
      <c r="P174" s="2420"/>
      <c r="Q174" s="2421"/>
      <c r="R174" s="2421"/>
      <c r="S174" s="2421"/>
      <c r="T174" s="2421"/>
      <c r="U174" s="2421"/>
      <c r="V174" s="2421"/>
      <c r="W174" s="2421"/>
      <c r="X174" s="2421"/>
      <c r="Y174" s="2421"/>
      <c r="Z174" s="2421"/>
      <c r="AA174" s="2421"/>
      <c r="AB174" s="2421"/>
      <c r="AC174" s="2421"/>
      <c r="AD174" s="2421"/>
      <c r="AE174" s="2421"/>
      <c r="AF174" s="2421"/>
      <c r="AG174" s="2421"/>
      <c r="AH174" s="2421"/>
      <c r="AI174" s="2421"/>
      <c r="AJ174" s="2421"/>
      <c r="AK174" s="2421"/>
      <c r="AL174" s="2421"/>
      <c r="AM174" s="2421"/>
      <c r="AN174" s="2421"/>
      <c r="AO174" s="2422"/>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69"/>
      <c r="D175" s="2370"/>
      <c r="E175" s="2370"/>
      <c r="F175" s="2370"/>
      <c r="G175" s="2370"/>
      <c r="H175" s="2370"/>
      <c r="I175" s="2390"/>
      <c r="J175" s="2390"/>
      <c r="K175" s="2390"/>
      <c r="L175" s="2390"/>
      <c r="M175" s="2390"/>
      <c r="N175" s="2391"/>
      <c r="O175" s="1209"/>
      <c r="P175" s="2420"/>
      <c r="Q175" s="2421"/>
      <c r="R175" s="2421"/>
      <c r="S175" s="2421"/>
      <c r="T175" s="2421"/>
      <c r="U175" s="2421"/>
      <c r="V175" s="2421"/>
      <c r="W175" s="2421"/>
      <c r="X175" s="2421"/>
      <c r="Y175" s="2421"/>
      <c r="Z175" s="2421"/>
      <c r="AA175" s="2421"/>
      <c r="AB175" s="2421"/>
      <c r="AC175" s="2421"/>
      <c r="AD175" s="2421"/>
      <c r="AE175" s="2421"/>
      <c r="AF175" s="2421"/>
      <c r="AG175" s="2421"/>
      <c r="AH175" s="2421"/>
      <c r="AI175" s="2421"/>
      <c r="AJ175" s="2421"/>
      <c r="AK175" s="2421"/>
      <c r="AL175" s="2421"/>
      <c r="AM175" s="2421"/>
      <c r="AN175" s="2421"/>
      <c r="AO175" s="2422"/>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69"/>
      <c r="D176" s="2370"/>
      <c r="E176" s="2370"/>
      <c r="F176" s="2370"/>
      <c r="G176" s="2370"/>
      <c r="H176" s="2370"/>
      <c r="I176" s="2390"/>
      <c r="J176" s="2390"/>
      <c r="K176" s="2390"/>
      <c r="L176" s="2390"/>
      <c r="M176" s="2390"/>
      <c r="N176" s="2391"/>
      <c r="O176" s="1209"/>
      <c r="P176" s="2420"/>
      <c r="Q176" s="2421"/>
      <c r="R176" s="2421"/>
      <c r="S176" s="2421"/>
      <c r="T176" s="2421"/>
      <c r="U176" s="2421"/>
      <c r="V176" s="2421"/>
      <c r="W176" s="2421"/>
      <c r="X176" s="2421"/>
      <c r="Y176" s="2421"/>
      <c r="Z176" s="2421"/>
      <c r="AA176" s="2421"/>
      <c r="AB176" s="2421"/>
      <c r="AC176" s="2421"/>
      <c r="AD176" s="2421"/>
      <c r="AE176" s="2421"/>
      <c r="AF176" s="2421"/>
      <c r="AG176" s="2421"/>
      <c r="AH176" s="2421"/>
      <c r="AI176" s="2421"/>
      <c r="AJ176" s="2421"/>
      <c r="AK176" s="2421"/>
      <c r="AL176" s="2421"/>
      <c r="AM176" s="2421"/>
      <c r="AN176" s="2421"/>
      <c r="AO176" s="2422"/>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69"/>
      <c r="D177" s="2370"/>
      <c r="E177" s="2370"/>
      <c r="F177" s="2370"/>
      <c r="G177" s="2370"/>
      <c r="H177" s="2370"/>
      <c r="I177" s="2390"/>
      <c r="J177" s="2390"/>
      <c r="K177" s="2390"/>
      <c r="L177" s="2390"/>
      <c r="M177" s="2390"/>
      <c r="N177" s="2391"/>
      <c r="O177" s="1209"/>
      <c r="P177" s="2420"/>
      <c r="Q177" s="2421"/>
      <c r="R177" s="2421"/>
      <c r="S177" s="2421"/>
      <c r="T177" s="2421"/>
      <c r="U177" s="2421"/>
      <c r="V177" s="2421"/>
      <c r="W177" s="2421"/>
      <c r="X177" s="2421"/>
      <c r="Y177" s="2421"/>
      <c r="Z177" s="2421"/>
      <c r="AA177" s="2421"/>
      <c r="AB177" s="2421"/>
      <c r="AC177" s="2421"/>
      <c r="AD177" s="2421"/>
      <c r="AE177" s="2421"/>
      <c r="AF177" s="2421"/>
      <c r="AG177" s="2421"/>
      <c r="AH177" s="2421"/>
      <c r="AI177" s="2421"/>
      <c r="AJ177" s="2421"/>
      <c r="AK177" s="2421"/>
      <c r="AL177" s="2421"/>
      <c r="AM177" s="2421"/>
      <c r="AN177" s="2421"/>
      <c r="AO177" s="2422"/>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04"/>
      <c r="D178" s="2405"/>
      <c r="E178" s="2405"/>
      <c r="F178" s="2405"/>
      <c r="G178" s="2405"/>
      <c r="H178" s="2405"/>
      <c r="I178" s="2406"/>
      <c r="J178" s="2406"/>
      <c r="K178" s="2406"/>
      <c r="L178" s="2406"/>
      <c r="M178" s="2406"/>
      <c r="N178" s="2407"/>
      <c r="O178" s="1209"/>
      <c r="P178" s="2423"/>
      <c r="Q178" s="2424"/>
      <c r="R178" s="2424"/>
      <c r="S178" s="2424"/>
      <c r="T178" s="2424"/>
      <c r="U178" s="2424"/>
      <c r="V178" s="2424"/>
      <c r="W178" s="2424"/>
      <c r="X178" s="2424"/>
      <c r="Y178" s="2424"/>
      <c r="Z178" s="2424"/>
      <c r="AA178" s="2424"/>
      <c r="AB178" s="2424"/>
      <c r="AC178" s="2424"/>
      <c r="AD178" s="2424"/>
      <c r="AE178" s="2424"/>
      <c r="AF178" s="2424"/>
      <c r="AG178" s="2424"/>
      <c r="AH178" s="2424"/>
      <c r="AI178" s="2424"/>
      <c r="AJ178" s="2424"/>
      <c r="AK178" s="2424"/>
      <c r="AL178" s="2424"/>
      <c r="AM178" s="2424"/>
      <c r="AN178" s="2424"/>
      <c r="AO178" s="2425"/>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08" t="s">
        <v>2481</v>
      </c>
      <c r="D180" s="2409"/>
      <c r="E180" s="2409"/>
      <c r="F180" s="2409"/>
      <c r="G180" s="2409"/>
      <c r="H180" s="2409"/>
      <c r="I180" s="2409"/>
      <c r="J180" s="2409"/>
      <c r="K180" s="2409"/>
      <c r="L180" s="2409"/>
      <c r="M180" s="2409"/>
      <c r="N180" s="2409"/>
      <c r="O180" s="2409"/>
      <c r="P180" s="2409"/>
      <c r="Q180" s="2409"/>
      <c r="R180" s="2409"/>
      <c r="S180" s="2409"/>
      <c r="T180" s="2409"/>
      <c r="U180" s="2409"/>
      <c r="V180" s="2409"/>
      <c r="W180" s="2409"/>
      <c r="X180" s="2409"/>
      <c r="Y180" s="2409"/>
      <c r="Z180" s="2409"/>
      <c r="AA180" s="2409"/>
      <c r="AB180" s="2409"/>
      <c r="AC180" s="2409"/>
      <c r="AD180" s="2409"/>
      <c r="AE180" s="2410"/>
      <c r="AF180" s="1209"/>
      <c r="AG180" s="1209"/>
      <c r="AH180" s="2605" t="s">
        <v>2598</v>
      </c>
      <c r="AI180" s="2606"/>
      <c r="AJ180" s="2606"/>
      <c r="AK180" s="2606"/>
      <c r="AL180" s="2606"/>
      <c r="AM180" s="2606"/>
      <c r="AN180" s="2606"/>
      <c r="AO180" s="2606"/>
      <c r="AP180" s="2606"/>
      <c r="AQ180" s="2606"/>
      <c r="AR180" s="2606"/>
      <c r="AS180" s="2606"/>
      <c r="AT180" s="2606"/>
      <c r="AU180" s="2606"/>
      <c r="AV180" s="2606"/>
      <c r="AW180" s="2606"/>
      <c r="AX180" s="2606"/>
      <c r="AY180" s="2606"/>
      <c r="AZ180" s="2606"/>
      <c r="BA180" s="2606"/>
      <c r="BB180" s="2606"/>
      <c r="BC180" s="2606"/>
      <c r="BD180" s="2606"/>
      <c r="BE180" s="2607"/>
    </row>
    <row r="181" spans="1:57" ht="15.75" customHeight="1" thickBot="1">
      <c r="A181" s="1209"/>
      <c r="B181" s="1209"/>
      <c r="C181" s="2411"/>
      <c r="D181" s="2412"/>
      <c r="E181" s="2412"/>
      <c r="F181" s="2412"/>
      <c r="G181" s="2412"/>
      <c r="H181" s="2412"/>
      <c r="I181" s="2412"/>
      <c r="J181" s="2412"/>
      <c r="K181" s="2412"/>
      <c r="L181" s="2412"/>
      <c r="M181" s="2412"/>
      <c r="N181" s="2412"/>
      <c r="O181" s="2412"/>
      <c r="P181" s="2412"/>
      <c r="Q181" s="2412"/>
      <c r="R181" s="2412"/>
      <c r="S181" s="2412"/>
      <c r="T181" s="2412"/>
      <c r="U181" s="2412"/>
      <c r="V181" s="2412"/>
      <c r="W181" s="2412"/>
      <c r="X181" s="2412"/>
      <c r="Y181" s="2412"/>
      <c r="Z181" s="2412"/>
      <c r="AA181" s="2412"/>
      <c r="AB181" s="2412"/>
      <c r="AC181" s="2412"/>
      <c r="AD181" s="2412"/>
      <c r="AE181" s="2413"/>
      <c r="AF181" s="1209"/>
      <c r="AG181" s="1209"/>
      <c r="AH181" s="2608" t="s">
        <v>2619</v>
      </c>
      <c r="AI181" s="2608"/>
      <c r="AJ181" s="2608"/>
      <c r="AK181" s="2608"/>
      <c r="AL181" s="2608"/>
      <c r="AM181" s="2608"/>
      <c r="AN181" s="2608"/>
      <c r="AO181" s="2608"/>
      <c r="AP181" s="2608"/>
      <c r="AQ181" s="2608"/>
      <c r="AR181" s="2608"/>
      <c r="AS181" s="2608"/>
      <c r="AT181" s="2608"/>
      <c r="AU181" s="2608"/>
      <c r="AV181" s="2608"/>
      <c r="AW181" s="2608"/>
      <c r="AX181" s="2608"/>
      <c r="AY181" s="2608"/>
      <c r="AZ181" s="2608"/>
      <c r="BA181" s="2608"/>
      <c r="BB181" s="2608"/>
      <c r="BC181" s="2608"/>
      <c r="BD181" s="2608"/>
      <c r="BE181" s="2608"/>
    </row>
    <row r="182" spans="1:57" ht="15.75" customHeight="1">
      <c r="A182" s="1209"/>
      <c r="B182" s="1209"/>
      <c r="C182" s="2199" t="s">
        <v>1839</v>
      </c>
      <c r="D182" s="2200"/>
      <c r="E182" s="2200"/>
      <c r="F182" s="2200"/>
      <c r="G182" s="2200"/>
      <c r="H182" s="2200"/>
      <c r="I182" s="2200"/>
      <c r="J182" s="2200"/>
      <c r="K182" s="2200"/>
      <c r="L182" s="2200"/>
      <c r="M182" s="2200"/>
      <c r="N182" s="2200" t="s">
        <v>1850</v>
      </c>
      <c r="O182" s="2200"/>
      <c r="P182" s="2200"/>
      <c r="Q182" s="2200"/>
      <c r="R182" s="2200"/>
      <c r="S182" s="2200"/>
      <c r="T182" s="2200"/>
      <c r="U182" s="2232" t="s">
        <v>1839</v>
      </c>
      <c r="V182" s="2232"/>
      <c r="W182" s="2232"/>
      <c r="X182" s="2232"/>
      <c r="Y182" s="2232"/>
      <c r="Z182" s="2232"/>
      <c r="AA182" s="2232"/>
      <c r="AB182" s="2232"/>
      <c r="AC182" s="2232"/>
      <c r="AD182" s="2232"/>
      <c r="AE182" s="2233"/>
      <c r="AF182" s="1209"/>
      <c r="AG182" s="1209"/>
      <c r="AH182" s="2389" t="s">
        <v>2603</v>
      </c>
      <c r="AI182" s="2389"/>
      <c r="AJ182" s="2389"/>
      <c r="AK182" s="2389"/>
      <c r="AL182" s="2389"/>
      <c r="AM182" s="2389"/>
      <c r="AN182" s="2389"/>
      <c r="AO182" s="2389"/>
      <c r="AP182" s="2389"/>
      <c r="AQ182" s="2389"/>
      <c r="AR182" s="2389"/>
      <c r="AS182" s="2389"/>
      <c r="AT182" s="2389"/>
      <c r="AU182" s="2616">
        <v>2500000</v>
      </c>
      <c r="AV182" s="2616"/>
      <c r="AW182" s="2616"/>
      <c r="AX182" s="2616"/>
      <c r="AY182" s="2616"/>
      <c r="AZ182" s="2616"/>
      <c r="BA182" s="2616"/>
      <c r="BB182" s="2616"/>
      <c r="BC182" s="2620"/>
      <c r="BD182" s="2621"/>
      <c r="BE182" s="2622"/>
    </row>
    <row r="183" spans="1:57" ht="15.75" customHeight="1">
      <c r="A183" s="1209"/>
      <c r="B183" s="1209"/>
      <c r="C183" s="2378" t="s">
        <v>2482</v>
      </c>
      <c r="D183" s="2379"/>
      <c r="E183" s="2379"/>
      <c r="F183" s="2379"/>
      <c r="G183" s="2379"/>
      <c r="H183" s="2379"/>
      <c r="I183" s="2379"/>
      <c r="J183" s="2379"/>
      <c r="K183" s="2379"/>
      <c r="L183" s="2379"/>
      <c r="M183" s="2379"/>
      <c r="N183" s="2392">
        <f>'Sources and Uses Budget'!B105</f>
        <v>73815142</v>
      </c>
      <c r="O183" s="2392"/>
      <c r="P183" s="2392"/>
      <c r="Q183" s="2392"/>
      <c r="R183" s="2392"/>
      <c r="S183" s="2392"/>
      <c r="T183" s="2392"/>
      <c r="U183" s="2393"/>
      <c r="V183" s="2393"/>
      <c r="W183" s="2393"/>
      <c r="X183" s="2393"/>
      <c r="Y183" s="2393"/>
      <c r="Z183" s="2393"/>
      <c r="AA183" s="2393"/>
      <c r="AB183" s="2393"/>
      <c r="AC183" s="2393"/>
      <c r="AD183" s="2393"/>
      <c r="AE183" s="2394"/>
      <c r="AF183" s="1209"/>
      <c r="AG183" s="1209"/>
      <c r="AH183" s="2389" t="s">
        <v>2602</v>
      </c>
      <c r="AI183" s="2389"/>
      <c r="AJ183" s="2389"/>
      <c r="AK183" s="2389"/>
      <c r="AL183" s="2389"/>
      <c r="AM183" s="2389"/>
      <c r="AN183" s="2389"/>
      <c r="AO183" s="2389"/>
      <c r="AP183" s="2389"/>
      <c r="AQ183" s="2389"/>
      <c r="AR183" s="2389"/>
      <c r="AS183" s="2389"/>
      <c r="AT183" s="2389"/>
      <c r="AU183" s="2617">
        <f>MAX(0,Application!AG439-100)*20000</f>
        <v>780000</v>
      </c>
      <c r="AV183" s="2617"/>
      <c r="AW183" s="2617"/>
      <c r="AX183" s="2617"/>
      <c r="AY183" s="2617"/>
      <c r="AZ183" s="2617"/>
      <c r="BA183" s="2617"/>
      <c r="BB183" s="2617"/>
      <c r="BC183" s="2348"/>
      <c r="BD183" s="2349"/>
      <c r="BE183" s="2350"/>
    </row>
    <row r="184" spans="1:57" ht="15.75" customHeight="1">
      <c r="A184" s="1209"/>
      <c r="B184" s="1209"/>
      <c r="C184" s="2378" t="s">
        <v>2483</v>
      </c>
      <c r="D184" s="2379"/>
      <c r="E184" s="2379"/>
      <c r="F184" s="2379"/>
      <c r="G184" s="2379"/>
      <c r="H184" s="2379"/>
      <c r="I184" s="2379"/>
      <c r="J184" s="2379"/>
      <c r="K184" s="2379"/>
      <c r="L184" s="2379"/>
      <c r="M184" s="2379"/>
      <c r="N184" s="2392">
        <f>N183/J29</f>
        <v>531044.18705035967</v>
      </c>
      <c r="O184" s="2392"/>
      <c r="P184" s="2392"/>
      <c r="Q184" s="2392"/>
      <c r="R184" s="2392"/>
      <c r="S184" s="2392"/>
      <c r="T184" s="2392"/>
      <c r="U184" s="1225"/>
      <c r="V184" s="1225"/>
      <c r="W184" s="1225"/>
      <c r="X184" s="1225"/>
      <c r="Y184" s="1225"/>
      <c r="Z184" s="1225"/>
      <c r="AA184" s="1225"/>
      <c r="AB184" s="1225"/>
      <c r="AC184" s="1225"/>
      <c r="AD184" s="1225"/>
      <c r="AE184" s="1224"/>
      <c r="AF184" s="1209"/>
      <c r="AG184" s="1209"/>
      <c r="AH184" s="2609" t="s">
        <v>2601</v>
      </c>
      <c r="AI184" s="2609"/>
      <c r="AJ184" s="2609"/>
      <c r="AK184" s="2609"/>
      <c r="AL184" s="2609"/>
      <c r="AM184" s="2609"/>
      <c r="AN184" s="2609"/>
      <c r="AO184" s="2609"/>
      <c r="AP184" s="2609"/>
      <c r="AQ184" s="2609"/>
      <c r="AR184" s="2609"/>
      <c r="AS184" s="2609"/>
      <c r="AT184" s="2609"/>
      <c r="AU184" s="2347">
        <f>AU182+AU183</f>
        <v>3280000</v>
      </c>
      <c r="AV184" s="2347"/>
      <c r="AW184" s="2347"/>
      <c r="AX184" s="2347"/>
      <c r="AY184" s="2347"/>
      <c r="AZ184" s="2347"/>
      <c r="BA184" s="2347"/>
      <c r="BB184" s="2347"/>
      <c r="BC184" s="2348"/>
      <c r="BD184" s="2349"/>
      <c r="BE184" s="2350"/>
    </row>
    <row r="185" spans="1:57" ht="15.75" customHeight="1">
      <c r="A185" s="1209"/>
      <c r="B185" s="1209"/>
      <c r="C185" s="2395" t="s">
        <v>2484</v>
      </c>
      <c r="D185" s="2396"/>
      <c r="E185" s="2396"/>
      <c r="F185" s="2396"/>
      <c r="G185" s="2396"/>
      <c r="H185" s="2396"/>
      <c r="I185" s="2396"/>
      <c r="J185" s="2396"/>
      <c r="K185" s="2396"/>
      <c r="L185" s="2396"/>
      <c r="M185" s="2396"/>
      <c r="N185" s="2228">
        <v>0</v>
      </c>
      <c r="O185" s="2228"/>
      <c r="P185" s="2228"/>
      <c r="Q185" s="2228"/>
      <c r="R185" s="2228"/>
      <c r="S185" s="2228"/>
      <c r="T185" s="2228"/>
      <c r="U185" s="2373"/>
      <c r="V185" s="2373"/>
      <c r="W185" s="2373"/>
      <c r="X185" s="2373"/>
      <c r="Y185" s="2373"/>
      <c r="Z185" s="2373"/>
      <c r="AA185" s="2373"/>
      <c r="AB185" s="2373"/>
      <c r="AC185" s="2373"/>
      <c r="AD185" s="2373"/>
      <c r="AE185" s="2374"/>
      <c r="AF185" s="1209"/>
      <c r="AG185" s="1209"/>
      <c r="AH185" s="2619" t="s">
        <v>2600</v>
      </c>
      <c r="AI185" s="2619"/>
      <c r="AJ185" s="2619"/>
      <c r="AK185" s="2619"/>
      <c r="AL185" s="2619"/>
      <c r="AM185" s="2619"/>
      <c r="AN185" s="2619"/>
      <c r="AO185" s="2619"/>
      <c r="AP185" s="2619"/>
      <c r="AQ185" s="2619"/>
      <c r="AR185" s="2619"/>
      <c r="AS185" s="2619"/>
      <c r="AT185" s="2619"/>
      <c r="AU185" s="2618" t="str">
        <f>IF(AU189-AU192&lt;=AU184,"Y","N")</f>
        <v>Y</v>
      </c>
      <c r="AV185" s="2618"/>
      <c r="AW185" s="2618"/>
      <c r="AX185" s="2618"/>
      <c r="AY185" s="2618"/>
      <c r="AZ185" s="2618"/>
      <c r="BA185" s="2618"/>
      <c r="BB185" s="2618"/>
      <c r="BC185" s="2348"/>
      <c r="BD185" s="2349"/>
      <c r="BE185" s="2350"/>
    </row>
    <row r="186" spans="1:57" ht="15.75" customHeight="1" thickBot="1">
      <c r="A186" s="1209"/>
      <c r="B186" s="1209"/>
      <c r="C186" s="2378" t="s">
        <v>2485</v>
      </c>
      <c r="D186" s="2379"/>
      <c r="E186" s="2379"/>
      <c r="F186" s="2379"/>
      <c r="G186" s="2379"/>
      <c r="H186" s="2379"/>
      <c r="I186" s="2379"/>
      <c r="J186" s="2379"/>
      <c r="K186" s="2379"/>
      <c r="L186" s="2379"/>
      <c r="M186" s="2379"/>
      <c r="N186" s="2380">
        <f>SUM('Sources and Uses Budget'!B85:B86)</f>
        <v>8970000</v>
      </c>
      <c r="O186" s="2380"/>
      <c r="P186" s="2380"/>
      <c r="Q186" s="2380"/>
      <c r="R186" s="2380"/>
      <c r="S186" s="2380"/>
      <c r="T186" s="2380"/>
      <c r="U186" s="2373"/>
      <c r="V186" s="2373"/>
      <c r="W186" s="2373"/>
      <c r="X186" s="2373"/>
      <c r="Y186" s="2373"/>
      <c r="Z186" s="2373"/>
      <c r="AA186" s="2373"/>
      <c r="AB186" s="2373"/>
      <c r="AC186" s="2373"/>
      <c r="AD186" s="2373"/>
      <c r="AE186" s="2374"/>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78" t="s">
        <v>2486</v>
      </c>
      <c r="D187" s="2379"/>
      <c r="E187" s="2379"/>
      <c r="F187" s="2379"/>
      <c r="G187" s="2379"/>
      <c r="H187" s="2379"/>
      <c r="I187" s="2379"/>
      <c r="J187" s="2379"/>
      <c r="K187" s="2379"/>
      <c r="L187" s="2379"/>
      <c r="M187" s="2379"/>
      <c r="N187" s="2380">
        <f>'Sources and Uses Budget'!B8</f>
        <v>1957627</v>
      </c>
      <c r="O187" s="2380"/>
      <c r="P187" s="2380"/>
      <c r="Q187" s="2380"/>
      <c r="R187" s="2380"/>
      <c r="S187" s="2380"/>
      <c r="T187" s="2380"/>
      <c r="U187" s="2373"/>
      <c r="V187" s="2373"/>
      <c r="W187" s="2373"/>
      <c r="X187" s="2373"/>
      <c r="Y187" s="2373"/>
      <c r="Z187" s="2373"/>
      <c r="AA187" s="2373"/>
      <c r="AB187" s="2373"/>
      <c r="AC187" s="2373"/>
      <c r="AD187" s="2373"/>
      <c r="AE187" s="2374"/>
      <c r="AF187" s="1209"/>
      <c r="AG187" s="1209"/>
      <c r="AH187" s="2381" t="s">
        <v>1851</v>
      </c>
      <c r="AI187" s="2382"/>
      <c r="AJ187" s="2382"/>
      <c r="AK187" s="2382"/>
      <c r="AL187" s="2382"/>
      <c r="AM187" s="2382"/>
      <c r="AN187" s="2382"/>
      <c r="AO187" s="2382"/>
      <c r="AP187" s="2382"/>
      <c r="AQ187" s="2382"/>
      <c r="AR187" s="2382"/>
      <c r="AS187" s="2382"/>
      <c r="AT187" s="2382"/>
      <c r="AU187" s="2382"/>
      <c r="AV187" s="2382"/>
      <c r="AW187" s="2382"/>
      <c r="AX187" s="2382"/>
      <c r="AY187" s="2382"/>
      <c r="AZ187" s="2382"/>
      <c r="BA187" s="2382"/>
      <c r="BB187" s="2382"/>
      <c r="BC187" s="2382"/>
      <c r="BD187" s="2382"/>
      <c r="BE187" s="2383"/>
    </row>
    <row r="188" spans="1:57" ht="15.75" customHeight="1">
      <c r="A188" s="1209"/>
      <c r="B188" s="1209"/>
      <c r="C188" s="2378" t="s">
        <v>2487</v>
      </c>
      <c r="D188" s="2379"/>
      <c r="E188" s="2379"/>
      <c r="F188" s="2379"/>
      <c r="G188" s="2379"/>
      <c r="H188" s="2379"/>
      <c r="I188" s="2379"/>
      <c r="J188" s="2379"/>
      <c r="K188" s="2379"/>
      <c r="L188" s="2379"/>
      <c r="M188" s="2379"/>
      <c r="N188" s="2372">
        <v>0</v>
      </c>
      <c r="O188" s="2372"/>
      <c r="P188" s="2372"/>
      <c r="Q188" s="2372"/>
      <c r="R188" s="2372"/>
      <c r="S188" s="2372"/>
      <c r="T188" s="2372"/>
      <c r="U188" s="2373"/>
      <c r="V188" s="2373"/>
      <c r="W188" s="2373"/>
      <c r="X188" s="2373"/>
      <c r="Y188" s="2373"/>
      <c r="Z188" s="2373"/>
      <c r="AA188" s="2373"/>
      <c r="AB188" s="2373"/>
      <c r="AC188" s="2373"/>
      <c r="AD188" s="2373"/>
      <c r="AE188" s="2374"/>
      <c r="AF188" s="1209"/>
      <c r="AG188" s="1209"/>
      <c r="AH188" s="2384" t="s">
        <v>1851</v>
      </c>
      <c r="AI188" s="2384"/>
      <c r="AJ188" s="2384"/>
      <c r="AK188" s="2384"/>
      <c r="AL188" s="2384"/>
      <c r="AM188" s="2384"/>
      <c r="AN188" s="2384"/>
      <c r="AO188" s="2384"/>
      <c r="AP188" s="2384"/>
      <c r="AQ188" s="2384"/>
      <c r="AR188" s="2384"/>
      <c r="AS188" s="2384"/>
      <c r="AT188" s="2384"/>
      <c r="AU188" s="2385">
        <f>Application!AO628</f>
        <v>6366461</v>
      </c>
      <c r="AV188" s="2385"/>
      <c r="AW188" s="2385"/>
      <c r="AX188" s="2385"/>
      <c r="AY188" s="2385"/>
      <c r="AZ188" s="2385"/>
      <c r="BA188" s="2385"/>
      <c r="BB188" s="2385"/>
      <c r="BC188" s="2386"/>
      <c r="BD188" s="2387"/>
      <c r="BE188" s="2388"/>
    </row>
    <row r="189" spans="1:57" ht="15.75" customHeight="1">
      <c r="A189" s="1209"/>
      <c r="B189" s="1209"/>
      <c r="C189" s="2378" t="s">
        <v>2488</v>
      </c>
      <c r="D189" s="2379"/>
      <c r="E189" s="2379"/>
      <c r="F189" s="2379"/>
      <c r="G189" s="2379"/>
      <c r="H189" s="2379"/>
      <c r="I189" s="2379"/>
      <c r="J189" s="2379"/>
      <c r="K189" s="2379"/>
      <c r="L189" s="2379"/>
      <c r="M189" s="2379"/>
      <c r="N189" s="2372">
        <v>0</v>
      </c>
      <c r="O189" s="2372"/>
      <c r="P189" s="2372"/>
      <c r="Q189" s="2372"/>
      <c r="R189" s="2372"/>
      <c r="S189" s="2372"/>
      <c r="T189" s="2372"/>
      <c r="U189" s="2373"/>
      <c r="V189" s="2373"/>
      <c r="W189" s="2373"/>
      <c r="X189" s="2373"/>
      <c r="Y189" s="2373"/>
      <c r="Z189" s="2373"/>
      <c r="AA189" s="2373"/>
      <c r="AB189" s="2373"/>
      <c r="AC189" s="2373"/>
      <c r="AD189" s="2373"/>
      <c r="AE189" s="2374"/>
      <c r="AF189" s="1209"/>
      <c r="AG189" s="1209"/>
      <c r="AH189" s="2389" t="s">
        <v>2599</v>
      </c>
      <c r="AI189" s="2389"/>
      <c r="AJ189" s="2389"/>
      <c r="AK189" s="2389"/>
      <c r="AL189" s="2389"/>
      <c r="AM189" s="2389"/>
      <c r="AN189" s="2389"/>
      <c r="AO189" s="2389"/>
      <c r="AP189" s="2389"/>
      <c r="AQ189" s="2389"/>
      <c r="AR189" s="2389"/>
      <c r="AS189" s="2389"/>
      <c r="AT189" s="2389"/>
      <c r="AU189" s="2377"/>
      <c r="AV189" s="2377"/>
      <c r="AW189" s="2377"/>
      <c r="AX189" s="2377"/>
      <c r="AY189" s="2377"/>
      <c r="AZ189" s="2377"/>
      <c r="BA189" s="2377"/>
      <c r="BB189" s="2377"/>
      <c r="BC189" s="2348"/>
      <c r="BD189" s="2349"/>
      <c r="BE189" s="2350"/>
    </row>
    <row r="190" spans="1:57" ht="15.75" customHeight="1">
      <c r="A190" s="1209"/>
      <c r="B190" s="1209"/>
      <c r="C190" s="2375" t="s">
        <v>301</v>
      </c>
      <c r="D190" s="2376"/>
      <c r="E190" s="2371" t="s">
        <v>1845</v>
      </c>
      <c r="F190" s="2371"/>
      <c r="G190" s="2371"/>
      <c r="H190" s="2371"/>
      <c r="I190" s="2371"/>
      <c r="J190" s="2371"/>
      <c r="K190" s="2371"/>
      <c r="L190" s="2371"/>
      <c r="M190" s="2371"/>
      <c r="N190" s="2372">
        <v>0</v>
      </c>
      <c r="O190" s="2372"/>
      <c r="P190" s="2372"/>
      <c r="Q190" s="2372"/>
      <c r="R190" s="2372"/>
      <c r="S190" s="2372"/>
      <c r="T190" s="2372"/>
      <c r="U190" s="2373"/>
      <c r="V190" s="2373"/>
      <c r="W190" s="2373"/>
      <c r="X190" s="2373"/>
      <c r="Y190" s="2373"/>
      <c r="Z190" s="2373"/>
      <c r="AA190" s="2373"/>
      <c r="AB190" s="2373"/>
      <c r="AC190" s="2373"/>
      <c r="AD190" s="2373"/>
      <c r="AE190" s="2374"/>
      <c r="AF190" s="1209"/>
      <c r="AG190" s="1209"/>
      <c r="AH190" s="2609" t="s">
        <v>2598</v>
      </c>
      <c r="AI190" s="2609"/>
      <c r="AJ190" s="2609"/>
      <c r="AK190" s="2609"/>
      <c r="AL190" s="2609"/>
      <c r="AM190" s="2609"/>
      <c r="AN190" s="2609"/>
      <c r="AO190" s="2609"/>
      <c r="AP190" s="2609"/>
      <c r="AQ190" s="2609"/>
      <c r="AR190" s="2609"/>
      <c r="AS190" s="2609"/>
      <c r="AT190" s="2609"/>
      <c r="AU190" s="2347">
        <f>SUM(AU188:BB189)</f>
        <v>6366461</v>
      </c>
      <c r="AV190" s="2347"/>
      <c r="AW190" s="2347"/>
      <c r="AX190" s="2347"/>
      <c r="AY190" s="2347"/>
      <c r="AZ190" s="2347"/>
      <c r="BA190" s="2347"/>
      <c r="BB190" s="2347"/>
      <c r="BC190" s="2348"/>
      <c r="BD190" s="2349"/>
      <c r="BE190" s="2350"/>
    </row>
    <row r="191" spans="1:57" ht="15.75" customHeight="1" thickBot="1">
      <c r="A191" s="1209"/>
      <c r="B191" s="1209"/>
      <c r="C191" s="2369" t="s">
        <v>301</v>
      </c>
      <c r="D191" s="2370"/>
      <c r="E191" s="2371" t="s">
        <v>1845</v>
      </c>
      <c r="F191" s="2371"/>
      <c r="G191" s="2371"/>
      <c r="H191" s="2371"/>
      <c r="I191" s="2371"/>
      <c r="J191" s="2371"/>
      <c r="K191" s="2371"/>
      <c r="L191" s="2371"/>
      <c r="M191" s="2371"/>
      <c r="N191" s="2372">
        <v>0</v>
      </c>
      <c r="O191" s="2372"/>
      <c r="P191" s="2372"/>
      <c r="Q191" s="2372"/>
      <c r="R191" s="2372"/>
      <c r="S191" s="2372"/>
      <c r="T191" s="2372"/>
      <c r="U191" s="2373"/>
      <c r="V191" s="2373"/>
      <c r="W191" s="2373"/>
      <c r="X191" s="2373"/>
      <c r="Y191" s="2373"/>
      <c r="Z191" s="2373"/>
      <c r="AA191" s="2373"/>
      <c r="AB191" s="2373"/>
      <c r="AC191" s="2373"/>
      <c r="AD191" s="2373"/>
      <c r="AE191" s="2374"/>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51"/>
      <c r="BD191" s="2352"/>
      <c r="BE191" s="2353"/>
    </row>
    <row r="192" spans="1:57" ht="15.75" customHeight="1" thickBot="1">
      <c r="A192" s="1209"/>
      <c r="B192" s="1209"/>
      <c r="C192" s="2358" t="s">
        <v>301</v>
      </c>
      <c r="D192" s="2359"/>
      <c r="E192" s="2360" t="s">
        <v>1845</v>
      </c>
      <c r="F192" s="2360"/>
      <c r="G192" s="2360"/>
      <c r="H192" s="2360"/>
      <c r="I192" s="2360"/>
      <c r="J192" s="2360"/>
      <c r="K192" s="2360"/>
      <c r="L192" s="2360"/>
      <c r="M192" s="2361"/>
      <c r="N192" s="2362">
        <v>0</v>
      </c>
      <c r="O192" s="2362"/>
      <c r="P192" s="2362"/>
      <c r="Q192" s="2362"/>
      <c r="R192" s="2362"/>
      <c r="S192" s="2362"/>
      <c r="T192" s="2363"/>
      <c r="U192" s="2364"/>
      <c r="V192" s="2365"/>
      <c r="W192" s="2365"/>
      <c r="X192" s="2365"/>
      <c r="Y192" s="2365"/>
      <c r="Z192" s="2365"/>
      <c r="AA192" s="2365"/>
      <c r="AB192" s="2365"/>
      <c r="AC192" s="2365"/>
      <c r="AD192" s="2365"/>
      <c r="AE192" s="2366"/>
      <c r="AF192" s="1209"/>
      <c r="AG192" s="1209"/>
      <c r="AH192" s="2332" t="s">
        <v>1852</v>
      </c>
      <c r="AI192" s="2333"/>
      <c r="AJ192" s="2333"/>
      <c r="AK192" s="2333"/>
      <c r="AL192" s="2333"/>
      <c r="AM192" s="2333"/>
      <c r="AN192" s="2333"/>
      <c r="AO192" s="2333"/>
      <c r="AP192" s="2333"/>
      <c r="AQ192" s="2333"/>
      <c r="AR192" s="2333"/>
      <c r="AS192" s="2333"/>
      <c r="AT192" s="2333"/>
      <c r="AU192" s="2342">
        <v>0</v>
      </c>
      <c r="AV192" s="2342"/>
      <c r="AW192" s="2342"/>
      <c r="AX192" s="2342"/>
      <c r="AY192" s="2342"/>
      <c r="AZ192" s="2342"/>
      <c r="BA192" s="2342"/>
      <c r="BB192" s="2342"/>
      <c r="BC192" s="1222"/>
      <c r="BD192" s="1222"/>
      <c r="BE192" s="1221"/>
    </row>
    <row r="193" spans="1:57" ht="15.75" customHeight="1">
      <c r="A193" s="1209"/>
      <c r="B193" s="1209"/>
      <c r="C193" s="2354" t="s">
        <v>1853</v>
      </c>
      <c r="D193" s="2355"/>
      <c r="E193" s="2355"/>
      <c r="F193" s="2355"/>
      <c r="G193" s="2355"/>
      <c r="H193" s="2355"/>
      <c r="I193" s="2355"/>
      <c r="J193" s="2355"/>
      <c r="K193" s="2355"/>
      <c r="L193" s="2355"/>
      <c r="M193" s="2355"/>
      <c r="N193" s="2356">
        <f>SUM(N185:T192)</f>
        <v>10927627</v>
      </c>
      <c r="O193" s="2356"/>
      <c r="P193" s="2356"/>
      <c r="Q193" s="2356"/>
      <c r="R193" s="2356"/>
      <c r="S193" s="2356"/>
      <c r="T193" s="2357"/>
      <c r="U193" s="1209"/>
      <c r="V193" s="1209"/>
      <c r="W193" s="1209"/>
      <c r="X193" s="1209"/>
      <c r="Y193" s="1209"/>
      <c r="Z193" s="1209"/>
      <c r="AA193" s="1209"/>
      <c r="AB193" s="1209"/>
      <c r="AC193" s="1209"/>
      <c r="AD193" s="1209"/>
      <c r="AE193" s="1209"/>
      <c r="AF193" s="1209"/>
      <c r="AG193" s="1209"/>
      <c r="AH193" s="2367" t="s">
        <v>2597</v>
      </c>
      <c r="AI193" s="2367"/>
      <c r="AJ193" s="2367"/>
      <c r="AK193" s="2367"/>
      <c r="AL193" s="2367"/>
      <c r="AM193" s="2367"/>
      <c r="AN193" s="2367"/>
      <c r="AO193" s="2367"/>
      <c r="AP193" s="2367"/>
      <c r="AQ193" s="2367"/>
      <c r="AR193" s="2367"/>
      <c r="AS193" s="2367"/>
      <c r="AT193" s="2367"/>
      <c r="AU193" s="2367"/>
      <c r="AV193" s="2367"/>
      <c r="AW193" s="2367"/>
      <c r="AX193" s="2367"/>
      <c r="AY193" s="2367"/>
      <c r="AZ193" s="2367"/>
      <c r="BA193" s="2367"/>
      <c r="BB193" s="2367"/>
      <c r="BC193" s="2367"/>
      <c r="BD193" s="2367"/>
      <c r="BE193" s="2368"/>
    </row>
    <row r="194" spans="1:57" ht="15.75" customHeight="1" thickBot="1">
      <c r="A194" s="1209"/>
      <c r="B194" s="1209"/>
      <c r="C194" s="2334" t="s">
        <v>2489</v>
      </c>
      <c r="D194" s="2335"/>
      <c r="E194" s="2335"/>
      <c r="F194" s="2335"/>
      <c r="G194" s="2335"/>
      <c r="H194" s="2335"/>
      <c r="I194" s="2335"/>
      <c r="J194" s="2335"/>
      <c r="K194" s="2335"/>
      <c r="L194" s="2335"/>
      <c r="M194" s="2335"/>
      <c r="N194" s="2336">
        <f>(N183-N193)/J29</f>
        <v>452428.16546762589</v>
      </c>
      <c r="O194" s="2337"/>
      <c r="P194" s="2337"/>
      <c r="Q194" s="2337"/>
      <c r="R194" s="2337"/>
      <c r="S194" s="2337"/>
      <c r="T194" s="2338"/>
      <c r="U194" s="1220"/>
      <c r="V194" s="1209"/>
      <c r="W194" s="1209"/>
      <c r="X194" s="1209"/>
      <c r="Y194" s="1209"/>
      <c r="Z194" s="1209"/>
      <c r="AA194" s="1209"/>
      <c r="AB194" s="1209"/>
      <c r="AC194" s="1209"/>
      <c r="AD194" s="1209"/>
      <c r="AE194" s="1209"/>
      <c r="AF194" s="1209"/>
      <c r="AG194" s="1209"/>
      <c r="AH194" s="2367"/>
      <c r="AI194" s="2367"/>
      <c r="AJ194" s="2367"/>
      <c r="AK194" s="2367"/>
      <c r="AL194" s="2367"/>
      <c r="AM194" s="2367"/>
      <c r="AN194" s="2367"/>
      <c r="AO194" s="2367"/>
      <c r="AP194" s="2367"/>
      <c r="AQ194" s="2367"/>
      <c r="AR194" s="2367"/>
      <c r="AS194" s="2367"/>
      <c r="AT194" s="2367"/>
      <c r="AU194" s="2367"/>
      <c r="AV194" s="2367"/>
      <c r="AW194" s="2367"/>
      <c r="AX194" s="2367"/>
      <c r="AY194" s="2367"/>
      <c r="AZ194" s="2367"/>
      <c r="BA194" s="2367"/>
      <c r="BB194" s="2367"/>
      <c r="BC194" s="2367"/>
      <c r="BD194" s="2367"/>
      <c r="BE194" s="2368"/>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39"/>
      <c r="AI195" s="2339"/>
      <c r="AJ195" s="2339"/>
      <c r="AK195" s="2339"/>
      <c r="AL195" s="2339"/>
      <c r="AM195" s="2339"/>
      <c r="AN195" s="2339"/>
      <c r="AO195" s="2339"/>
      <c r="AP195" s="2339"/>
      <c r="AQ195" s="2339"/>
      <c r="AR195" s="2339"/>
      <c r="AS195" s="2343"/>
      <c r="AT195" s="2343"/>
      <c r="AU195" s="2343"/>
      <c r="AV195" s="2343"/>
      <c r="AW195" s="2343"/>
      <c r="AX195" s="2343"/>
      <c r="AY195" s="2343"/>
      <c r="AZ195" s="2343"/>
      <c r="BA195" s="2343"/>
      <c r="BB195" s="2343"/>
      <c r="BC195" s="2343"/>
      <c r="BD195" s="2343"/>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44" t="s">
        <v>2596</v>
      </c>
      <c r="D197" s="2345"/>
      <c r="E197" s="2345"/>
      <c r="F197" s="2345"/>
      <c r="G197" s="2345"/>
      <c r="H197" s="2345"/>
      <c r="I197" s="2345"/>
      <c r="J197" s="2345"/>
      <c r="K197" s="2345"/>
      <c r="L197" s="2345"/>
      <c r="M197" s="2345"/>
      <c r="N197" s="2345"/>
      <c r="O197" s="2345"/>
      <c r="P197" s="2345"/>
      <c r="Q197" s="2345"/>
      <c r="R197" s="2345"/>
      <c r="S197" s="2345"/>
      <c r="T197" s="2345"/>
      <c r="U197" s="2345"/>
      <c r="V197" s="2345"/>
      <c r="W197" s="2345"/>
      <c r="X197" s="2345"/>
      <c r="Y197" s="2345"/>
      <c r="Z197" s="2345"/>
      <c r="AA197" s="2345"/>
      <c r="AB197" s="2345"/>
      <c r="AC197" s="2345"/>
      <c r="AD197" s="2345"/>
      <c r="AE197" s="2346"/>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612" t="s">
        <v>2595</v>
      </c>
      <c r="D198" s="2612"/>
      <c r="E198" s="2612"/>
      <c r="F198" s="2612"/>
      <c r="G198" s="2612"/>
      <c r="H198" s="2612"/>
      <c r="I198" s="2612"/>
      <c r="J198" s="2612"/>
      <c r="K198" s="2612"/>
      <c r="L198" s="2612"/>
      <c r="M198" s="2612"/>
      <c r="N198" s="2612"/>
      <c r="O198" s="2613" t="s">
        <v>2594</v>
      </c>
      <c r="P198" s="2613"/>
      <c r="Q198" s="2613"/>
      <c r="R198" s="2613"/>
      <c r="S198" s="2613"/>
      <c r="T198" s="2613"/>
      <c r="U198" s="2613"/>
      <c r="V198" s="2613"/>
      <c r="W198" s="2613"/>
      <c r="X198" s="2613" t="s">
        <v>2593</v>
      </c>
      <c r="Y198" s="2613"/>
      <c r="Z198" s="2613"/>
      <c r="AA198" s="2613"/>
      <c r="AB198" s="2613"/>
      <c r="AC198" s="2613"/>
      <c r="AD198" s="2613"/>
      <c r="AE198" s="2613"/>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610" t="s">
        <v>2592</v>
      </c>
      <c r="D199" s="2610"/>
      <c r="E199" s="2610"/>
      <c r="F199" s="2610"/>
      <c r="G199" s="2610"/>
      <c r="H199" s="2610"/>
      <c r="I199" s="2610"/>
      <c r="J199" s="2610"/>
      <c r="K199" s="2610"/>
      <c r="L199" s="2610"/>
      <c r="M199" s="2610"/>
      <c r="N199" s="2610"/>
      <c r="O199" s="2340" t="s">
        <v>2591</v>
      </c>
      <c r="P199" s="2340"/>
      <c r="Q199" s="2340"/>
      <c r="R199" s="2340"/>
      <c r="S199" s="2340"/>
      <c r="T199" s="2340"/>
      <c r="U199" s="2340"/>
      <c r="V199" s="2340"/>
      <c r="W199" s="2340"/>
      <c r="X199" s="2341">
        <v>0.03</v>
      </c>
      <c r="Y199" s="2341"/>
      <c r="Z199" s="2341"/>
      <c r="AA199" s="2341"/>
      <c r="AB199" s="2341"/>
      <c r="AC199" s="2341"/>
      <c r="AD199" s="2341"/>
      <c r="AE199" s="2341"/>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610" t="s">
        <v>865</v>
      </c>
      <c r="D200" s="2610"/>
      <c r="E200" s="2610"/>
      <c r="F200" s="2610"/>
      <c r="G200" s="2610"/>
      <c r="H200" s="2610"/>
      <c r="I200" s="2610"/>
      <c r="J200" s="2610"/>
      <c r="K200" s="2610"/>
      <c r="L200" s="2610"/>
      <c r="M200" s="2610"/>
      <c r="N200" s="2610"/>
      <c r="O200" s="2340" t="s">
        <v>2591</v>
      </c>
      <c r="P200" s="2340"/>
      <c r="Q200" s="2340"/>
      <c r="R200" s="2340"/>
      <c r="S200" s="2340"/>
      <c r="T200" s="2340"/>
      <c r="U200" s="2340"/>
      <c r="V200" s="2340"/>
      <c r="W200" s="2340"/>
      <c r="X200" s="2341">
        <v>0.03</v>
      </c>
      <c r="Y200" s="2341"/>
      <c r="Z200" s="2341"/>
      <c r="AA200" s="2341"/>
      <c r="AB200" s="2341"/>
      <c r="AC200" s="2341"/>
      <c r="AD200" s="2341"/>
      <c r="AE200" s="2341"/>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610" t="s">
        <v>2590</v>
      </c>
      <c r="D201" s="2610"/>
      <c r="E201" s="2610"/>
      <c r="F201" s="2610"/>
      <c r="G201" s="2610"/>
      <c r="H201" s="2610"/>
      <c r="I201" s="2610"/>
      <c r="J201" s="2610"/>
      <c r="K201" s="2610"/>
      <c r="L201" s="2610"/>
      <c r="M201" s="2610"/>
      <c r="N201" s="2610"/>
      <c r="O201" s="2614">
        <f>SUM(O199:W200)</f>
        <v>0</v>
      </c>
      <c r="P201" s="2615"/>
      <c r="Q201" s="2615"/>
      <c r="R201" s="2615"/>
      <c r="S201" s="2615"/>
      <c r="T201" s="2615"/>
      <c r="U201" s="2615"/>
      <c r="V201" s="2615"/>
      <c r="W201" s="2615"/>
      <c r="X201" s="2615" t="s">
        <v>2589</v>
      </c>
      <c r="Y201" s="2615"/>
      <c r="Z201" s="2615"/>
      <c r="AA201" s="2615"/>
      <c r="AB201" s="2615"/>
      <c r="AC201" s="2615"/>
      <c r="AD201" s="2615"/>
      <c r="AE201" s="2615"/>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611" t="s">
        <v>2588</v>
      </c>
      <c r="D202" s="2611"/>
      <c r="E202" s="2611"/>
      <c r="F202" s="2611"/>
      <c r="G202" s="2611"/>
      <c r="H202" s="2611"/>
      <c r="I202" s="2611"/>
      <c r="J202" s="2611"/>
      <c r="K202" s="2611"/>
      <c r="L202" s="2611"/>
      <c r="M202" s="2611"/>
      <c r="N202" s="2611"/>
      <c r="O202" s="2611"/>
      <c r="P202" s="2611"/>
      <c r="Q202" s="2611"/>
      <c r="R202" s="2611"/>
      <c r="S202" s="2611"/>
      <c r="T202" s="2611"/>
      <c r="U202" s="2611"/>
      <c r="V202" s="2611"/>
      <c r="W202" s="2611"/>
      <c r="X202" s="2611"/>
      <c r="Y202" s="2611"/>
      <c r="Z202" s="2611"/>
      <c r="AA202" s="2611"/>
      <c r="AB202" s="2611"/>
      <c r="AC202" s="2611"/>
      <c r="AD202" s="2611"/>
      <c r="AE202" s="2611"/>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19" t="s">
        <v>2587</v>
      </c>
      <c r="D204" s="2320"/>
      <c r="E204" s="2320"/>
      <c r="F204" s="2320"/>
      <c r="G204" s="2320"/>
      <c r="H204" s="2320"/>
      <c r="I204" s="2320"/>
      <c r="J204" s="2320"/>
      <c r="K204" s="2320"/>
      <c r="L204" s="2320"/>
      <c r="M204" s="2320"/>
      <c r="N204" s="2320"/>
      <c r="O204" s="2320"/>
      <c r="P204" s="2320"/>
      <c r="Q204" s="2320"/>
      <c r="R204" s="2320"/>
      <c r="S204" s="2320"/>
      <c r="T204" s="2320"/>
      <c r="U204" s="2320"/>
      <c r="V204" s="2320"/>
      <c r="W204" s="2320"/>
      <c r="X204" s="2320"/>
      <c r="Y204" s="2320"/>
      <c r="Z204" s="2320"/>
      <c r="AA204" s="2320"/>
      <c r="AB204" s="2320"/>
      <c r="AC204" s="2320"/>
      <c r="AD204" s="2320"/>
      <c r="AE204" s="2320"/>
      <c r="AF204" s="2320"/>
      <c r="AG204" s="2320"/>
      <c r="AH204" s="2320"/>
      <c r="AI204" s="2320"/>
      <c r="AJ204" s="2320"/>
      <c r="AK204" s="2321"/>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22" t="s">
        <v>2586</v>
      </c>
      <c r="D205" s="2278"/>
      <c r="E205" s="2278"/>
      <c r="F205" s="2323"/>
      <c r="G205" s="2277" t="s">
        <v>2585</v>
      </c>
      <c r="H205" s="2278"/>
      <c r="I205" s="2278"/>
      <c r="J205" s="2278"/>
      <c r="K205" s="2278"/>
      <c r="L205" s="2278"/>
      <c r="M205" s="2278"/>
      <c r="N205" s="2278"/>
      <c r="O205" s="2323"/>
      <c r="P205" s="2326" t="s">
        <v>2584</v>
      </c>
      <c r="Q205" s="2327"/>
      <c r="R205" s="2327"/>
      <c r="S205" s="2327"/>
      <c r="T205" s="2328"/>
      <c r="U205" s="2271" t="s">
        <v>2583</v>
      </c>
      <c r="V205" s="2272"/>
      <c r="W205" s="2272"/>
      <c r="X205" s="2273"/>
      <c r="Y205" s="2271" t="s">
        <v>2582</v>
      </c>
      <c r="Z205" s="2272"/>
      <c r="AA205" s="2272"/>
      <c r="AB205" s="2273"/>
      <c r="AC205" s="2271" t="s">
        <v>2581</v>
      </c>
      <c r="AD205" s="2272"/>
      <c r="AE205" s="2272"/>
      <c r="AF205" s="2273"/>
      <c r="AG205" s="2277" t="s">
        <v>2580</v>
      </c>
      <c r="AH205" s="2278"/>
      <c r="AI205" s="2278"/>
      <c r="AJ205" s="2278"/>
      <c r="AK205" s="2279"/>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24"/>
      <c r="D206" s="2281"/>
      <c r="E206" s="2281"/>
      <c r="F206" s="2325"/>
      <c r="G206" s="2280"/>
      <c r="H206" s="2281"/>
      <c r="I206" s="2281"/>
      <c r="J206" s="2281"/>
      <c r="K206" s="2281"/>
      <c r="L206" s="2281"/>
      <c r="M206" s="2281"/>
      <c r="N206" s="2281"/>
      <c r="O206" s="2325"/>
      <c r="P206" s="2329"/>
      <c r="Q206" s="2330"/>
      <c r="R206" s="2330"/>
      <c r="S206" s="2330"/>
      <c r="T206" s="2331"/>
      <c r="U206" s="2274"/>
      <c r="V206" s="2275"/>
      <c r="W206" s="2275"/>
      <c r="X206" s="2276"/>
      <c r="Y206" s="2274"/>
      <c r="Z206" s="2275"/>
      <c r="AA206" s="2275"/>
      <c r="AB206" s="2276"/>
      <c r="AC206" s="2274"/>
      <c r="AD206" s="2275"/>
      <c r="AE206" s="2275"/>
      <c r="AF206" s="2276"/>
      <c r="AG206" s="2280"/>
      <c r="AH206" s="2281"/>
      <c r="AI206" s="2281"/>
      <c r="AJ206" s="2281"/>
      <c r="AK206" s="228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83">
        <v>1</v>
      </c>
      <c r="D207" s="2284"/>
      <c r="E207" s="2284"/>
      <c r="F207" s="2284"/>
      <c r="G207" s="2285"/>
      <c r="H207" s="2285"/>
      <c r="I207" s="2285"/>
      <c r="J207" s="2285"/>
      <c r="K207" s="2285"/>
      <c r="L207" s="2285"/>
      <c r="M207" s="2285"/>
      <c r="N207" s="2285"/>
      <c r="O207" s="2285"/>
      <c r="P207" s="2286"/>
      <c r="Q207" s="2287"/>
      <c r="R207" s="2287"/>
      <c r="S207" s="2287"/>
      <c r="T207" s="2287"/>
      <c r="U207" s="2288"/>
      <c r="V207" s="2288"/>
      <c r="W207" s="2288"/>
      <c r="X207" s="2288"/>
      <c r="Y207" s="2288" t="s">
        <v>2154</v>
      </c>
      <c r="Z207" s="2288"/>
      <c r="AA207" s="2288"/>
      <c r="AB207" s="2288"/>
      <c r="AC207" s="2289" t="s">
        <v>2154</v>
      </c>
      <c r="AD207" s="2289"/>
      <c r="AE207" s="2289"/>
      <c r="AF207" s="2289"/>
      <c r="AG207" s="2268"/>
      <c r="AH207" s="2269"/>
      <c r="AI207" s="2269"/>
      <c r="AJ207" s="2269"/>
      <c r="AK207" s="2270"/>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83">
        <v>2</v>
      </c>
      <c r="D208" s="2284"/>
      <c r="E208" s="2284"/>
      <c r="F208" s="2284"/>
      <c r="G208" s="2285"/>
      <c r="H208" s="2285"/>
      <c r="I208" s="2285"/>
      <c r="J208" s="2285"/>
      <c r="K208" s="2285"/>
      <c r="L208" s="2285"/>
      <c r="M208" s="2285"/>
      <c r="N208" s="2285"/>
      <c r="O208" s="2285"/>
      <c r="P208" s="2286"/>
      <c r="Q208" s="2290"/>
      <c r="R208" s="2290"/>
      <c r="S208" s="2290"/>
      <c r="T208" s="2290"/>
      <c r="U208" s="2288"/>
      <c r="V208" s="2288"/>
      <c r="W208" s="2288"/>
      <c r="X208" s="2288"/>
      <c r="Y208" s="2288"/>
      <c r="Z208" s="2288"/>
      <c r="AA208" s="2288"/>
      <c r="AB208" s="2288"/>
      <c r="AC208" s="2289" t="s">
        <v>2154</v>
      </c>
      <c r="AD208" s="2289"/>
      <c r="AE208" s="2289"/>
      <c r="AF208" s="2289"/>
      <c r="AG208" s="2268"/>
      <c r="AH208" s="2269"/>
      <c r="AI208" s="2269"/>
      <c r="AJ208" s="2269"/>
      <c r="AK208" s="2270"/>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83">
        <v>3</v>
      </c>
      <c r="D209" s="2284"/>
      <c r="E209" s="2284"/>
      <c r="F209" s="2284"/>
      <c r="G209" s="2285"/>
      <c r="H209" s="2285"/>
      <c r="I209" s="2285"/>
      <c r="J209" s="2285"/>
      <c r="K209" s="2285"/>
      <c r="L209" s="2285"/>
      <c r="M209" s="2285"/>
      <c r="N209" s="2285"/>
      <c r="O209" s="2285"/>
      <c r="P209" s="2286"/>
      <c r="Q209" s="2290"/>
      <c r="R209" s="2290"/>
      <c r="S209" s="2290"/>
      <c r="T209" s="2290"/>
      <c r="U209" s="2288"/>
      <c r="V209" s="2288"/>
      <c r="W209" s="2288"/>
      <c r="X209" s="2288"/>
      <c r="Y209" s="2288" t="s">
        <v>2154</v>
      </c>
      <c r="Z209" s="2288"/>
      <c r="AA209" s="2288"/>
      <c r="AB209" s="2288"/>
      <c r="AC209" s="2289" t="s">
        <v>2154</v>
      </c>
      <c r="AD209" s="2289"/>
      <c r="AE209" s="2289"/>
      <c r="AF209" s="2289"/>
      <c r="AG209" s="2268"/>
      <c r="AH209" s="2269"/>
      <c r="AI209" s="2269"/>
      <c r="AJ209" s="2269"/>
      <c r="AK209" s="2270"/>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83">
        <v>4</v>
      </c>
      <c r="D210" s="2284"/>
      <c r="E210" s="2284"/>
      <c r="F210" s="2284"/>
      <c r="G210" s="2285" t="s">
        <v>2154</v>
      </c>
      <c r="H210" s="2285"/>
      <c r="I210" s="2285"/>
      <c r="J210" s="2285"/>
      <c r="K210" s="2285"/>
      <c r="L210" s="2285"/>
      <c r="M210" s="2285"/>
      <c r="N210" s="2285"/>
      <c r="O210" s="2285"/>
      <c r="P210" s="2290"/>
      <c r="Q210" s="2290"/>
      <c r="R210" s="2290"/>
      <c r="S210" s="2290"/>
      <c r="T210" s="2290"/>
      <c r="U210" s="2288" t="s">
        <v>2154</v>
      </c>
      <c r="V210" s="2288"/>
      <c r="W210" s="2288"/>
      <c r="X210" s="2288"/>
      <c r="Y210" s="2288" t="s">
        <v>2154</v>
      </c>
      <c r="Z210" s="2288"/>
      <c r="AA210" s="2288"/>
      <c r="AB210" s="2288"/>
      <c r="AC210" s="2289" t="s">
        <v>2154</v>
      </c>
      <c r="AD210" s="2289"/>
      <c r="AE210" s="2289"/>
      <c r="AF210" s="2289"/>
      <c r="AG210" s="2268"/>
      <c r="AH210" s="2269"/>
      <c r="AI210" s="2269"/>
      <c r="AJ210" s="2269"/>
      <c r="AK210" s="2270"/>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83">
        <v>5</v>
      </c>
      <c r="D211" s="2284"/>
      <c r="E211" s="2284"/>
      <c r="F211" s="2284"/>
      <c r="G211" s="2285"/>
      <c r="H211" s="2285"/>
      <c r="I211" s="2285"/>
      <c r="J211" s="2285"/>
      <c r="K211" s="2285"/>
      <c r="L211" s="2285"/>
      <c r="M211" s="2285"/>
      <c r="N211" s="2285"/>
      <c r="O211" s="2285"/>
      <c r="P211" s="2290"/>
      <c r="Q211" s="2290"/>
      <c r="R211" s="2290"/>
      <c r="S211" s="2290"/>
      <c r="T211" s="2290"/>
      <c r="U211" s="2288" t="s">
        <v>2154</v>
      </c>
      <c r="V211" s="2288"/>
      <c r="W211" s="2288"/>
      <c r="X211" s="2288"/>
      <c r="Y211" s="2288" t="s">
        <v>2154</v>
      </c>
      <c r="Z211" s="2288"/>
      <c r="AA211" s="2288"/>
      <c r="AB211" s="2288"/>
      <c r="AC211" s="2289" t="s">
        <v>2154</v>
      </c>
      <c r="AD211" s="2289"/>
      <c r="AE211" s="2289"/>
      <c r="AF211" s="2289"/>
      <c r="AG211" s="2268"/>
      <c r="AH211" s="2269"/>
      <c r="AI211" s="2269"/>
      <c r="AJ211" s="2269"/>
      <c r="AK211" s="2270"/>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83">
        <v>6</v>
      </c>
      <c r="D212" s="2284"/>
      <c r="E212" s="2284"/>
      <c r="F212" s="2284"/>
      <c r="G212" s="2285" t="s">
        <v>2154</v>
      </c>
      <c r="H212" s="2285"/>
      <c r="I212" s="2285"/>
      <c r="J212" s="2285"/>
      <c r="K212" s="2285"/>
      <c r="L212" s="2285"/>
      <c r="M212" s="2285"/>
      <c r="N212" s="2285"/>
      <c r="O212" s="2285"/>
      <c r="P212" s="2290"/>
      <c r="Q212" s="2290"/>
      <c r="R212" s="2290"/>
      <c r="S212" s="2290"/>
      <c r="T212" s="2290"/>
      <c r="U212" s="2288"/>
      <c r="V212" s="2288"/>
      <c r="W212" s="2288"/>
      <c r="X212" s="2288"/>
      <c r="Y212" s="2288"/>
      <c r="Z212" s="2288"/>
      <c r="AA212" s="2288"/>
      <c r="AB212" s="2288"/>
      <c r="AC212" s="2289" t="s">
        <v>2154</v>
      </c>
      <c r="AD212" s="2289"/>
      <c r="AE212" s="2289"/>
      <c r="AF212" s="2289"/>
      <c r="AG212" s="2268"/>
      <c r="AH212" s="2269"/>
      <c r="AI212" s="2269"/>
      <c r="AJ212" s="2269"/>
      <c r="AK212" s="2270"/>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83">
        <v>7</v>
      </c>
      <c r="D213" s="2284"/>
      <c r="E213" s="2284"/>
      <c r="F213" s="2284"/>
      <c r="G213" s="2623"/>
      <c r="H213" s="2624"/>
      <c r="I213" s="2624"/>
      <c r="J213" s="2624"/>
      <c r="K213" s="2624"/>
      <c r="L213" s="2624"/>
      <c r="M213" s="2624"/>
      <c r="N213" s="2624"/>
      <c r="O213" s="2625"/>
      <c r="P213" s="2290"/>
      <c r="Q213" s="2290"/>
      <c r="R213" s="2290"/>
      <c r="S213" s="2290"/>
      <c r="T213" s="2290"/>
      <c r="U213" s="2288"/>
      <c r="V213" s="2288"/>
      <c r="W213" s="2288"/>
      <c r="X213" s="2288"/>
      <c r="Y213" s="2288"/>
      <c r="Z213" s="2288"/>
      <c r="AA213" s="2288"/>
      <c r="AB213" s="2288"/>
      <c r="AC213" s="2289" t="s">
        <v>2154</v>
      </c>
      <c r="AD213" s="2289"/>
      <c r="AE213" s="2289"/>
      <c r="AF213" s="2289"/>
      <c r="AG213" s="2268"/>
      <c r="AH213" s="2269"/>
      <c r="AI213" s="2269"/>
      <c r="AJ213" s="2269"/>
      <c r="AK213" s="2270"/>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26" t="s">
        <v>2579</v>
      </c>
      <c r="D214" s="2627"/>
      <c r="E214" s="2627"/>
      <c r="F214" s="2627"/>
      <c r="G214" s="2627"/>
      <c r="H214" s="2627"/>
      <c r="I214" s="2627"/>
      <c r="J214" s="2627"/>
      <c r="K214" s="2627"/>
      <c r="L214" s="2627"/>
      <c r="M214" s="2627"/>
      <c r="N214" s="2627"/>
      <c r="O214" s="2627"/>
      <c r="P214" s="2628"/>
      <c r="Q214" s="2628"/>
      <c r="R214" s="2628"/>
      <c r="S214" s="2628"/>
      <c r="T214" s="2628"/>
      <c r="U214" s="2629">
        <v>0</v>
      </c>
      <c r="V214" s="2629"/>
      <c r="W214" s="2629"/>
      <c r="X214" s="2629"/>
      <c r="Y214" s="2629">
        <v>0</v>
      </c>
      <c r="Z214" s="2629"/>
      <c r="AA214" s="2629"/>
      <c r="AB214" s="2629"/>
      <c r="AC214" s="2630">
        <v>0</v>
      </c>
      <c r="AD214" s="2630"/>
      <c r="AE214" s="2630"/>
      <c r="AF214" s="2630"/>
      <c r="AG214" s="2265"/>
      <c r="AH214" s="2266"/>
      <c r="AI214" s="2266"/>
      <c r="AJ214" s="2266"/>
      <c r="AK214" s="2267"/>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2578</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94" t="s">
        <v>1854</v>
      </c>
      <c r="C219" s="2295"/>
      <c r="D219" s="2295"/>
      <c r="E219" s="2295"/>
      <c r="F219" s="2295"/>
      <c r="G219" s="2295"/>
      <c r="H219" s="2295"/>
      <c r="I219" s="2295"/>
      <c r="J219" s="2295"/>
      <c r="K219" s="2295"/>
      <c r="L219" s="2295"/>
      <c r="M219" s="2295"/>
      <c r="N219" s="2295"/>
      <c r="O219" s="2295"/>
      <c r="P219" s="2295"/>
      <c r="Q219" s="2295"/>
      <c r="R219" s="2295"/>
      <c r="S219" s="2295"/>
      <c r="T219" s="2295"/>
      <c r="U219" s="2295"/>
      <c r="V219" s="2295"/>
      <c r="W219" s="2295"/>
      <c r="X219" s="2295"/>
      <c r="Y219" s="2295"/>
      <c r="Z219" s="2295"/>
      <c r="AA219" s="2295"/>
      <c r="AB219" s="2295"/>
      <c r="AC219" s="2295"/>
      <c r="AD219" s="2295"/>
      <c r="AE219" s="2295"/>
      <c r="AF219" s="2295"/>
      <c r="AG219" s="2295"/>
      <c r="AH219" s="2295"/>
      <c r="AI219" s="2295"/>
      <c r="AJ219" s="2295"/>
      <c r="AK219" s="2295"/>
      <c r="AL219" s="2295"/>
      <c r="AM219" s="2295"/>
      <c r="AN219" s="2295"/>
      <c r="AO219" s="2295"/>
      <c r="AP219" s="2295"/>
      <c r="AQ219" s="2295"/>
      <c r="AR219" s="2295"/>
      <c r="AS219" s="2295"/>
      <c r="AT219" s="2295"/>
      <c r="AU219" s="2295"/>
      <c r="AV219" s="2295"/>
      <c r="AW219" s="2295"/>
      <c r="AX219" s="2295"/>
      <c r="AY219" s="2295"/>
      <c r="AZ219" s="2295"/>
      <c r="BA219" s="2295"/>
      <c r="BB219" s="2295"/>
      <c r="BC219" s="2295"/>
      <c r="BD219" s="2296"/>
      <c r="BE219" s="1205"/>
    </row>
    <row r="220" spans="1:57" ht="15.75" customHeight="1">
      <c r="A220" s="1209"/>
      <c r="B220" s="2297"/>
      <c r="C220" s="2298"/>
      <c r="D220" s="2298"/>
      <c r="E220" s="2298"/>
      <c r="F220" s="2298"/>
      <c r="G220" s="2298"/>
      <c r="H220" s="2298"/>
      <c r="I220" s="2298"/>
      <c r="J220" s="2298"/>
      <c r="K220" s="2298"/>
      <c r="L220" s="2298"/>
      <c r="M220" s="2298"/>
      <c r="N220" s="2298"/>
      <c r="O220" s="2298"/>
      <c r="P220" s="2298"/>
      <c r="Q220" s="2298"/>
      <c r="R220" s="2298"/>
      <c r="S220" s="2298"/>
      <c r="T220" s="2298"/>
      <c r="U220" s="2298"/>
      <c r="V220" s="2298"/>
      <c r="W220" s="2298"/>
      <c r="X220" s="2298"/>
      <c r="Y220" s="2298"/>
      <c r="Z220" s="2298"/>
      <c r="AA220" s="2298"/>
      <c r="AB220" s="2298"/>
      <c r="AC220" s="2298"/>
      <c r="AD220" s="2298"/>
      <c r="AE220" s="2298"/>
      <c r="AF220" s="2298"/>
      <c r="AG220" s="2298"/>
      <c r="AH220" s="2298"/>
      <c r="AI220" s="2298"/>
      <c r="AJ220" s="2298"/>
      <c r="AK220" s="2298"/>
      <c r="AL220" s="2298"/>
      <c r="AM220" s="2298"/>
      <c r="AN220" s="2298"/>
      <c r="AO220" s="2298"/>
      <c r="AP220" s="2298"/>
      <c r="AQ220" s="2298"/>
      <c r="AR220" s="2298"/>
      <c r="AS220" s="2298"/>
      <c r="AT220" s="2298"/>
      <c r="AU220" s="2298"/>
      <c r="AV220" s="2298"/>
      <c r="AW220" s="2298"/>
      <c r="AX220" s="2298"/>
      <c r="AY220" s="2298"/>
      <c r="AZ220" s="2298"/>
      <c r="BA220" s="2298"/>
      <c r="BB220" s="2298"/>
      <c r="BC220" s="2298"/>
      <c r="BD220" s="2299"/>
      <c r="BE220" s="1205"/>
    </row>
    <row r="221" spans="1:57" ht="15.75" customHeight="1">
      <c r="A221" s="1209"/>
      <c r="B221" s="2300" t="s">
        <v>1855</v>
      </c>
      <c r="C221" s="2301"/>
      <c r="D221" s="2301"/>
      <c r="E221" s="2301"/>
      <c r="F221" s="2301"/>
      <c r="G221" s="2301"/>
      <c r="H221" s="2301"/>
      <c r="I221" s="2301"/>
      <c r="J221" s="2301"/>
      <c r="K221" s="2301"/>
      <c r="L221" s="2301"/>
      <c r="M221" s="2301"/>
      <c r="N221" s="2301"/>
      <c r="O221" s="2301"/>
      <c r="P221" s="2301"/>
      <c r="Q221" s="2301"/>
      <c r="R221" s="2301"/>
      <c r="S221" s="2301"/>
      <c r="T221" s="2301"/>
      <c r="U221" s="2301"/>
      <c r="V221" s="2301"/>
      <c r="W221" s="2301"/>
      <c r="X221" s="2301"/>
      <c r="Y221" s="2301"/>
      <c r="Z221" s="2301"/>
      <c r="AA221" s="2301"/>
      <c r="AB221" s="2301"/>
      <c r="AC221" s="2301"/>
      <c r="AD221" s="2301"/>
      <c r="AE221" s="2301"/>
      <c r="AF221" s="2301"/>
      <c r="AG221" s="2301"/>
      <c r="AH221" s="2301"/>
      <c r="AI221" s="2301"/>
      <c r="AJ221" s="2301"/>
      <c r="AK221" s="2301"/>
      <c r="AL221" s="2301"/>
      <c r="AM221" s="2301"/>
      <c r="AN221" s="2301"/>
      <c r="AO221" s="2301"/>
      <c r="AP221" s="2301"/>
      <c r="AQ221" s="2301"/>
      <c r="AR221" s="2301"/>
      <c r="AS221" s="2301"/>
      <c r="AT221" s="2301"/>
      <c r="AU221" s="2301"/>
      <c r="AV221" s="2301"/>
      <c r="AW221" s="2301"/>
      <c r="AX221" s="2301"/>
      <c r="AY221" s="2301"/>
      <c r="AZ221" s="2301"/>
      <c r="BA221" s="2301"/>
      <c r="BB221" s="2301"/>
      <c r="BC221" s="2301"/>
      <c r="BD221" s="2302"/>
      <c r="BE221" s="1205"/>
    </row>
    <row r="222" spans="1:57" ht="15.75" customHeight="1">
      <c r="A222" s="1209"/>
      <c r="B222" s="2300" t="s">
        <v>1856</v>
      </c>
      <c r="C222" s="2301"/>
      <c r="D222" s="2301"/>
      <c r="E222" s="2301"/>
      <c r="F222" s="2301"/>
      <c r="G222" s="2301"/>
      <c r="H222" s="2301"/>
      <c r="I222" s="2301"/>
      <c r="J222" s="2301"/>
      <c r="K222" s="2301"/>
      <c r="L222" s="2301"/>
      <c r="M222" s="2301"/>
      <c r="N222" s="2301"/>
      <c r="O222" s="2301"/>
      <c r="P222" s="2301"/>
      <c r="Q222" s="2301"/>
      <c r="R222" s="2301"/>
      <c r="S222" s="2301"/>
      <c r="T222" s="2301"/>
      <c r="U222" s="2301"/>
      <c r="V222" s="2301"/>
      <c r="W222" s="2301"/>
      <c r="X222" s="2301"/>
      <c r="Y222" s="2301"/>
      <c r="Z222" s="2301"/>
      <c r="AA222" s="2301"/>
      <c r="AB222" s="2301"/>
      <c r="AC222" s="2301"/>
      <c r="AD222" s="2301"/>
      <c r="AE222" s="2301"/>
      <c r="AF222" s="2301"/>
      <c r="AG222" s="2301"/>
      <c r="AH222" s="2301"/>
      <c r="AI222" s="2301"/>
      <c r="AJ222" s="2301"/>
      <c r="AK222" s="2301"/>
      <c r="AL222" s="2301"/>
      <c r="AM222" s="2301"/>
      <c r="AN222" s="2301"/>
      <c r="AO222" s="2301"/>
      <c r="AP222" s="2301"/>
      <c r="AQ222" s="2301"/>
      <c r="AR222" s="2301"/>
      <c r="AS222" s="2301"/>
      <c r="AT222" s="2301"/>
      <c r="AU222" s="2301"/>
      <c r="AV222" s="2301"/>
      <c r="AW222" s="2301"/>
      <c r="AX222" s="2301"/>
      <c r="AY222" s="2301"/>
      <c r="AZ222" s="2301"/>
      <c r="BA222" s="2301"/>
      <c r="BB222" s="2301"/>
      <c r="BC222" s="2301"/>
      <c r="BD222" s="2302"/>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303" t="s">
        <v>1857</v>
      </c>
      <c r="C224" s="2304"/>
      <c r="D224" s="2304"/>
      <c r="E224" s="2304"/>
      <c r="F224" s="2304"/>
      <c r="G224" s="2304"/>
      <c r="H224" s="2304"/>
      <c r="I224" s="2304"/>
      <c r="J224" s="2304"/>
      <c r="K224" s="2304"/>
      <c r="L224" s="2304"/>
      <c r="M224" s="2304"/>
      <c r="N224" s="2304"/>
      <c r="O224" s="2304"/>
      <c r="P224" s="2304"/>
      <c r="Q224" s="2304"/>
      <c r="R224" s="2304"/>
      <c r="S224" s="2304"/>
      <c r="T224" s="2304"/>
      <c r="U224" s="2304"/>
      <c r="V224" s="2304"/>
      <c r="W224" s="2304"/>
      <c r="X224" s="2304"/>
      <c r="Y224" s="2304"/>
      <c r="Z224" s="2304"/>
      <c r="AA224" s="2304"/>
      <c r="AB224" s="2304"/>
      <c r="AC224" s="2304"/>
      <c r="AD224" s="2304"/>
      <c r="AE224" s="2304"/>
      <c r="AF224" s="2304"/>
      <c r="AG224" s="2304"/>
      <c r="AH224" s="2304"/>
      <c r="AI224" s="2304"/>
      <c r="AJ224" s="2304"/>
      <c r="AK224" s="2304"/>
      <c r="AL224" s="2304"/>
      <c r="AM224" s="2304"/>
      <c r="AN224" s="2304"/>
      <c r="AO224" s="2304"/>
      <c r="AP224" s="2304"/>
      <c r="AQ224" s="2304"/>
      <c r="AR224" s="2304"/>
      <c r="AS224" s="2304"/>
      <c r="AT224" s="2304"/>
      <c r="AU224" s="2304"/>
      <c r="AV224" s="2304"/>
      <c r="AW224" s="2304"/>
      <c r="AX224" s="2304"/>
      <c r="AY224" s="2304"/>
      <c r="AZ224" s="2304"/>
      <c r="BA224" s="2304"/>
      <c r="BB224" s="2304"/>
      <c r="BC224" s="2304"/>
      <c r="BD224" s="2305"/>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318" t="s">
        <v>1859</v>
      </c>
      <c r="I228" s="2318"/>
      <c r="J228" s="2318"/>
      <c r="K228" s="2318"/>
      <c r="L228" s="2318"/>
      <c r="M228" s="2318"/>
      <c r="N228" s="2318"/>
      <c r="O228" s="2318"/>
      <c r="P228" s="2318"/>
      <c r="Q228" s="2318"/>
      <c r="R228" s="2318"/>
      <c r="S228" s="2318"/>
      <c r="T228" s="2318"/>
      <c r="U228" s="2318"/>
      <c r="V228" s="2318"/>
      <c r="W228" s="2318"/>
      <c r="X228" s="2318"/>
      <c r="Y228" s="2318"/>
      <c r="Z228" s="2318"/>
      <c r="AA228" s="2318"/>
      <c r="AB228" s="2318"/>
      <c r="AC228" s="2318"/>
      <c r="AD228" s="2318"/>
      <c r="AE228" s="2318"/>
      <c r="AF228" s="2318"/>
      <c r="AG228" s="2318"/>
      <c r="AH228" s="2318"/>
      <c r="AI228" s="2318"/>
      <c r="AJ228" s="2318"/>
      <c r="AK228" s="2318"/>
      <c r="AL228" s="2318"/>
      <c r="AM228" s="2318"/>
      <c r="AN228" s="2318"/>
      <c r="AO228" s="2318"/>
      <c r="AP228" s="2318"/>
      <c r="AQ228" s="2318"/>
      <c r="AR228" s="2318"/>
      <c r="AS228" s="2318"/>
      <c r="AT228" s="2318"/>
      <c r="AU228" s="2318"/>
      <c r="AV228" s="2318"/>
      <c r="AW228" s="2318"/>
      <c r="AX228" s="2318"/>
      <c r="AY228" s="2318"/>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317" t="s">
        <v>2490</v>
      </c>
      <c r="I230" s="2317"/>
      <c r="J230" s="2317"/>
      <c r="K230" s="2317"/>
      <c r="L230" s="2317"/>
      <c r="M230" s="2317"/>
      <c r="N230" s="2317"/>
      <c r="O230" s="2317"/>
      <c r="P230" s="2317"/>
      <c r="Q230" s="2317"/>
      <c r="R230" s="2317"/>
      <c r="S230" s="2317"/>
      <c r="T230" s="2317"/>
      <c r="U230" s="2317"/>
      <c r="V230" s="2317"/>
      <c r="W230" s="2317"/>
      <c r="X230" s="2317"/>
      <c r="Y230" s="2317"/>
      <c r="Z230" s="2317"/>
      <c r="AA230" s="2317"/>
      <c r="AB230" s="2317"/>
      <c r="AC230" s="2317"/>
      <c r="AD230" s="2317"/>
      <c r="AE230" s="2317"/>
      <c r="AF230" s="2317"/>
      <c r="AG230" s="2317"/>
      <c r="AH230" s="2317"/>
      <c r="AI230" s="2317"/>
      <c r="AJ230" s="2317"/>
      <c r="AK230" s="2317"/>
      <c r="AL230" s="2317"/>
      <c r="AM230" s="2317"/>
      <c r="AN230" s="2317"/>
      <c r="AO230" s="2317"/>
      <c r="AP230" s="2317"/>
      <c r="AQ230" s="2317"/>
      <c r="AR230" s="2317"/>
      <c r="AS230" s="2317"/>
      <c r="AT230" s="2317"/>
      <c r="AU230" s="2317"/>
      <c r="AV230" s="2317"/>
      <c r="AW230" s="2317"/>
      <c r="AX230" s="2317"/>
      <c r="AY230" s="2317"/>
      <c r="AZ230" s="2317"/>
      <c r="BA230" s="1209"/>
      <c r="BB230" s="1209"/>
      <c r="BC230" s="1209"/>
      <c r="BD230" s="1205"/>
      <c r="BE230" s="1205"/>
    </row>
    <row r="231" spans="1:57" ht="15.75" customHeight="1">
      <c r="A231" s="1209"/>
      <c r="B231" s="1215"/>
      <c r="C231" s="1209"/>
      <c r="D231" s="1209"/>
      <c r="E231" s="1209"/>
      <c r="F231" s="1209"/>
      <c r="G231" s="1209"/>
      <c r="H231" s="2317"/>
      <c r="I231" s="2317"/>
      <c r="J231" s="2317"/>
      <c r="K231" s="2317"/>
      <c r="L231" s="2317"/>
      <c r="M231" s="2317"/>
      <c r="N231" s="2317"/>
      <c r="O231" s="2317"/>
      <c r="P231" s="2317"/>
      <c r="Q231" s="2317"/>
      <c r="R231" s="2317"/>
      <c r="S231" s="2317"/>
      <c r="T231" s="2317"/>
      <c r="U231" s="2317"/>
      <c r="V231" s="2317"/>
      <c r="W231" s="2317"/>
      <c r="X231" s="2317"/>
      <c r="Y231" s="2317"/>
      <c r="Z231" s="2317"/>
      <c r="AA231" s="2317"/>
      <c r="AB231" s="2317"/>
      <c r="AC231" s="2317"/>
      <c r="AD231" s="2317"/>
      <c r="AE231" s="2317"/>
      <c r="AF231" s="2317"/>
      <c r="AG231" s="2317"/>
      <c r="AH231" s="2317"/>
      <c r="AI231" s="2317"/>
      <c r="AJ231" s="2317"/>
      <c r="AK231" s="2317"/>
      <c r="AL231" s="2317"/>
      <c r="AM231" s="2317"/>
      <c r="AN231" s="2317"/>
      <c r="AO231" s="2317"/>
      <c r="AP231" s="2317"/>
      <c r="AQ231" s="2317"/>
      <c r="AR231" s="2317"/>
      <c r="AS231" s="2317"/>
      <c r="AT231" s="2317"/>
      <c r="AU231" s="2317"/>
      <c r="AV231" s="2317"/>
      <c r="AW231" s="2317"/>
      <c r="AX231" s="2317"/>
      <c r="AY231" s="2317"/>
      <c r="AZ231" s="2317"/>
      <c r="BA231" s="1209"/>
      <c r="BB231" s="1209"/>
      <c r="BC231" s="1209"/>
      <c r="BD231" s="1205"/>
      <c r="BE231" s="1205"/>
    </row>
    <row r="232" spans="1:57" ht="15.75" customHeight="1">
      <c r="A232" s="1209"/>
      <c r="B232" s="1215"/>
      <c r="C232" s="1209"/>
      <c r="D232" s="1209"/>
      <c r="E232" s="1209"/>
      <c r="F232" s="1209"/>
      <c r="G232" s="1209"/>
      <c r="H232" s="2317"/>
      <c r="I232" s="2317"/>
      <c r="J232" s="2317"/>
      <c r="K232" s="2317"/>
      <c r="L232" s="2317"/>
      <c r="M232" s="2317"/>
      <c r="N232" s="2317"/>
      <c r="O232" s="2317"/>
      <c r="P232" s="2317"/>
      <c r="Q232" s="2317"/>
      <c r="R232" s="2317"/>
      <c r="S232" s="2317"/>
      <c r="T232" s="2317"/>
      <c r="U232" s="2317"/>
      <c r="V232" s="2317"/>
      <c r="W232" s="2317"/>
      <c r="X232" s="2317"/>
      <c r="Y232" s="2317"/>
      <c r="Z232" s="2317"/>
      <c r="AA232" s="2317"/>
      <c r="AB232" s="2317"/>
      <c r="AC232" s="2317"/>
      <c r="AD232" s="2317"/>
      <c r="AE232" s="2317"/>
      <c r="AF232" s="2317"/>
      <c r="AG232" s="2317"/>
      <c r="AH232" s="2317"/>
      <c r="AI232" s="2317"/>
      <c r="AJ232" s="2317"/>
      <c r="AK232" s="2317"/>
      <c r="AL232" s="2317"/>
      <c r="AM232" s="2317"/>
      <c r="AN232" s="2317"/>
      <c r="AO232" s="2317"/>
      <c r="AP232" s="2317"/>
      <c r="AQ232" s="2317"/>
      <c r="AR232" s="2317"/>
      <c r="AS232" s="2317"/>
      <c r="AT232" s="2317"/>
      <c r="AU232" s="2317"/>
      <c r="AV232" s="2317"/>
      <c r="AW232" s="2317"/>
      <c r="AX232" s="2317"/>
      <c r="AY232" s="2317"/>
      <c r="AZ232" s="2317"/>
      <c r="BA232" s="1209"/>
      <c r="BB232" s="1209"/>
      <c r="BC232" s="1209"/>
      <c r="BD232" s="1205"/>
      <c r="BE232" s="1205"/>
    </row>
    <row r="233" spans="1:57" ht="15.75" customHeight="1">
      <c r="A233" s="1209"/>
      <c r="B233" s="1215"/>
      <c r="C233" s="1209"/>
      <c r="D233" s="1209"/>
      <c r="E233" s="1209"/>
      <c r="F233" s="1209"/>
      <c r="G233" s="1209"/>
      <c r="H233" s="2317"/>
      <c r="I233" s="2317"/>
      <c r="J233" s="2317"/>
      <c r="K233" s="2317"/>
      <c r="L233" s="2317"/>
      <c r="M233" s="2317"/>
      <c r="N233" s="2317"/>
      <c r="O233" s="2317"/>
      <c r="P233" s="2317"/>
      <c r="Q233" s="2317"/>
      <c r="R233" s="2317"/>
      <c r="S233" s="2317"/>
      <c r="T233" s="2317"/>
      <c r="U233" s="2317"/>
      <c r="V233" s="2317"/>
      <c r="W233" s="2317"/>
      <c r="X233" s="2317"/>
      <c r="Y233" s="2317"/>
      <c r="Z233" s="2317"/>
      <c r="AA233" s="2317"/>
      <c r="AB233" s="2317"/>
      <c r="AC233" s="2317"/>
      <c r="AD233" s="2317"/>
      <c r="AE233" s="2317"/>
      <c r="AF233" s="2317"/>
      <c r="AG233" s="2317"/>
      <c r="AH233" s="2317"/>
      <c r="AI233" s="2317"/>
      <c r="AJ233" s="2317"/>
      <c r="AK233" s="2317"/>
      <c r="AL233" s="2317"/>
      <c r="AM233" s="2317"/>
      <c r="AN233" s="2317"/>
      <c r="AO233" s="2317"/>
      <c r="AP233" s="2317"/>
      <c r="AQ233" s="2317"/>
      <c r="AR233" s="2317"/>
      <c r="AS233" s="2317"/>
      <c r="AT233" s="2317"/>
      <c r="AU233" s="2317"/>
      <c r="AV233" s="2317"/>
      <c r="AW233" s="2317"/>
      <c r="AX233" s="2317"/>
      <c r="AY233" s="2317"/>
      <c r="AZ233" s="2317"/>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316" t="s">
        <v>1860</v>
      </c>
      <c r="I235" s="2316"/>
      <c r="J235" s="2316"/>
      <c r="K235" s="2316"/>
      <c r="L235" s="2316"/>
      <c r="M235" s="2316"/>
      <c r="N235" s="2316"/>
      <c r="O235" s="2316"/>
      <c r="P235" s="2316"/>
      <c r="Q235" s="2316"/>
      <c r="R235" s="2316"/>
      <c r="S235" s="2316"/>
      <c r="T235" s="2316"/>
      <c r="U235" s="2316"/>
      <c r="V235" s="2316"/>
      <c r="W235" s="2316"/>
      <c r="X235" s="2316"/>
      <c r="Y235" s="2316"/>
      <c r="Z235" s="2316"/>
      <c r="AA235" s="2316"/>
      <c r="AB235" s="2316"/>
      <c r="AC235" s="2316"/>
      <c r="AD235" s="2316"/>
      <c r="AE235" s="2316"/>
      <c r="AF235" s="2316"/>
      <c r="AG235" s="2316"/>
      <c r="AH235" s="2316"/>
      <c r="AI235" s="2316"/>
      <c r="AJ235" s="2316"/>
      <c r="AK235" s="2316"/>
      <c r="AL235" s="2316"/>
      <c r="AM235" s="2316"/>
      <c r="AN235" s="2316"/>
      <c r="AO235" s="2316"/>
      <c r="AP235" s="2316"/>
      <c r="AQ235" s="2316"/>
      <c r="AR235" s="2316"/>
      <c r="AS235" s="2316"/>
      <c r="AT235" s="2316"/>
      <c r="AU235" s="2316"/>
      <c r="AV235" s="2316"/>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91" t="s">
        <v>1861</v>
      </c>
      <c r="I237" s="2291"/>
      <c r="J237" s="2291"/>
      <c r="K237" s="2291"/>
      <c r="L237" s="1211"/>
      <c r="M237" s="1211"/>
      <c r="N237" s="1211"/>
      <c r="O237" s="1211"/>
      <c r="P237" s="1211"/>
      <c r="Q237" s="1211"/>
      <c r="R237" s="1211"/>
      <c r="S237" s="2313"/>
      <c r="T237" s="2314"/>
      <c r="U237" s="2314"/>
      <c r="V237" s="2314"/>
      <c r="W237" s="2314"/>
      <c r="X237" s="2314"/>
      <c r="Y237" s="2314"/>
      <c r="Z237" s="2314"/>
      <c r="AA237" s="2314"/>
      <c r="AB237" s="2314"/>
      <c r="AC237" s="2314"/>
      <c r="AD237" s="2314"/>
      <c r="AE237" s="2314"/>
      <c r="AF237" s="2314"/>
      <c r="AG237" s="2314"/>
      <c r="AH237" s="2314"/>
      <c r="AI237" s="2314"/>
      <c r="AJ237" s="2315"/>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91" t="s">
        <v>1862</v>
      </c>
      <c r="I239" s="2291"/>
      <c r="J239" s="2291"/>
      <c r="K239" s="1213"/>
      <c r="L239" s="1211"/>
      <c r="M239" s="1211"/>
      <c r="N239" s="1211"/>
      <c r="O239" s="1211"/>
      <c r="P239" s="1211"/>
      <c r="Q239" s="1211"/>
      <c r="R239" s="1211"/>
      <c r="S239" s="2312" t="s">
        <v>2643</v>
      </c>
      <c r="T239" s="2310"/>
      <c r="U239" s="2310"/>
      <c r="V239" s="2310"/>
      <c r="W239" s="2310"/>
      <c r="X239" s="2310"/>
      <c r="Y239" s="2310"/>
      <c r="Z239" s="2310"/>
      <c r="AA239" s="2310"/>
      <c r="AB239" s="2310"/>
      <c r="AC239" s="2310"/>
      <c r="AD239" s="2310"/>
      <c r="AE239" s="2310"/>
      <c r="AF239" s="2310"/>
      <c r="AG239" s="2310"/>
      <c r="AH239" s="2310"/>
      <c r="AI239" s="2310"/>
      <c r="AJ239" s="2311"/>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91" t="s">
        <v>443</v>
      </c>
      <c r="I241" s="2291"/>
      <c r="J241" s="1213"/>
      <c r="K241" s="1213"/>
      <c r="L241" s="1211"/>
      <c r="M241" s="1211"/>
      <c r="N241" s="1211"/>
      <c r="O241" s="1211"/>
      <c r="P241" s="1211"/>
      <c r="Q241" s="1211"/>
      <c r="R241" s="1211"/>
      <c r="S241" s="2312" t="s">
        <v>2767</v>
      </c>
      <c r="T241" s="2310"/>
      <c r="U241" s="2310"/>
      <c r="V241" s="2310"/>
      <c r="W241" s="2310"/>
      <c r="X241" s="2310"/>
      <c r="Y241" s="2310"/>
      <c r="Z241" s="2310"/>
      <c r="AA241" s="2310"/>
      <c r="AB241" s="2310"/>
      <c r="AC241" s="2310"/>
      <c r="AD241" s="2310"/>
      <c r="AE241" s="2310"/>
      <c r="AF241" s="2310"/>
      <c r="AG241" s="2310"/>
      <c r="AH241" s="2310"/>
      <c r="AI241" s="2310"/>
      <c r="AJ241" s="2311"/>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92" t="s">
        <v>1863</v>
      </c>
      <c r="I243" s="2292"/>
      <c r="J243" s="2292"/>
      <c r="K243" s="2292"/>
      <c r="L243" s="2292"/>
      <c r="M243" s="2292"/>
      <c r="N243" s="2292"/>
      <c r="O243" s="2292"/>
      <c r="P243" s="1211"/>
      <c r="Q243" s="1211"/>
      <c r="R243" s="1211"/>
      <c r="S243" s="2309" t="str">
        <f>Application!H16</f>
        <v>Bold Pardes II LLC</v>
      </c>
      <c r="T243" s="2310"/>
      <c r="U243" s="2310"/>
      <c r="V243" s="2310"/>
      <c r="W243" s="2310"/>
      <c r="X243" s="2310"/>
      <c r="Y243" s="2310"/>
      <c r="Z243" s="2310"/>
      <c r="AA243" s="2310"/>
      <c r="AB243" s="2310"/>
      <c r="AC243" s="2310"/>
      <c r="AD243" s="2310"/>
      <c r="AE243" s="2310"/>
      <c r="AF243" s="2310"/>
      <c r="AG243" s="2310"/>
      <c r="AH243" s="2310"/>
      <c r="AI243" s="2310"/>
      <c r="AJ243" s="2311"/>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93" t="s">
        <v>1864</v>
      </c>
      <c r="I245" s="2293"/>
      <c r="J245" s="1211"/>
      <c r="K245" s="1211"/>
      <c r="L245" s="1211"/>
      <c r="M245" s="1211"/>
      <c r="N245" s="1211"/>
      <c r="O245" s="1211"/>
      <c r="P245" s="1211"/>
      <c r="Q245" s="1211"/>
      <c r="R245" s="1211"/>
      <c r="S245" s="2306"/>
      <c r="T245" s="2307"/>
      <c r="U245" s="2307"/>
      <c r="V245" s="2307"/>
      <c r="W245" s="2307"/>
      <c r="X245" s="2307"/>
      <c r="Y245" s="2307"/>
      <c r="Z245" s="2307"/>
      <c r="AA245" s="2307"/>
      <c r="AB245" s="2307"/>
      <c r="AC245" s="2307"/>
      <c r="AD245" s="2307"/>
      <c r="AE245" s="2307"/>
      <c r="AF245" s="2307"/>
      <c r="AG245" s="2307"/>
      <c r="AH245" s="2307"/>
      <c r="AI245" s="2307"/>
      <c r="AJ245" s="2308"/>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5" zoomScale="94" workbookViewId="0">
      <selection activeCell="AB71" sqref="AB71:AF71"/>
    </sheetView>
  </sheetViews>
  <sheetFormatPr defaultColWidth="0" defaultRowHeight="13.05" customHeight="1"/>
  <cols>
    <col min="1" max="1" width="1.44140625" style="433" customWidth="1"/>
    <col min="2" max="2" width="0.77734375" style="433" customWidth="1"/>
    <col min="3" max="18" width="2.44140625" style="433" customWidth="1"/>
    <col min="19" max="19" width="6.109375" style="433" customWidth="1"/>
    <col min="20" max="39" width="2.77734375" style="433" customWidth="1"/>
    <col min="40" max="40" width="1.44140625" style="433" customWidth="1"/>
    <col min="41" max="256" width="2.44140625" style="433" hidden="1"/>
    <col min="257" max="257" width="1.44140625" style="433" hidden="1" customWidth="1"/>
    <col min="258" max="258" width="0.77734375" style="433" hidden="1" customWidth="1"/>
    <col min="259" max="274" width="2.44140625" style="433" hidden="1" customWidth="1"/>
    <col min="275" max="275" width="4" style="433" hidden="1" customWidth="1"/>
    <col min="276" max="295" width="2.44140625" style="433" hidden="1" customWidth="1"/>
    <col min="296" max="296" width="1.44140625" style="433" hidden="1" customWidth="1"/>
    <col min="297" max="512" width="2.44140625" style="433" hidden="1"/>
    <col min="513" max="513" width="1.44140625" style="433" hidden="1" customWidth="1"/>
    <col min="514" max="514" width="0.77734375" style="433" hidden="1" customWidth="1"/>
    <col min="515" max="530" width="2.44140625" style="433" hidden="1" customWidth="1"/>
    <col min="531" max="531" width="4" style="433" hidden="1" customWidth="1"/>
    <col min="532" max="551" width="2.44140625" style="433" hidden="1" customWidth="1"/>
    <col min="552" max="552" width="1.44140625" style="433" hidden="1" customWidth="1"/>
    <col min="553" max="768" width="2.44140625" style="433" hidden="1"/>
    <col min="769" max="769" width="1.44140625" style="433" hidden="1" customWidth="1"/>
    <col min="770" max="770" width="0.77734375" style="433" hidden="1" customWidth="1"/>
    <col min="771" max="786" width="2.44140625" style="433" hidden="1" customWidth="1"/>
    <col min="787" max="787" width="4" style="433" hidden="1" customWidth="1"/>
    <col min="788" max="807" width="2.44140625" style="433" hidden="1" customWidth="1"/>
    <col min="808" max="808" width="1.44140625" style="433" hidden="1" customWidth="1"/>
    <col min="809" max="1024" width="2.44140625" style="433" hidden="1"/>
    <col min="1025" max="1025" width="1.44140625" style="433" hidden="1" customWidth="1"/>
    <col min="1026" max="1026" width="0.77734375" style="433" hidden="1" customWidth="1"/>
    <col min="1027" max="1042" width="2.44140625" style="433" hidden="1" customWidth="1"/>
    <col min="1043" max="1043" width="4" style="433" hidden="1" customWidth="1"/>
    <col min="1044" max="1063" width="2.44140625" style="433" hidden="1" customWidth="1"/>
    <col min="1064" max="1064" width="1.44140625" style="433" hidden="1" customWidth="1"/>
    <col min="1065" max="1280" width="2.44140625" style="433" hidden="1"/>
    <col min="1281" max="1281" width="1.44140625" style="433" hidden="1" customWidth="1"/>
    <col min="1282" max="1282" width="0.77734375" style="433" hidden="1" customWidth="1"/>
    <col min="1283" max="1298" width="2.44140625" style="433" hidden="1" customWidth="1"/>
    <col min="1299" max="1299" width="4" style="433" hidden="1" customWidth="1"/>
    <col min="1300" max="1319" width="2.44140625" style="433" hidden="1" customWidth="1"/>
    <col min="1320" max="1320" width="1.44140625" style="433" hidden="1" customWidth="1"/>
    <col min="1321" max="1536" width="2.44140625" style="433" hidden="1"/>
    <col min="1537" max="1537" width="1.44140625" style="433" hidden="1" customWidth="1"/>
    <col min="1538" max="1538" width="0.77734375" style="433" hidden="1" customWidth="1"/>
    <col min="1539" max="1554" width="2.44140625" style="433" hidden="1" customWidth="1"/>
    <col min="1555" max="1555" width="4" style="433" hidden="1" customWidth="1"/>
    <col min="1556" max="1575" width="2.44140625" style="433" hidden="1" customWidth="1"/>
    <col min="1576" max="1576" width="1.44140625" style="433" hidden="1" customWidth="1"/>
    <col min="1577" max="1792" width="2.44140625" style="433" hidden="1"/>
    <col min="1793" max="1793" width="1.44140625" style="433" hidden="1" customWidth="1"/>
    <col min="1794" max="1794" width="0.77734375" style="433" hidden="1" customWidth="1"/>
    <col min="1795" max="1810" width="2.44140625" style="433" hidden="1" customWidth="1"/>
    <col min="1811" max="1811" width="4" style="433" hidden="1" customWidth="1"/>
    <col min="1812" max="1831" width="2.44140625" style="433" hidden="1" customWidth="1"/>
    <col min="1832" max="1832" width="1.44140625" style="433" hidden="1" customWidth="1"/>
    <col min="1833" max="2048" width="2.44140625" style="433" hidden="1"/>
    <col min="2049" max="2049" width="1.44140625" style="433" hidden="1" customWidth="1"/>
    <col min="2050" max="2050" width="0.77734375" style="433" hidden="1" customWidth="1"/>
    <col min="2051" max="2066" width="2.44140625" style="433" hidden="1" customWidth="1"/>
    <col min="2067" max="2067" width="4" style="433" hidden="1" customWidth="1"/>
    <col min="2068" max="2087" width="2.44140625" style="433" hidden="1" customWidth="1"/>
    <col min="2088" max="2088" width="1.44140625" style="433" hidden="1" customWidth="1"/>
    <col min="2089" max="2304" width="2.44140625" style="433" hidden="1"/>
    <col min="2305" max="2305" width="1.44140625" style="433" hidden="1" customWidth="1"/>
    <col min="2306" max="2306" width="0.77734375" style="433" hidden="1" customWidth="1"/>
    <col min="2307" max="2322" width="2.44140625" style="433" hidden="1" customWidth="1"/>
    <col min="2323" max="2323" width="4" style="433" hidden="1" customWidth="1"/>
    <col min="2324" max="2343" width="2.44140625" style="433" hidden="1" customWidth="1"/>
    <col min="2344" max="2344" width="1.44140625" style="433" hidden="1" customWidth="1"/>
    <col min="2345" max="2560" width="2.44140625" style="433" hidden="1"/>
    <col min="2561" max="2561" width="1.44140625" style="433" hidden="1" customWidth="1"/>
    <col min="2562" max="2562" width="0.77734375" style="433" hidden="1" customWidth="1"/>
    <col min="2563" max="2578" width="2.44140625" style="433" hidden="1" customWidth="1"/>
    <col min="2579" max="2579" width="4" style="433" hidden="1" customWidth="1"/>
    <col min="2580" max="2599" width="2.44140625" style="433" hidden="1" customWidth="1"/>
    <col min="2600" max="2600" width="1.44140625" style="433" hidden="1" customWidth="1"/>
    <col min="2601" max="2816" width="2.44140625" style="433" hidden="1"/>
    <col min="2817" max="2817" width="1.44140625" style="433" hidden="1" customWidth="1"/>
    <col min="2818" max="2818" width="0.77734375" style="433" hidden="1" customWidth="1"/>
    <col min="2819" max="2834" width="2.44140625" style="433" hidden="1" customWidth="1"/>
    <col min="2835" max="2835" width="4" style="433" hidden="1" customWidth="1"/>
    <col min="2836" max="2855" width="2.44140625" style="433" hidden="1" customWidth="1"/>
    <col min="2856" max="2856" width="1.44140625" style="433" hidden="1" customWidth="1"/>
    <col min="2857" max="3072" width="2.44140625" style="433" hidden="1"/>
    <col min="3073" max="3073" width="1.44140625" style="433" hidden="1" customWidth="1"/>
    <col min="3074" max="3074" width="0.77734375" style="433" hidden="1" customWidth="1"/>
    <col min="3075" max="3090" width="2.44140625" style="433" hidden="1" customWidth="1"/>
    <col min="3091" max="3091" width="4" style="433" hidden="1" customWidth="1"/>
    <col min="3092" max="3111" width="2.44140625" style="433" hidden="1" customWidth="1"/>
    <col min="3112" max="3112" width="1.44140625" style="433" hidden="1" customWidth="1"/>
    <col min="3113" max="3328" width="2.44140625" style="433" hidden="1"/>
    <col min="3329" max="3329" width="1.44140625" style="433" hidden="1" customWidth="1"/>
    <col min="3330" max="3330" width="0.77734375" style="433" hidden="1" customWidth="1"/>
    <col min="3331" max="3346" width="2.44140625" style="433" hidden="1" customWidth="1"/>
    <col min="3347" max="3347" width="4" style="433" hidden="1" customWidth="1"/>
    <col min="3348" max="3367" width="2.44140625" style="433" hidden="1" customWidth="1"/>
    <col min="3368" max="3368" width="1.44140625" style="433" hidden="1" customWidth="1"/>
    <col min="3369" max="3584" width="2.44140625" style="433" hidden="1"/>
    <col min="3585" max="3585" width="1.44140625" style="433" hidden="1" customWidth="1"/>
    <col min="3586" max="3586" width="0.77734375" style="433" hidden="1" customWidth="1"/>
    <col min="3587" max="3602" width="2.44140625" style="433" hidden="1" customWidth="1"/>
    <col min="3603" max="3603" width="4" style="433" hidden="1" customWidth="1"/>
    <col min="3604" max="3623" width="2.44140625" style="433" hidden="1" customWidth="1"/>
    <col min="3624" max="3624" width="1.44140625" style="433" hidden="1" customWidth="1"/>
    <col min="3625" max="3840" width="2.44140625" style="433" hidden="1"/>
    <col min="3841" max="3841" width="1.44140625" style="433" hidden="1" customWidth="1"/>
    <col min="3842" max="3842" width="0.77734375" style="433" hidden="1" customWidth="1"/>
    <col min="3843" max="3858" width="2.44140625" style="433" hidden="1" customWidth="1"/>
    <col min="3859" max="3859" width="4" style="433" hidden="1" customWidth="1"/>
    <col min="3860" max="3879" width="2.44140625" style="433" hidden="1" customWidth="1"/>
    <col min="3880" max="3880" width="1.44140625" style="433" hidden="1" customWidth="1"/>
    <col min="3881" max="4096" width="2.44140625" style="433" hidden="1"/>
    <col min="4097" max="4097" width="1.44140625" style="433" hidden="1" customWidth="1"/>
    <col min="4098" max="4098" width="0.77734375" style="433" hidden="1" customWidth="1"/>
    <col min="4099" max="4114" width="2.44140625" style="433" hidden="1" customWidth="1"/>
    <col min="4115" max="4115" width="4" style="433" hidden="1" customWidth="1"/>
    <col min="4116" max="4135" width="2.44140625" style="433" hidden="1" customWidth="1"/>
    <col min="4136" max="4136" width="1.44140625" style="433" hidden="1" customWidth="1"/>
    <col min="4137" max="4352" width="2.44140625" style="433" hidden="1"/>
    <col min="4353" max="4353" width="1.44140625" style="433" hidden="1" customWidth="1"/>
    <col min="4354" max="4354" width="0.77734375" style="433" hidden="1" customWidth="1"/>
    <col min="4355" max="4370" width="2.44140625" style="433" hidden="1" customWidth="1"/>
    <col min="4371" max="4371" width="4" style="433" hidden="1" customWidth="1"/>
    <col min="4372" max="4391" width="2.44140625" style="433" hidden="1" customWidth="1"/>
    <col min="4392" max="4392" width="1.44140625" style="433" hidden="1" customWidth="1"/>
    <col min="4393" max="4608" width="2.44140625" style="433" hidden="1"/>
    <col min="4609" max="4609" width="1.44140625" style="433" hidden="1" customWidth="1"/>
    <col min="4610" max="4610" width="0.77734375" style="433" hidden="1" customWidth="1"/>
    <col min="4611" max="4626" width="2.44140625" style="433" hidden="1" customWidth="1"/>
    <col min="4627" max="4627" width="4" style="433" hidden="1" customWidth="1"/>
    <col min="4628" max="4647" width="2.44140625" style="433" hidden="1" customWidth="1"/>
    <col min="4648" max="4648" width="1.44140625" style="433" hidden="1" customWidth="1"/>
    <col min="4649" max="4864" width="2.44140625" style="433" hidden="1"/>
    <col min="4865" max="4865" width="1.44140625" style="433" hidden="1" customWidth="1"/>
    <col min="4866" max="4866" width="0.77734375" style="433" hidden="1" customWidth="1"/>
    <col min="4867" max="4882" width="2.44140625" style="433" hidden="1" customWidth="1"/>
    <col min="4883" max="4883" width="4" style="433" hidden="1" customWidth="1"/>
    <col min="4884" max="4903" width="2.44140625" style="433" hidden="1" customWidth="1"/>
    <col min="4904" max="4904" width="1.44140625" style="433" hidden="1" customWidth="1"/>
    <col min="4905" max="5120" width="2.44140625" style="433" hidden="1"/>
    <col min="5121" max="5121" width="1.44140625" style="433" hidden="1" customWidth="1"/>
    <col min="5122" max="5122" width="0.77734375" style="433" hidden="1" customWidth="1"/>
    <col min="5123" max="5138" width="2.44140625" style="433" hidden="1" customWidth="1"/>
    <col min="5139" max="5139" width="4" style="433" hidden="1" customWidth="1"/>
    <col min="5140" max="5159" width="2.44140625" style="433" hidden="1" customWidth="1"/>
    <col min="5160" max="5160" width="1.44140625" style="433" hidden="1" customWidth="1"/>
    <col min="5161" max="5376" width="2.44140625" style="433" hidden="1"/>
    <col min="5377" max="5377" width="1.44140625" style="433" hidden="1" customWidth="1"/>
    <col min="5378" max="5378" width="0.77734375" style="433" hidden="1" customWidth="1"/>
    <col min="5379" max="5394" width="2.44140625" style="433" hidden="1" customWidth="1"/>
    <col min="5395" max="5395" width="4" style="433" hidden="1" customWidth="1"/>
    <col min="5396" max="5415" width="2.44140625" style="433" hidden="1" customWidth="1"/>
    <col min="5416" max="5416" width="1.44140625" style="433" hidden="1" customWidth="1"/>
    <col min="5417" max="5632" width="2.44140625" style="433" hidden="1"/>
    <col min="5633" max="5633" width="1.44140625" style="433" hidden="1" customWidth="1"/>
    <col min="5634" max="5634" width="0.77734375" style="433" hidden="1" customWidth="1"/>
    <col min="5635" max="5650" width="2.44140625" style="433" hidden="1" customWidth="1"/>
    <col min="5651" max="5651" width="4" style="433" hidden="1" customWidth="1"/>
    <col min="5652" max="5671" width="2.44140625" style="433" hidden="1" customWidth="1"/>
    <col min="5672" max="5672" width="1.44140625" style="433" hidden="1" customWidth="1"/>
    <col min="5673" max="5888" width="2.44140625" style="433" hidden="1"/>
    <col min="5889" max="5889" width="1.44140625" style="433" hidden="1" customWidth="1"/>
    <col min="5890" max="5890" width="0.77734375" style="433" hidden="1" customWidth="1"/>
    <col min="5891" max="5906" width="2.44140625" style="433" hidden="1" customWidth="1"/>
    <col min="5907" max="5907" width="4" style="433" hidden="1" customWidth="1"/>
    <col min="5908" max="5927" width="2.44140625" style="433" hidden="1" customWidth="1"/>
    <col min="5928" max="5928" width="1.44140625" style="433" hidden="1" customWidth="1"/>
    <col min="5929" max="6144" width="2.44140625" style="433" hidden="1"/>
    <col min="6145" max="6145" width="1.44140625" style="433" hidden="1" customWidth="1"/>
    <col min="6146" max="6146" width="0.77734375" style="433" hidden="1" customWidth="1"/>
    <col min="6147" max="6162" width="2.44140625" style="433" hidden="1" customWidth="1"/>
    <col min="6163" max="6163" width="4" style="433" hidden="1" customWidth="1"/>
    <col min="6164" max="6183" width="2.44140625" style="433" hidden="1" customWidth="1"/>
    <col min="6184" max="6184" width="1.44140625" style="433" hidden="1" customWidth="1"/>
    <col min="6185" max="6400" width="2.44140625" style="433" hidden="1"/>
    <col min="6401" max="6401" width="1.44140625" style="433" hidden="1" customWidth="1"/>
    <col min="6402" max="6402" width="0.77734375" style="433" hidden="1" customWidth="1"/>
    <col min="6403" max="6418" width="2.44140625" style="433" hidden="1" customWidth="1"/>
    <col min="6419" max="6419" width="4" style="433" hidden="1" customWidth="1"/>
    <col min="6420" max="6439" width="2.44140625" style="433" hidden="1" customWidth="1"/>
    <col min="6440" max="6440" width="1.44140625" style="433" hidden="1" customWidth="1"/>
    <col min="6441" max="6656" width="2.44140625" style="433" hidden="1"/>
    <col min="6657" max="6657" width="1.44140625" style="433" hidden="1" customWidth="1"/>
    <col min="6658" max="6658" width="0.77734375" style="433" hidden="1" customWidth="1"/>
    <col min="6659" max="6674" width="2.44140625" style="433" hidden="1" customWidth="1"/>
    <col min="6675" max="6675" width="4" style="433" hidden="1" customWidth="1"/>
    <col min="6676" max="6695" width="2.44140625" style="433" hidden="1" customWidth="1"/>
    <col min="6696" max="6696" width="1.44140625" style="433" hidden="1" customWidth="1"/>
    <col min="6697" max="6912" width="2.44140625" style="433" hidden="1"/>
    <col min="6913" max="6913" width="1.44140625" style="433" hidden="1" customWidth="1"/>
    <col min="6914" max="6914" width="0.77734375" style="433" hidden="1" customWidth="1"/>
    <col min="6915" max="6930" width="2.44140625" style="433" hidden="1" customWidth="1"/>
    <col min="6931" max="6931" width="4" style="433" hidden="1" customWidth="1"/>
    <col min="6932" max="6951" width="2.44140625" style="433" hidden="1" customWidth="1"/>
    <col min="6952" max="6952" width="1.44140625" style="433" hidden="1" customWidth="1"/>
    <col min="6953" max="7168" width="2.44140625" style="433" hidden="1"/>
    <col min="7169" max="7169" width="1.44140625" style="433" hidden="1" customWidth="1"/>
    <col min="7170" max="7170" width="0.77734375" style="433" hidden="1" customWidth="1"/>
    <col min="7171" max="7186" width="2.44140625" style="433" hidden="1" customWidth="1"/>
    <col min="7187" max="7187" width="4" style="433" hidden="1" customWidth="1"/>
    <col min="7188" max="7207" width="2.44140625" style="433" hidden="1" customWidth="1"/>
    <col min="7208" max="7208" width="1.44140625" style="433" hidden="1" customWidth="1"/>
    <col min="7209" max="7424" width="2.44140625" style="433" hidden="1"/>
    <col min="7425" max="7425" width="1.44140625" style="433" hidden="1" customWidth="1"/>
    <col min="7426" max="7426" width="0.77734375" style="433" hidden="1" customWidth="1"/>
    <col min="7427" max="7442" width="2.44140625" style="433" hidden="1" customWidth="1"/>
    <col min="7443" max="7443" width="4" style="433" hidden="1" customWidth="1"/>
    <col min="7444" max="7463" width="2.44140625" style="433" hidden="1" customWidth="1"/>
    <col min="7464" max="7464" width="1.44140625" style="433" hidden="1" customWidth="1"/>
    <col min="7465" max="7680" width="2.44140625" style="433" hidden="1"/>
    <col min="7681" max="7681" width="1.44140625" style="433" hidden="1" customWidth="1"/>
    <col min="7682" max="7682" width="0.77734375" style="433" hidden="1" customWidth="1"/>
    <col min="7683" max="7698" width="2.44140625" style="433" hidden="1" customWidth="1"/>
    <col min="7699" max="7699" width="4" style="433" hidden="1" customWidth="1"/>
    <col min="7700" max="7719" width="2.44140625" style="433" hidden="1" customWidth="1"/>
    <col min="7720" max="7720" width="1.44140625" style="433" hidden="1" customWidth="1"/>
    <col min="7721" max="7936" width="2.44140625" style="433" hidden="1"/>
    <col min="7937" max="7937" width="1.44140625" style="433" hidden="1" customWidth="1"/>
    <col min="7938" max="7938" width="0.77734375" style="433" hidden="1" customWidth="1"/>
    <col min="7939" max="7954" width="2.44140625" style="433" hidden="1" customWidth="1"/>
    <col min="7955" max="7955" width="4" style="433" hidden="1" customWidth="1"/>
    <col min="7956" max="7975" width="2.44140625" style="433" hidden="1" customWidth="1"/>
    <col min="7976" max="7976" width="1.44140625" style="433" hidden="1" customWidth="1"/>
    <col min="7977" max="8192" width="2.44140625" style="433" hidden="1"/>
    <col min="8193" max="8193" width="1.44140625" style="433" hidden="1" customWidth="1"/>
    <col min="8194" max="8194" width="0.77734375" style="433" hidden="1" customWidth="1"/>
    <col min="8195" max="8210" width="2.44140625" style="433" hidden="1" customWidth="1"/>
    <col min="8211" max="8211" width="4" style="433" hidden="1" customWidth="1"/>
    <col min="8212" max="8231" width="2.44140625" style="433" hidden="1" customWidth="1"/>
    <col min="8232" max="8232" width="1.44140625" style="433" hidden="1" customWidth="1"/>
    <col min="8233" max="8448" width="2.44140625" style="433" hidden="1"/>
    <col min="8449" max="8449" width="1.44140625" style="433" hidden="1" customWidth="1"/>
    <col min="8450" max="8450" width="0.77734375" style="433" hidden="1" customWidth="1"/>
    <col min="8451" max="8466" width="2.44140625" style="433" hidden="1" customWidth="1"/>
    <col min="8467" max="8467" width="4" style="433" hidden="1" customWidth="1"/>
    <col min="8468" max="8487" width="2.44140625" style="433" hidden="1" customWidth="1"/>
    <col min="8488" max="8488" width="1.44140625" style="433" hidden="1" customWidth="1"/>
    <col min="8489" max="8704" width="2.44140625" style="433" hidden="1"/>
    <col min="8705" max="8705" width="1.44140625" style="433" hidden="1" customWidth="1"/>
    <col min="8706" max="8706" width="0.77734375" style="433" hidden="1" customWidth="1"/>
    <col min="8707" max="8722" width="2.44140625" style="433" hidden="1" customWidth="1"/>
    <col min="8723" max="8723" width="4" style="433" hidden="1" customWidth="1"/>
    <col min="8724" max="8743" width="2.44140625" style="433" hidden="1" customWidth="1"/>
    <col min="8744" max="8744" width="1.44140625" style="433" hidden="1" customWidth="1"/>
    <col min="8745" max="8960" width="2.44140625" style="433" hidden="1"/>
    <col min="8961" max="8961" width="1.44140625" style="433" hidden="1" customWidth="1"/>
    <col min="8962" max="8962" width="0.77734375" style="433" hidden="1" customWidth="1"/>
    <col min="8963" max="8978" width="2.44140625" style="433" hidden="1" customWidth="1"/>
    <col min="8979" max="8979" width="4" style="433" hidden="1" customWidth="1"/>
    <col min="8980" max="8999" width="2.44140625" style="433" hidden="1" customWidth="1"/>
    <col min="9000" max="9000" width="1.44140625" style="433" hidden="1" customWidth="1"/>
    <col min="9001" max="9216" width="2.44140625" style="433" hidden="1"/>
    <col min="9217" max="9217" width="1.44140625" style="433" hidden="1" customWidth="1"/>
    <col min="9218" max="9218" width="0.77734375" style="433" hidden="1" customWidth="1"/>
    <col min="9219" max="9234" width="2.44140625" style="433" hidden="1" customWidth="1"/>
    <col min="9235" max="9235" width="4" style="433" hidden="1" customWidth="1"/>
    <col min="9236" max="9255" width="2.44140625" style="433" hidden="1" customWidth="1"/>
    <col min="9256" max="9256" width="1.44140625" style="433" hidden="1" customWidth="1"/>
    <col min="9257" max="9472" width="2.44140625" style="433" hidden="1"/>
    <col min="9473" max="9473" width="1.44140625" style="433" hidden="1" customWidth="1"/>
    <col min="9474" max="9474" width="0.77734375" style="433" hidden="1" customWidth="1"/>
    <col min="9475" max="9490" width="2.44140625" style="433" hidden="1" customWidth="1"/>
    <col min="9491" max="9491" width="4" style="433" hidden="1" customWidth="1"/>
    <col min="9492" max="9511" width="2.44140625" style="433" hidden="1" customWidth="1"/>
    <col min="9512" max="9512" width="1.44140625" style="433" hidden="1" customWidth="1"/>
    <col min="9513" max="9728" width="2.44140625" style="433" hidden="1"/>
    <col min="9729" max="9729" width="1.44140625" style="433" hidden="1" customWidth="1"/>
    <col min="9730" max="9730" width="0.77734375" style="433" hidden="1" customWidth="1"/>
    <col min="9731" max="9746" width="2.44140625" style="433" hidden="1" customWidth="1"/>
    <col min="9747" max="9747" width="4" style="433" hidden="1" customWidth="1"/>
    <col min="9748" max="9767" width="2.44140625" style="433" hidden="1" customWidth="1"/>
    <col min="9768" max="9768" width="1.44140625" style="433" hidden="1" customWidth="1"/>
    <col min="9769" max="9984" width="2.44140625" style="433" hidden="1"/>
    <col min="9985" max="9985" width="1.44140625" style="433" hidden="1" customWidth="1"/>
    <col min="9986" max="9986" width="0.77734375" style="433" hidden="1" customWidth="1"/>
    <col min="9987" max="10002" width="2.44140625" style="433" hidden="1" customWidth="1"/>
    <col min="10003" max="10003" width="4" style="433" hidden="1" customWidth="1"/>
    <col min="10004" max="10023" width="2.44140625" style="433" hidden="1" customWidth="1"/>
    <col min="10024" max="10024" width="1.44140625" style="433" hidden="1" customWidth="1"/>
    <col min="10025" max="10240" width="2.44140625" style="433" hidden="1"/>
    <col min="10241" max="10241" width="1.44140625" style="433" hidden="1" customWidth="1"/>
    <col min="10242" max="10242" width="0.77734375" style="433" hidden="1" customWidth="1"/>
    <col min="10243" max="10258" width="2.44140625" style="433" hidden="1" customWidth="1"/>
    <col min="10259" max="10259" width="4" style="433" hidden="1" customWidth="1"/>
    <col min="10260" max="10279" width="2.44140625" style="433" hidden="1" customWidth="1"/>
    <col min="10280" max="10280" width="1.44140625" style="433" hidden="1" customWidth="1"/>
    <col min="10281" max="10496" width="2.44140625" style="433" hidden="1"/>
    <col min="10497" max="10497" width="1.44140625" style="433" hidden="1" customWidth="1"/>
    <col min="10498" max="10498" width="0.77734375" style="433" hidden="1" customWidth="1"/>
    <col min="10499" max="10514" width="2.44140625" style="433" hidden="1" customWidth="1"/>
    <col min="10515" max="10515" width="4" style="433" hidden="1" customWidth="1"/>
    <col min="10516" max="10535" width="2.44140625" style="433" hidden="1" customWidth="1"/>
    <col min="10536" max="10536" width="1.44140625" style="433" hidden="1" customWidth="1"/>
    <col min="10537" max="10752" width="2.44140625" style="433" hidden="1"/>
    <col min="10753" max="10753" width="1.44140625" style="433" hidden="1" customWidth="1"/>
    <col min="10754" max="10754" width="0.77734375" style="433" hidden="1" customWidth="1"/>
    <col min="10755" max="10770" width="2.44140625" style="433" hidden="1" customWidth="1"/>
    <col min="10771" max="10771" width="4" style="433" hidden="1" customWidth="1"/>
    <col min="10772" max="10791" width="2.44140625" style="433" hidden="1" customWidth="1"/>
    <col min="10792" max="10792" width="1.44140625" style="433" hidden="1" customWidth="1"/>
    <col min="10793" max="11008" width="2.44140625" style="433" hidden="1"/>
    <col min="11009" max="11009" width="1.44140625" style="433" hidden="1" customWidth="1"/>
    <col min="11010" max="11010" width="0.77734375" style="433" hidden="1" customWidth="1"/>
    <col min="11011" max="11026" width="2.44140625" style="433" hidden="1" customWidth="1"/>
    <col min="11027" max="11027" width="4" style="433" hidden="1" customWidth="1"/>
    <col min="11028" max="11047" width="2.44140625" style="433" hidden="1" customWidth="1"/>
    <col min="11048" max="11048" width="1.44140625" style="433" hidden="1" customWidth="1"/>
    <col min="11049" max="11264" width="2.44140625" style="433" hidden="1"/>
    <col min="11265" max="11265" width="1.44140625" style="433" hidden="1" customWidth="1"/>
    <col min="11266" max="11266" width="0.77734375" style="433" hidden="1" customWidth="1"/>
    <col min="11267" max="11282" width="2.44140625" style="433" hidden="1" customWidth="1"/>
    <col min="11283" max="11283" width="4" style="433" hidden="1" customWidth="1"/>
    <col min="11284" max="11303" width="2.44140625" style="433" hidden="1" customWidth="1"/>
    <col min="11304" max="11304" width="1.44140625" style="433" hidden="1" customWidth="1"/>
    <col min="11305" max="11520" width="2.44140625" style="433" hidden="1"/>
    <col min="11521" max="11521" width="1.44140625" style="433" hidden="1" customWidth="1"/>
    <col min="11522" max="11522" width="0.77734375" style="433" hidden="1" customWidth="1"/>
    <col min="11523" max="11538" width="2.44140625" style="433" hidden="1" customWidth="1"/>
    <col min="11539" max="11539" width="4" style="433" hidden="1" customWidth="1"/>
    <col min="11540" max="11559" width="2.44140625" style="433" hidden="1" customWidth="1"/>
    <col min="11560" max="11560" width="1.44140625" style="433" hidden="1" customWidth="1"/>
    <col min="11561" max="11776" width="2.44140625" style="433" hidden="1"/>
    <col min="11777" max="11777" width="1.44140625" style="433" hidden="1" customWidth="1"/>
    <col min="11778" max="11778" width="0.77734375" style="433" hidden="1" customWidth="1"/>
    <col min="11779" max="11794" width="2.44140625" style="433" hidden="1" customWidth="1"/>
    <col min="11795" max="11795" width="4" style="433" hidden="1" customWidth="1"/>
    <col min="11796" max="11815" width="2.44140625" style="433" hidden="1" customWidth="1"/>
    <col min="11816" max="11816" width="1.44140625" style="433" hidden="1" customWidth="1"/>
    <col min="11817" max="12032" width="2.44140625" style="433" hidden="1"/>
    <col min="12033" max="12033" width="1.44140625" style="433" hidden="1" customWidth="1"/>
    <col min="12034" max="12034" width="0.77734375" style="433" hidden="1" customWidth="1"/>
    <col min="12035" max="12050" width="2.44140625" style="433" hidden="1" customWidth="1"/>
    <col min="12051" max="12051" width="4" style="433" hidden="1" customWidth="1"/>
    <col min="12052" max="12071" width="2.44140625" style="433" hidden="1" customWidth="1"/>
    <col min="12072" max="12072" width="1.44140625" style="433" hidden="1" customWidth="1"/>
    <col min="12073" max="12288" width="2.44140625" style="433" hidden="1"/>
    <col min="12289" max="12289" width="1.44140625" style="433" hidden="1" customWidth="1"/>
    <col min="12290" max="12290" width="0.77734375" style="433" hidden="1" customWidth="1"/>
    <col min="12291" max="12306" width="2.44140625" style="433" hidden="1" customWidth="1"/>
    <col min="12307" max="12307" width="4" style="433" hidden="1" customWidth="1"/>
    <col min="12308" max="12327" width="2.44140625" style="433" hidden="1" customWidth="1"/>
    <col min="12328" max="12328" width="1.44140625" style="433" hidden="1" customWidth="1"/>
    <col min="12329" max="12544" width="2.44140625" style="433" hidden="1"/>
    <col min="12545" max="12545" width="1.44140625" style="433" hidden="1" customWidth="1"/>
    <col min="12546" max="12546" width="0.77734375" style="433" hidden="1" customWidth="1"/>
    <col min="12547" max="12562" width="2.44140625" style="433" hidden="1" customWidth="1"/>
    <col min="12563" max="12563" width="4" style="433" hidden="1" customWidth="1"/>
    <col min="12564" max="12583" width="2.44140625" style="433" hidden="1" customWidth="1"/>
    <col min="12584" max="12584" width="1.44140625" style="433" hidden="1" customWidth="1"/>
    <col min="12585" max="12800" width="2.44140625" style="433" hidden="1"/>
    <col min="12801" max="12801" width="1.44140625" style="433" hidden="1" customWidth="1"/>
    <col min="12802" max="12802" width="0.77734375" style="433" hidden="1" customWidth="1"/>
    <col min="12803" max="12818" width="2.44140625" style="433" hidden="1" customWidth="1"/>
    <col min="12819" max="12819" width="4" style="433" hidden="1" customWidth="1"/>
    <col min="12820" max="12839" width="2.44140625" style="433" hidden="1" customWidth="1"/>
    <col min="12840" max="12840" width="1.44140625" style="433" hidden="1" customWidth="1"/>
    <col min="12841" max="13056" width="2.44140625" style="433" hidden="1"/>
    <col min="13057" max="13057" width="1.44140625" style="433" hidden="1" customWidth="1"/>
    <col min="13058" max="13058" width="0.77734375" style="433" hidden="1" customWidth="1"/>
    <col min="13059" max="13074" width="2.44140625" style="433" hidden="1" customWidth="1"/>
    <col min="13075" max="13075" width="4" style="433" hidden="1" customWidth="1"/>
    <col min="13076" max="13095" width="2.44140625" style="433" hidden="1" customWidth="1"/>
    <col min="13096" max="13096" width="1.44140625" style="433" hidden="1" customWidth="1"/>
    <col min="13097" max="13312" width="2.44140625" style="433" hidden="1"/>
    <col min="13313" max="13313" width="1.44140625" style="433" hidden="1" customWidth="1"/>
    <col min="13314" max="13314" width="0.77734375" style="433" hidden="1" customWidth="1"/>
    <col min="13315" max="13330" width="2.44140625" style="433" hidden="1" customWidth="1"/>
    <col min="13331" max="13331" width="4" style="433" hidden="1" customWidth="1"/>
    <col min="13332" max="13351" width="2.44140625" style="433" hidden="1" customWidth="1"/>
    <col min="13352" max="13352" width="1.44140625" style="433" hidden="1" customWidth="1"/>
    <col min="13353" max="13568" width="2.44140625" style="433" hidden="1"/>
    <col min="13569" max="13569" width="1.44140625" style="433" hidden="1" customWidth="1"/>
    <col min="13570" max="13570" width="0.77734375" style="433" hidden="1" customWidth="1"/>
    <col min="13571" max="13586" width="2.44140625" style="433" hidden="1" customWidth="1"/>
    <col min="13587" max="13587" width="4" style="433" hidden="1" customWidth="1"/>
    <col min="13588" max="13607" width="2.44140625" style="433" hidden="1" customWidth="1"/>
    <col min="13608" max="13608" width="1.44140625" style="433" hidden="1" customWidth="1"/>
    <col min="13609" max="13824" width="2.44140625" style="433" hidden="1"/>
    <col min="13825" max="13825" width="1.44140625" style="433" hidden="1" customWidth="1"/>
    <col min="13826" max="13826" width="0.77734375" style="433" hidden="1" customWidth="1"/>
    <col min="13827" max="13842" width="2.44140625" style="433" hidden="1" customWidth="1"/>
    <col min="13843" max="13843" width="4" style="433" hidden="1" customWidth="1"/>
    <col min="13844" max="13863" width="2.44140625" style="433" hidden="1" customWidth="1"/>
    <col min="13864" max="13864" width="1.44140625" style="433" hidden="1" customWidth="1"/>
    <col min="13865" max="14080" width="2.44140625" style="433" hidden="1"/>
    <col min="14081" max="14081" width="1.44140625" style="433" hidden="1" customWidth="1"/>
    <col min="14082" max="14082" width="0.77734375" style="433" hidden="1" customWidth="1"/>
    <col min="14083" max="14098" width="2.44140625" style="433" hidden="1" customWidth="1"/>
    <col min="14099" max="14099" width="4" style="433" hidden="1" customWidth="1"/>
    <col min="14100" max="14119" width="2.44140625" style="433" hidden="1" customWidth="1"/>
    <col min="14120" max="14120" width="1.44140625" style="433" hidden="1" customWidth="1"/>
    <col min="14121" max="14336" width="2.44140625" style="433" hidden="1"/>
    <col min="14337" max="14337" width="1.44140625" style="433" hidden="1" customWidth="1"/>
    <col min="14338" max="14338" width="0.77734375" style="433" hidden="1" customWidth="1"/>
    <col min="14339" max="14354" width="2.44140625" style="433" hidden="1" customWidth="1"/>
    <col min="14355" max="14355" width="4" style="433" hidden="1" customWidth="1"/>
    <col min="14356" max="14375" width="2.44140625" style="433" hidden="1" customWidth="1"/>
    <col min="14376" max="14376" width="1.44140625" style="433" hidden="1" customWidth="1"/>
    <col min="14377" max="14592" width="2.44140625" style="433" hidden="1"/>
    <col min="14593" max="14593" width="1.44140625" style="433" hidden="1" customWidth="1"/>
    <col min="14594" max="14594" width="0.77734375" style="433" hidden="1" customWidth="1"/>
    <col min="14595" max="14610" width="2.44140625" style="433" hidden="1" customWidth="1"/>
    <col min="14611" max="14611" width="4" style="433" hidden="1" customWidth="1"/>
    <col min="14612" max="14631" width="2.44140625" style="433" hidden="1" customWidth="1"/>
    <col min="14632" max="14632" width="1.44140625" style="433" hidden="1" customWidth="1"/>
    <col min="14633" max="14848" width="2.44140625" style="433" hidden="1"/>
    <col min="14849" max="14849" width="1.44140625" style="433" hidden="1" customWidth="1"/>
    <col min="14850" max="14850" width="0.77734375" style="433" hidden="1" customWidth="1"/>
    <col min="14851" max="14866" width="2.44140625" style="433" hidden="1" customWidth="1"/>
    <col min="14867" max="14867" width="4" style="433" hidden="1" customWidth="1"/>
    <col min="14868" max="14887" width="2.44140625" style="433" hidden="1" customWidth="1"/>
    <col min="14888" max="14888" width="1.44140625" style="433" hidden="1" customWidth="1"/>
    <col min="14889" max="15104" width="2.44140625" style="433" hidden="1"/>
    <col min="15105" max="15105" width="1.44140625" style="433" hidden="1" customWidth="1"/>
    <col min="15106" max="15106" width="0.77734375" style="433" hidden="1" customWidth="1"/>
    <col min="15107" max="15122" width="2.44140625" style="433" hidden="1" customWidth="1"/>
    <col min="15123" max="15123" width="4" style="433" hidden="1" customWidth="1"/>
    <col min="15124" max="15143" width="2.44140625" style="433" hidden="1" customWidth="1"/>
    <col min="15144" max="15144" width="1.44140625" style="433" hidden="1" customWidth="1"/>
    <col min="15145" max="15360" width="2.44140625" style="433" hidden="1"/>
    <col min="15361" max="15361" width="1.44140625" style="433" hidden="1" customWidth="1"/>
    <col min="15362" max="15362" width="0.77734375" style="433" hidden="1" customWidth="1"/>
    <col min="15363" max="15378" width="2.44140625" style="433" hidden="1" customWidth="1"/>
    <col min="15379" max="15379" width="4" style="433" hidden="1" customWidth="1"/>
    <col min="15380" max="15399" width="2.44140625" style="433" hidden="1" customWidth="1"/>
    <col min="15400" max="15400" width="1.44140625" style="433" hidden="1" customWidth="1"/>
    <col min="15401" max="15616" width="2.44140625" style="433" hidden="1"/>
    <col min="15617" max="15617" width="1.44140625" style="433" hidden="1" customWidth="1"/>
    <col min="15618" max="15618" width="0.77734375" style="433" hidden="1" customWidth="1"/>
    <col min="15619" max="15634" width="2.44140625" style="433" hidden="1" customWidth="1"/>
    <col min="15635" max="15635" width="4" style="433" hidden="1" customWidth="1"/>
    <col min="15636" max="15655" width="2.44140625" style="433" hidden="1" customWidth="1"/>
    <col min="15656" max="15656" width="1.44140625" style="433" hidden="1" customWidth="1"/>
    <col min="15657" max="15872" width="2.44140625" style="433" hidden="1"/>
    <col min="15873" max="15873" width="1.44140625" style="433" hidden="1" customWidth="1"/>
    <col min="15874" max="15874" width="0.77734375" style="433" hidden="1" customWidth="1"/>
    <col min="15875" max="15890" width="2.44140625" style="433" hidden="1" customWidth="1"/>
    <col min="15891" max="15891" width="4" style="433" hidden="1" customWidth="1"/>
    <col min="15892" max="15911" width="2.44140625" style="433" hidden="1" customWidth="1"/>
    <col min="15912" max="15912" width="1.44140625" style="433" hidden="1" customWidth="1"/>
    <col min="15913" max="16128" width="2.44140625" style="433" hidden="1"/>
    <col min="16129" max="16129" width="1.44140625" style="433" hidden="1" customWidth="1"/>
    <col min="16130" max="16130" width="0.77734375" style="433" hidden="1" customWidth="1"/>
    <col min="16131" max="16146" width="2.44140625" style="433" hidden="1" customWidth="1"/>
    <col min="16147" max="16147" width="4" style="433" hidden="1" customWidth="1"/>
    <col min="16148" max="16167" width="2.44140625" style="433" hidden="1" customWidth="1"/>
    <col min="16168" max="16168" width="1.44140625" style="433" hidden="1" customWidth="1"/>
    <col min="16169" max="16384" width="2.44140625" style="433" hidden="1"/>
  </cols>
  <sheetData>
    <row r="1" spans="1:40" ht="13.05" customHeight="1">
      <c r="A1" s="2662" t="s">
        <v>1390</v>
      </c>
      <c r="B1" s="2662"/>
      <c r="C1" s="2662"/>
      <c r="D1" s="2662"/>
      <c r="E1" s="2662"/>
      <c r="F1" s="2662"/>
      <c r="G1" s="2662"/>
      <c r="H1" s="2662"/>
      <c r="I1" s="2662"/>
      <c r="J1" s="2662"/>
      <c r="K1" s="2662"/>
      <c r="L1" s="2662"/>
      <c r="M1" s="2662"/>
      <c r="N1" s="2662"/>
      <c r="O1" s="2662"/>
      <c r="P1" s="2662"/>
      <c r="Q1" s="2662"/>
      <c r="R1" s="2662"/>
      <c r="S1" s="2662"/>
      <c r="T1" s="2662"/>
      <c r="U1" s="2662"/>
      <c r="V1" s="2662"/>
      <c r="W1" s="2662"/>
      <c r="X1" s="2662"/>
      <c r="Y1" s="2662"/>
      <c r="Z1" s="2662"/>
      <c r="AA1" s="2662"/>
      <c r="AB1" s="2662"/>
      <c r="AC1" s="2662"/>
      <c r="AD1" s="2662"/>
      <c r="AE1" s="2662"/>
      <c r="AF1" s="2662"/>
      <c r="AG1" s="2662"/>
      <c r="AH1" s="2662"/>
      <c r="AI1" s="2662"/>
      <c r="AJ1" s="2662"/>
      <c r="AK1" s="2662"/>
      <c r="AL1" s="2662"/>
      <c r="AM1" s="2662"/>
      <c r="AN1" s="2662"/>
    </row>
    <row r="2" spans="1:40" ht="13.05" customHeight="1" thickBot="1">
      <c r="A2" s="2663"/>
      <c r="B2" s="2663"/>
      <c r="C2" s="2663"/>
      <c r="D2" s="2663"/>
      <c r="E2" s="2663"/>
      <c r="F2" s="2663"/>
      <c r="G2" s="2663"/>
      <c r="H2" s="2663"/>
      <c r="I2" s="2663"/>
      <c r="J2" s="2663"/>
      <c r="K2" s="2663"/>
      <c r="L2" s="2663"/>
      <c r="M2" s="2663"/>
      <c r="N2" s="2663"/>
      <c r="O2" s="2663"/>
      <c r="P2" s="2663"/>
      <c r="Q2" s="2663"/>
      <c r="R2" s="2663"/>
      <c r="S2" s="2663"/>
      <c r="T2" s="2663"/>
      <c r="U2" s="2663"/>
      <c r="V2" s="2663"/>
      <c r="W2" s="2663"/>
      <c r="X2" s="2663"/>
      <c r="Y2" s="2663"/>
      <c r="Z2" s="2663"/>
      <c r="AA2" s="2663"/>
      <c r="AB2" s="2663"/>
      <c r="AC2" s="2663"/>
      <c r="AD2" s="2663"/>
      <c r="AE2" s="2663"/>
      <c r="AF2" s="2663"/>
      <c r="AG2" s="2663"/>
      <c r="AH2" s="2663"/>
      <c r="AI2" s="2663"/>
      <c r="AJ2" s="2663"/>
      <c r="AK2" s="2663"/>
      <c r="AL2" s="2663"/>
      <c r="AM2" s="2663"/>
      <c r="AN2" s="2663"/>
    </row>
    <row r="3" spans="1:40" ht="13.0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05" customHeight="1">
      <c r="A4" s="435"/>
    </row>
    <row r="5" spans="1:40" ht="13.05" customHeight="1">
      <c r="A5" s="435" t="s">
        <v>320</v>
      </c>
      <c r="C5" s="435" t="s">
        <v>122</v>
      </c>
      <c r="F5" s="435"/>
    </row>
    <row r="6" spans="1:40" ht="13.05" customHeight="1">
      <c r="A6" s="435"/>
      <c r="C6" s="433" t="s">
        <v>1345</v>
      </c>
    </row>
    <row r="7" spans="1:40" ht="13.05" customHeight="1">
      <c r="B7" s="436"/>
      <c r="C7" s="437"/>
      <c r="D7" s="437"/>
      <c r="E7" s="437"/>
      <c r="F7" s="437"/>
      <c r="G7" s="437"/>
      <c r="H7" s="437"/>
      <c r="I7" s="437"/>
      <c r="J7" s="437"/>
      <c r="K7" s="437"/>
      <c r="L7" s="437"/>
      <c r="M7" s="437"/>
      <c r="N7" s="437"/>
      <c r="O7" s="437"/>
      <c r="P7" s="437"/>
      <c r="Q7" s="437"/>
      <c r="R7" s="437"/>
      <c r="S7" s="437"/>
      <c r="T7" s="2664" t="str">
        <f xml:space="preserve"> IF(T25=100%,'Sources and Basis Breakdown'!G2,'Sources and Basis Breakdown'!F2)</f>
        <v>30% PVC for New Const/
Rehabilitation
DDA/QCT
Building(s)</v>
      </c>
      <c r="U7" s="2664"/>
      <c r="V7" s="2664"/>
      <c r="W7" s="2664"/>
      <c r="X7" s="2664"/>
      <c r="Y7" s="2664" t="str">
        <f>IF(T25=100%,"",'Sources and Basis Breakdown'!G2)</f>
        <v>30% PVC for New Const/
Rehabilitation
NON-DDA/
NON-QCT Building(s)</v>
      </c>
      <c r="Z7" s="2664"/>
      <c r="AA7" s="2664"/>
      <c r="AB7" s="2664"/>
      <c r="AC7" s="2664"/>
      <c r="AD7" s="2664" t="str">
        <f xml:space="preserve"> IF(T25=100%, 'Sources and Basis Breakdown'!J2,'Sources and Basis Breakdown'!I2)</f>
        <v>30% PVC for Acquisition
DDA/QCT Building(s)</v>
      </c>
      <c r="AE7" s="2664"/>
      <c r="AF7" s="2664"/>
      <c r="AG7" s="2664"/>
      <c r="AH7" s="2664"/>
      <c r="AI7" s="2664" t="str">
        <f>IF(T25=100%,"",'Sources and Basis Breakdown'!J2)</f>
        <v>30% PVC for Acquisition
NON-DDA/
NON-QCT Building(s)</v>
      </c>
      <c r="AJ7" s="2664"/>
      <c r="AK7" s="2664"/>
      <c r="AL7" s="2664"/>
      <c r="AM7" s="2664"/>
    </row>
    <row r="8" spans="1:40" ht="13.05" customHeight="1">
      <c r="B8" s="438"/>
      <c r="T8" s="2664"/>
      <c r="U8" s="2664"/>
      <c r="V8" s="2664"/>
      <c r="W8" s="2664"/>
      <c r="X8" s="2664"/>
      <c r="Y8" s="2664"/>
      <c r="Z8" s="2664"/>
      <c r="AA8" s="2664"/>
      <c r="AB8" s="2664"/>
      <c r="AC8" s="2664"/>
      <c r="AD8" s="2664"/>
      <c r="AE8" s="2664"/>
      <c r="AF8" s="2664"/>
      <c r="AG8" s="2664"/>
      <c r="AH8" s="2664"/>
      <c r="AI8" s="2664"/>
      <c r="AJ8" s="2664"/>
      <c r="AK8" s="2664"/>
      <c r="AL8" s="2664"/>
      <c r="AM8" s="2664"/>
    </row>
    <row r="9" spans="1:40" ht="13.05" customHeight="1">
      <c r="B9" s="438"/>
      <c r="T9" s="2664"/>
      <c r="U9" s="2664"/>
      <c r="V9" s="2664"/>
      <c r="W9" s="2664"/>
      <c r="X9" s="2664"/>
      <c r="Y9" s="2664"/>
      <c r="Z9" s="2664"/>
      <c r="AA9" s="2664"/>
      <c r="AB9" s="2664"/>
      <c r="AC9" s="2664"/>
      <c r="AD9" s="2664"/>
      <c r="AE9" s="2664"/>
      <c r="AF9" s="2664"/>
      <c r="AG9" s="2664"/>
      <c r="AH9" s="2664"/>
      <c r="AI9" s="2664"/>
      <c r="AJ9" s="2664"/>
      <c r="AK9" s="2664"/>
      <c r="AL9" s="2664"/>
      <c r="AM9" s="2664"/>
    </row>
    <row r="10" spans="1:40" ht="13.05" customHeight="1">
      <c r="B10" s="439"/>
      <c r="C10" s="440"/>
      <c r="D10" s="440"/>
      <c r="E10" s="440"/>
      <c r="F10" s="440"/>
      <c r="G10" s="440"/>
      <c r="H10" s="440"/>
      <c r="I10" s="440"/>
      <c r="J10" s="440"/>
      <c r="K10" s="440"/>
      <c r="L10" s="440"/>
      <c r="M10" s="440"/>
      <c r="N10" s="440"/>
      <c r="O10" s="440"/>
      <c r="P10" s="440"/>
      <c r="Q10" s="440"/>
      <c r="R10" s="440"/>
      <c r="S10" s="440"/>
      <c r="T10" s="2664"/>
      <c r="U10" s="2664"/>
      <c r="V10" s="2664"/>
      <c r="W10" s="2664"/>
      <c r="X10" s="2664"/>
      <c r="Y10" s="2664"/>
      <c r="Z10" s="2664"/>
      <c r="AA10" s="2664"/>
      <c r="AB10" s="2664"/>
      <c r="AC10" s="2664"/>
      <c r="AD10" s="2664"/>
      <c r="AE10" s="2664"/>
      <c r="AF10" s="2664"/>
      <c r="AG10" s="2664"/>
      <c r="AH10" s="2664"/>
      <c r="AI10" s="2664"/>
      <c r="AJ10" s="2664"/>
      <c r="AK10" s="2664"/>
      <c r="AL10" s="2664"/>
      <c r="AM10" s="2664"/>
    </row>
    <row r="11" spans="1:40" ht="13.05" customHeight="1">
      <c r="B11" s="2643" t="s">
        <v>376</v>
      </c>
      <c r="C11" s="2644"/>
      <c r="D11" s="2644"/>
      <c r="E11" s="2644"/>
      <c r="F11" s="2644"/>
      <c r="G11" s="2644"/>
      <c r="H11" s="2644"/>
      <c r="I11" s="2644"/>
      <c r="J11" s="2644"/>
      <c r="K11" s="2644"/>
      <c r="L11" s="2644"/>
      <c r="M11" s="2644"/>
      <c r="N11" s="2644"/>
      <c r="O11" s="2644"/>
      <c r="P11" s="2644"/>
      <c r="Q11" s="2644"/>
      <c r="R11" s="2644"/>
      <c r="S11" s="2645"/>
      <c r="T11" s="2665">
        <f>IF('Sources and Basis Breakdown'!F107=0,'Sources and Basis Breakdown'!E107,'Sources and Basis Breakdown'!F107)</f>
        <v>68613798.33371</v>
      </c>
      <c r="U11" s="2666"/>
      <c r="V11" s="2666"/>
      <c r="W11" s="2666"/>
      <c r="X11" s="2666"/>
      <c r="Y11" s="2665">
        <f>IF(Y7="",0,IF('Sources and Basis Breakdown'!G107+'Sources and Basis Breakdown'!F107='Sources and Basis Breakdown'!E107,'Sources and Basis Breakdown'!G107,0))</f>
        <v>0</v>
      </c>
      <c r="Z11" s="2666"/>
      <c r="AA11" s="2666"/>
      <c r="AB11" s="2666"/>
      <c r="AC11" s="2666"/>
      <c r="AD11" s="2666">
        <f>IF('Sources and Basis Breakdown'!I107=0,'Sources and Basis Breakdown'!H107,'Sources and Basis Breakdown'!I107)</f>
        <v>0</v>
      </c>
      <c r="AE11" s="2666"/>
      <c r="AF11" s="2666"/>
      <c r="AG11" s="2666"/>
      <c r="AH11" s="2666"/>
      <c r="AI11" s="2666">
        <f>IF(Y7="",0,IF('Sources and Basis Breakdown'!I107+'Sources and Basis Breakdown'!J107='Sources and Basis Breakdown'!H107,'Sources and Basis Breakdown'!J107,0))</f>
        <v>0</v>
      </c>
      <c r="AJ11" s="2666"/>
      <c r="AK11" s="2666"/>
      <c r="AL11" s="2666"/>
      <c r="AM11" s="2666"/>
    </row>
    <row r="12" spans="1:40" ht="13.05" customHeight="1">
      <c r="B12" s="2658" t="s">
        <v>505</v>
      </c>
      <c r="C12" s="1290"/>
      <c r="D12" s="1290"/>
      <c r="E12" s="1290"/>
      <c r="F12" s="1290"/>
      <c r="G12" s="1290"/>
      <c r="H12" s="1290"/>
      <c r="I12" s="1290"/>
      <c r="J12" s="1290"/>
      <c r="K12" s="1290"/>
      <c r="L12" s="1290"/>
      <c r="M12" s="1290"/>
      <c r="N12" s="1290"/>
      <c r="O12" s="1290"/>
      <c r="P12" s="1290"/>
      <c r="Q12" s="1290"/>
      <c r="R12" s="1290"/>
      <c r="S12" s="2659"/>
      <c r="T12" s="2631"/>
      <c r="U12" s="2632"/>
      <c r="V12" s="2632"/>
      <c r="W12" s="2632"/>
      <c r="X12" s="2633"/>
      <c r="Y12" s="2631"/>
      <c r="Z12" s="2632"/>
      <c r="AA12" s="2632"/>
      <c r="AB12" s="2632"/>
      <c r="AC12" s="2633"/>
      <c r="AD12" s="2631"/>
      <c r="AE12" s="2632"/>
      <c r="AF12" s="2632"/>
      <c r="AG12" s="2632"/>
      <c r="AH12" s="2633"/>
      <c r="AI12" s="2631"/>
      <c r="AJ12" s="2632"/>
      <c r="AK12" s="2632"/>
      <c r="AL12" s="2632"/>
      <c r="AM12" s="2633"/>
    </row>
    <row r="13" spans="1:40" ht="13.05" customHeight="1">
      <c r="B13" s="467"/>
      <c r="C13" s="2660" t="s">
        <v>506</v>
      </c>
      <c r="D13" s="2660"/>
      <c r="E13" s="2660"/>
      <c r="F13" s="2660"/>
      <c r="G13" s="2660"/>
      <c r="H13" s="2660"/>
      <c r="I13" s="2660"/>
      <c r="J13" s="2660"/>
      <c r="K13" s="2660"/>
      <c r="L13" s="2660"/>
      <c r="M13" s="2660"/>
      <c r="N13" s="2660"/>
      <c r="O13" s="2660"/>
      <c r="P13" s="2660"/>
      <c r="Q13" s="2660"/>
      <c r="R13" s="2660"/>
      <c r="S13" s="2661"/>
      <c r="T13" s="2667"/>
      <c r="U13" s="2668"/>
      <c r="V13" s="2668"/>
      <c r="W13" s="2668"/>
      <c r="X13" s="2668"/>
      <c r="Y13" s="2667"/>
      <c r="Z13" s="2668"/>
      <c r="AA13" s="2668"/>
      <c r="AB13" s="2668"/>
      <c r="AC13" s="2668"/>
      <c r="AD13" s="2668"/>
      <c r="AE13" s="2668"/>
      <c r="AF13" s="2668"/>
      <c r="AG13" s="2668"/>
      <c r="AH13" s="2668"/>
      <c r="AI13" s="2668"/>
      <c r="AJ13" s="2668"/>
      <c r="AK13" s="2668"/>
      <c r="AL13" s="2668"/>
      <c r="AM13" s="2668"/>
    </row>
    <row r="14" spans="1:40" ht="13.05" customHeight="1">
      <c r="B14" s="467"/>
      <c r="C14" s="2660" t="s">
        <v>507</v>
      </c>
      <c r="D14" s="2660"/>
      <c r="E14" s="2660"/>
      <c r="F14" s="2660"/>
      <c r="G14" s="2660"/>
      <c r="H14" s="2660"/>
      <c r="I14" s="2660"/>
      <c r="J14" s="2660"/>
      <c r="K14" s="2660"/>
      <c r="L14" s="2660"/>
      <c r="M14" s="2660"/>
      <c r="N14" s="2660"/>
      <c r="O14" s="2660"/>
      <c r="P14" s="2660"/>
      <c r="Q14" s="2660"/>
      <c r="R14" s="2660"/>
      <c r="S14" s="2661"/>
      <c r="T14" s="2634"/>
      <c r="U14" s="2635"/>
      <c r="V14" s="2635"/>
      <c r="W14" s="2635"/>
      <c r="X14" s="2635"/>
      <c r="Y14" s="2634"/>
      <c r="Z14" s="2635"/>
      <c r="AA14" s="2635"/>
      <c r="AB14" s="2635"/>
      <c r="AC14" s="2635"/>
      <c r="AD14" s="2635"/>
      <c r="AE14" s="2635"/>
      <c r="AF14" s="2635"/>
      <c r="AG14" s="2635"/>
      <c r="AH14" s="2635"/>
      <c r="AI14" s="2635"/>
      <c r="AJ14" s="2635"/>
      <c r="AK14" s="2635"/>
      <c r="AL14" s="2635"/>
      <c r="AM14" s="2635"/>
    </row>
    <row r="15" spans="1:40" ht="13.05" customHeight="1">
      <c r="B15" s="467"/>
      <c r="C15" s="2660" t="s">
        <v>508</v>
      </c>
      <c r="D15" s="2660"/>
      <c r="E15" s="2660"/>
      <c r="F15" s="2660"/>
      <c r="G15" s="2660"/>
      <c r="H15" s="2660"/>
      <c r="I15" s="2660"/>
      <c r="J15" s="2660"/>
      <c r="K15" s="2660"/>
      <c r="L15" s="2660"/>
      <c r="M15" s="2660"/>
      <c r="N15" s="2660"/>
      <c r="O15" s="2660"/>
      <c r="P15" s="2660"/>
      <c r="Q15" s="2660"/>
      <c r="R15" s="2660"/>
      <c r="S15" s="2661"/>
      <c r="T15" s="2634"/>
      <c r="U15" s="2635"/>
      <c r="V15" s="2635"/>
      <c r="W15" s="2635"/>
      <c r="X15" s="2635"/>
      <c r="Y15" s="2634"/>
      <c r="Z15" s="2635"/>
      <c r="AA15" s="2635"/>
      <c r="AB15" s="2635"/>
      <c r="AC15" s="2635"/>
      <c r="AD15" s="2635"/>
      <c r="AE15" s="2635"/>
      <c r="AF15" s="2635"/>
      <c r="AG15" s="2635"/>
      <c r="AH15" s="2635"/>
      <c r="AI15" s="2635"/>
      <c r="AJ15" s="2635"/>
      <c r="AK15" s="2635"/>
      <c r="AL15" s="2635"/>
      <c r="AM15" s="2635"/>
    </row>
    <row r="16" spans="1:40" ht="13.05" customHeight="1">
      <c r="B16" s="467"/>
      <c r="C16" s="2660" t="s">
        <v>814</v>
      </c>
      <c r="D16" s="2660"/>
      <c r="E16" s="2660"/>
      <c r="F16" s="2660"/>
      <c r="G16" s="2660"/>
      <c r="H16" s="2660"/>
      <c r="I16" s="2660"/>
      <c r="J16" s="2660"/>
      <c r="K16" s="2660"/>
      <c r="L16" s="2660"/>
      <c r="M16" s="2660"/>
      <c r="N16" s="2660"/>
      <c r="O16" s="2660"/>
      <c r="P16" s="2660"/>
      <c r="Q16" s="2660"/>
      <c r="R16" s="2660"/>
      <c r="S16" s="2661"/>
      <c r="T16" s="2634"/>
      <c r="U16" s="2635"/>
      <c r="V16" s="2635"/>
      <c r="W16" s="2635"/>
      <c r="X16" s="2635"/>
      <c r="Y16" s="2634"/>
      <c r="Z16" s="2635"/>
      <c r="AA16" s="2635"/>
      <c r="AB16" s="2635"/>
      <c r="AC16" s="2635"/>
      <c r="AD16" s="2635"/>
      <c r="AE16" s="2635"/>
      <c r="AF16" s="2635"/>
      <c r="AG16" s="2635"/>
      <c r="AH16" s="2635"/>
      <c r="AI16" s="2635"/>
      <c r="AJ16" s="2635"/>
      <c r="AK16" s="2635"/>
      <c r="AL16" s="2635"/>
      <c r="AM16" s="2635"/>
    </row>
    <row r="17" spans="1:40" ht="13.05" customHeight="1">
      <c r="B17" s="467"/>
      <c r="C17" s="2660" t="s">
        <v>509</v>
      </c>
      <c r="D17" s="2660"/>
      <c r="E17" s="2660"/>
      <c r="F17" s="2660"/>
      <c r="G17" s="2660"/>
      <c r="H17" s="2660"/>
      <c r="I17" s="2660"/>
      <c r="J17" s="2660"/>
      <c r="K17" s="2660"/>
      <c r="L17" s="2660"/>
      <c r="M17" s="2660"/>
      <c r="N17" s="2660"/>
      <c r="O17" s="2660"/>
      <c r="P17" s="2660"/>
      <c r="Q17" s="2660"/>
      <c r="R17" s="2660"/>
      <c r="S17" s="2661"/>
      <c r="T17" s="2634"/>
      <c r="U17" s="2635"/>
      <c r="V17" s="2635"/>
      <c r="W17" s="2635"/>
      <c r="X17" s="2635"/>
      <c r="Y17" s="2634"/>
      <c r="Z17" s="2635"/>
      <c r="AA17" s="2635"/>
      <c r="AB17" s="2635"/>
      <c r="AC17" s="2635"/>
      <c r="AD17" s="2635"/>
      <c r="AE17" s="2635"/>
      <c r="AF17" s="2635"/>
      <c r="AG17" s="2635"/>
      <c r="AH17" s="2635"/>
      <c r="AI17" s="2635"/>
      <c r="AJ17" s="2635"/>
      <c r="AK17" s="2635"/>
      <c r="AL17" s="2635"/>
      <c r="AM17" s="2635"/>
    </row>
    <row r="18" spans="1:40" ht="13.05" customHeight="1">
      <c r="A18"/>
      <c r="B18" s="1194"/>
      <c r="C18" s="1719" t="s">
        <v>979</v>
      </c>
      <c r="D18" s="1719"/>
      <c r="E18" s="1719"/>
      <c r="F18" s="1719"/>
      <c r="G18" s="1719"/>
      <c r="H18" s="1719"/>
      <c r="I18" s="1719"/>
      <c r="J18" s="1719"/>
      <c r="K18" s="1719"/>
      <c r="L18" s="1719"/>
      <c r="M18" s="1719"/>
      <c r="N18" s="1719"/>
      <c r="O18" s="1719"/>
      <c r="P18" s="1719"/>
      <c r="Q18" s="1719"/>
      <c r="R18" s="1719"/>
      <c r="S18" s="1720"/>
      <c r="T18" s="2634"/>
      <c r="U18" s="2635"/>
      <c r="V18" s="2635"/>
      <c r="W18" s="2635"/>
      <c r="X18" s="2635"/>
      <c r="Y18" s="2634"/>
      <c r="Z18" s="2635"/>
      <c r="AA18" s="2635"/>
      <c r="AB18" s="2635"/>
      <c r="AC18" s="2635"/>
      <c r="AD18" s="2635"/>
      <c r="AE18" s="2635"/>
      <c r="AF18" s="2635"/>
      <c r="AG18" s="2635"/>
      <c r="AH18" s="2635"/>
      <c r="AI18" s="2635"/>
      <c r="AJ18" s="2635"/>
      <c r="AK18" s="2635"/>
      <c r="AL18" s="2635"/>
      <c r="AM18" s="2635"/>
    </row>
    <row r="19" spans="1:40" ht="13.05" customHeight="1">
      <c r="B19" s="1194"/>
      <c r="C19" s="1719" t="s">
        <v>979</v>
      </c>
      <c r="D19" s="1719"/>
      <c r="E19" s="1719"/>
      <c r="F19" s="1719"/>
      <c r="G19" s="1719"/>
      <c r="H19" s="1719"/>
      <c r="I19" s="1719"/>
      <c r="J19" s="1719"/>
      <c r="K19" s="1719"/>
      <c r="L19" s="1719"/>
      <c r="M19" s="1719"/>
      <c r="N19" s="1719"/>
      <c r="O19" s="1719"/>
      <c r="P19" s="1719"/>
      <c r="Q19" s="1719"/>
      <c r="R19" s="1719"/>
      <c r="S19" s="1720"/>
      <c r="T19" s="2634"/>
      <c r="U19" s="2635"/>
      <c r="V19" s="2635"/>
      <c r="W19" s="2635"/>
      <c r="X19" s="2635"/>
      <c r="Y19" s="2634"/>
      <c r="Z19" s="2635"/>
      <c r="AA19" s="2635"/>
      <c r="AB19" s="2635"/>
      <c r="AC19" s="2635"/>
      <c r="AD19" s="2635"/>
      <c r="AE19" s="2635"/>
      <c r="AF19" s="2635"/>
      <c r="AG19" s="2635"/>
      <c r="AH19" s="2635"/>
      <c r="AI19" s="2635"/>
      <c r="AJ19" s="2635"/>
      <c r="AK19" s="2635"/>
      <c r="AL19" s="2635"/>
      <c r="AM19" s="2635"/>
    </row>
    <row r="20" spans="1:40" ht="13.05" customHeight="1">
      <c r="B20" s="2643" t="s">
        <v>510</v>
      </c>
      <c r="C20" s="2644"/>
      <c r="D20" s="2644"/>
      <c r="E20" s="2644"/>
      <c r="F20" s="2644"/>
      <c r="G20" s="2644"/>
      <c r="H20" s="2644"/>
      <c r="I20" s="2644"/>
      <c r="J20" s="2644"/>
      <c r="K20" s="2644"/>
      <c r="L20" s="2644"/>
      <c r="M20" s="2644"/>
      <c r="N20" s="2644"/>
      <c r="O20" s="2644"/>
      <c r="P20" s="2644"/>
      <c r="Q20" s="2644"/>
      <c r="R20" s="2644"/>
      <c r="S20" s="2645"/>
      <c r="T20" s="2636">
        <f>SUM(T13:X19)</f>
        <v>0</v>
      </c>
      <c r="U20" s="2637"/>
      <c r="V20" s="2637"/>
      <c r="W20" s="2637"/>
      <c r="X20" s="2637"/>
      <c r="Y20" s="2636">
        <f>SUM(Y13:AC19)</f>
        <v>0</v>
      </c>
      <c r="Z20" s="2637"/>
      <c r="AA20" s="2637"/>
      <c r="AB20" s="2637"/>
      <c r="AC20" s="2637"/>
      <c r="AD20" s="2638">
        <f>SUM(AD13:AH19)</f>
        <v>0</v>
      </c>
      <c r="AE20" s="2639"/>
      <c r="AF20" s="2639"/>
      <c r="AG20" s="2639"/>
      <c r="AH20" s="2636"/>
      <c r="AI20" s="2638">
        <f>SUM(AI13:AM19)</f>
        <v>0</v>
      </c>
      <c r="AJ20" s="2639"/>
      <c r="AK20" s="2639"/>
      <c r="AL20" s="2639"/>
      <c r="AM20" s="2636"/>
    </row>
    <row r="21" spans="1:40" ht="13.05" customHeight="1">
      <c r="B21" s="2643" t="s">
        <v>1373</v>
      </c>
      <c r="C21" s="2644"/>
      <c r="D21" s="2644"/>
      <c r="E21" s="2644"/>
      <c r="F21" s="2644"/>
      <c r="G21" s="2644"/>
      <c r="H21" s="2644"/>
      <c r="I21" s="2644"/>
      <c r="J21" s="2644"/>
      <c r="K21" s="2644"/>
      <c r="L21" s="2644"/>
      <c r="M21" s="2644"/>
      <c r="N21" s="2644"/>
      <c r="O21" s="2644"/>
      <c r="P21" s="2644"/>
      <c r="Q21" s="2644"/>
      <c r="R21" s="2644"/>
      <c r="S21" s="2645"/>
      <c r="T21" s="2634"/>
      <c r="U21" s="2635"/>
      <c r="V21" s="2635"/>
      <c r="W21" s="2635"/>
      <c r="X21" s="2635"/>
      <c r="Y21" s="2634"/>
      <c r="Z21" s="2635"/>
      <c r="AA21" s="2635"/>
      <c r="AB21" s="2635"/>
      <c r="AC21" s="2635"/>
      <c r="AD21" s="2631"/>
      <c r="AE21" s="2632"/>
      <c r="AF21" s="2632"/>
      <c r="AG21" s="2632"/>
      <c r="AH21" s="2633"/>
      <c r="AI21" s="2631"/>
      <c r="AJ21" s="2632"/>
      <c r="AK21" s="2632"/>
      <c r="AL21" s="2632"/>
      <c r="AM21" s="2633"/>
    </row>
    <row r="22" spans="1:40" ht="13.05" customHeight="1">
      <c r="B22" s="2643" t="s">
        <v>511</v>
      </c>
      <c r="C22" s="2644"/>
      <c r="D22" s="2644"/>
      <c r="E22" s="2644"/>
      <c r="F22" s="2644"/>
      <c r="G22" s="2644"/>
      <c r="H22" s="2644"/>
      <c r="I22" s="2644"/>
      <c r="J22" s="2644"/>
      <c r="K22" s="2644"/>
      <c r="L22" s="2644"/>
      <c r="M22" s="2644"/>
      <c r="N22" s="2644"/>
      <c r="O22" s="2644"/>
      <c r="P22" s="2644"/>
      <c r="Q22" s="2644"/>
      <c r="R22" s="2644"/>
      <c r="S22" s="2645"/>
      <c r="T22" s="2669">
        <f>(ABS(T20)+ABS(T21))*-1</f>
        <v>0</v>
      </c>
      <c r="U22" s="2670"/>
      <c r="V22" s="2670"/>
      <c r="W22" s="2670"/>
      <c r="X22" s="2670"/>
      <c r="Y22" s="2669">
        <f>(Y20+Y21)*-1</f>
        <v>0</v>
      </c>
      <c r="Z22" s="2670"/>
      <c r="AA22" s="2670"/>
      <c r="AB22" s="2670"/>
      <c r="AC22" s="2670"/>
      <c r="AD22" s="2671">
        <f>(AD20)*-1</f>
        <v>0</v>
      </c>
      <c r="AE22" s="2672"/>
      <c r="AF22" s="2672"/>
      <c r="AG22" s="2672"/>
      <c r="AH22" s="2669"/>
      <c r="AI22" s="2671">
        <f>(AI20)*-1</f>
        <v>0</v>
      </c>
      <c r="AJ22" s="2672"/>
      <c r="AK22" s="2672"/>
      <c r="AL22" s="2672"/>
      <c r="AM22" s="2669"/>
    </row>
    <row r="23" spans="1:40" ht="13.05" customHeight="1">
      <c r="B23" s="2643" t="s">
        <v>512</v>
      </c>
      <c r="C23" s="2644"/>
      <c r="D23" s="2644"/>
      <c r="E23" s="2644"/>
      <c r="F23" s="2644"/>
      <c r="G23" s="2644"/>
      <c r="H23" s="2644"/>
      <c r="I23" s="2644"/>
      <c r="J23" s="2644"/>
      <c r="K23" s="2644"/>
      <c r="L23" s="2644"/>
      <c r="M23" s="2644"/>
      <c r="N23" s="2644"/>
      <c r="O23" s="2644"/>
      <c r="P23" s="2644"/>
      <c r="Q23" s="2644"/>
      <c r="R23" s="2644"/>
      <c r="S23" s="2645"/>
      <c r="T23" s="2636">
        <f>T11+T22</f>
        <v>68613798.33371</v>
      </c>
      <c r="U23" s="2637"/>
      <c r="V23" s="2637"/>
      <c r="W23" s="2637"/>
      <c r="X23" s="2637"/>
      <c r="Y23" s="2636">
        <f>Y11+Y22</f>
        <v>0</v>
      </c>
      <c r="Z23" s="2637"/>
      <c r="AA23" s="2637"/>
      <c r="AB23" s="2637"/>
      <c r="AC23" s="2637"/>
      <c r="AD23" s="2636">
        <f>AD11+AD22</f>
        <v>0</v>
      </c>
      <c r="AE23" s="2637"/>
      <c r="AF23" s="2637"/>
      <c r="AG23" s="2637"/>
      <c r="AH23" s="2637"/>
      <c r="AI23" s="2636">
        <f>AI11+AI22</f>
        <v>0</v>
      </c>
      <c r="AJ23" s="2637"/>
      <c r="AK23" s="2637"/>
      <c r="AL23" s="2637"/>
      <c r="AM23" s="2637"/>
    </row>
    <row r="24" spans="1:40" ht="13.05" customHeight="1">
      <c r="B24" s="2643" t="s">
        <v>980</v>
      </c>
      <c r="C24" s="2644"/>
      <c r="D24" s="2644"/>
      <c r="E24" s="2644"/>
      <c r="F24" s="2644"/>
      <c r="G24" s="2644"/>
      <c r="H24" s="2644"/>
      <c r="I24" s="2644"/>
      <c r="J24" s="2644"/>
      <c r="K24" s="2644"/>
      <c r="L24" s="2644"/>
      <c r="M24" s="2644"/>
      <c r="N24" s="2644"/>
      <c r="O24" s="2644"/>
      <c r="P24" s="2644"/>
      <c r="Q24" s="2644"/>
      <c r="R24" s="2644"/>
      <c r="S24" s="2645"/>
      <c r="T24" s="2638">
        <f>Application!AJ1052</f>
        <v>123968314.19999999</v>
      </c>
      <c r="U24" s="2639"/>
      <c r="V24" s="2639"/>
      <c r="W24" s="2639"/>
      <c r="X24" s="2639"/>
      <c r="Y24" s="2639"/>
      <c r="Z24" s="2639"/>
      <c r="AA24" s="2639"/>
      <c r="AB24" s="2639"/>
      <c r="AC24" s="2639"/>
      <c r="AD24" s="2639"/>
      <c r="AE24" s="2639"/>
      <c r="AF24" s="2639"/>
      <c r="AG24" s="2639"/>
      <c r="AH24" s="2639"/>
      <c r="AI24" s="2639"/>
      <c r="AJ24" s="2639"/>
      <c r="AK24" s="2639"/>
      <c r="AL24" s="2639"/>
      <c r="AM24" s="2636"/>
    </row>
    <row r="25" spans="1:40" ht="13.05" customHeight="1">
      <c r="B25" s="2647" t="s">
        <v>1374</v>
      </c>
      <c r="C25" s="2648"/>
      <c r="D25" s="2648"/>
      <c r="E25" s="2648"/>
      <c r="F25" s="2648"/>
      <c r="G25" s="2648"/>
      <c r="H25" s="2648"/>
      <c r="I25" s="2648"/>
      <c r="J25" s="2648"/>
      <c r="K25" s="2648"/>
      <c r="L25" s="2648"/>
      <c r="M25" s="2648"/>
      <c r="N25" s="2648"/>
      <c r="O25" s="2648"/>
      <c r="P25" s="2648"/>
      <c r="Q25" s="2648"/>
      <c r="R25" s="2648"/>
      <c r="S25" s="2649"/>
      <c r="T25" s="2673">
        <f>IF(OR(Application!T196="yes",Application!T195="yes"),1.3,1)</f>
        <v>1.3</v>
      </c>
      <c r="U25" s="2674"/>
      <c r="V25" s="2674"/>
      <c r="W25" s="2674"/>
      <c r="X25" s="2674"/>
      <c r="Y25" s="2673">
        <v>1</v>
      </c>
      <c r="Z25" s="2674"/>
      <c r="AA25" s="2674"/>
      <c r="AB25" s="2674"/>
      <c r="AC25" s="2674"/>
      <c r="AD25" s="2673">
        <v>1</v>
      </c>
      <c r="AE25" s="2674"/>
      <c r="AF25" s="2674"/>
      <c r="AG25" s="2674"/>
      <c r="AH25" s="2675"/>
      <c r="AI25" s="2673">
        <v>1</v>
      </c>
      <c r="AJ25" s="2674"/>
      <c r="AK25" s="2674"/>
      <c r="AL25" s="2674"/>
      <c r="AM25" s="2675"/>
    </row>
    <row r="26" spans="1:40" ht="13.05" customHeight="1">
      <c r="B26" s="2643" t="s">
        <v>513</v>
      </c>
      <c r="C26" s="2644"/>
      <c r="D26" s="2644"/>
      <c r="E26" s="2644"/>
      <c r="F26" s="2644"/>
      <c r="G26" s="2644"/>
      <c r="H26" s="2644"/>
      <c r="I26" s="2644"/>
      <c r="J26" s="2644"/>
      <c r="K26" s="2644"/>
      <c r="L26" s="2644"/>
      <c r="M26" s="2644"/>
      <c r="N26" s="2644"/>
      <c r="O26" s="2644"/>
      <c r="P26" s="2644"/>
      <c r="Q26" s="2644"/>
      <c r="R26" s="2644"/>
      <c r="S26" s="2645"/>
      <c r="T26" s="2636">
        <f>T23*T25</f>
        <v>89197937.83382301</v>
      </c>
      <c r="U26" s="2637"/>
      <c r="V26" s="2637"/>
      <c r="W26" s="2637"/>
      <c r="X26" s="2637"/>
      <c r="Y26" s="2636">
        <f>Y23*Y25</f>
        <v>0</v>
      </c>
      <c r="Z26" s="2637"/>
      <c r="AA26" s="2637"/>
      <c r="AB26" s="2637"/>
      <c r="AC26" s="2637"/>
      <c r="AD26" s="2636">
        <f>AD23*AD25</f>
        <v>0</v>
      </c>
      <c r="AE26" s="2637"/>
      <c r="AF26" s="2637"/>
      <c r="AG26" s="2637"/>
      <c r="AH26" s="2637"/>
      <c r="AI26" s="2636">
        <f>AI23*AI25</f>
        <v>0</v>
      </c>
      <c r="AJ26" s="2637"/>
      <c r="AK26" s="2637"/>
      <c r="AL26" s="2637"/>
      <c r="AM26" s="2637"/>
    </row>
    <row r="27" spans="1:40" ht="13.05" customHeight="1">
      <c r="A27" s="441"/>
      <c r="B27" s="2650" t="s">
        <v>427</v>
      </c>
      <c r="C27" s="2651"/>
      <c r="D27" s="2651"/>
      <c r="E27" s="2651"/>
      <c r="F27" s="2651"/>
      <c r="G27" s="2651"/>
      <c r="H27" s="2651"/>
      <c r="I27" s="2651"/>
      <c r="J27" s="2651"/>
      <c r="K27" s="2651"/>
      <c r="L27" s="2651"/>
      <c r="M27" s="2651"/>
      <c r="N27" s="2651"/>
      <c r="O27" s="2651"/>
      <c r="P27" s="2651"/>
      <c r="Q27" s="2651"/>
      <c r="R27" s="2651"/>
      <c r="S27" s="2652"/>
      <c r="T27" s="2656">
        <f>Application!$AG$445</f>
        <v>1</v>
      </c>
      <c r="U27" s="2657"/>
      <c r="V27" s="2657"/>
      <c r="W27" s="2657"/>
      <c r="X27" s="2657"/>
      <c r="Y27" s="2656">
        <f>Application!$AG$445</f>
        <v>1</v>
      </c>
      <c r="Z27" s="2657"/>
      <c r="AA27" s="2657"/>
      <c r="AB27" s="2657"/>
      <c r="AC27" s="2657"/>
      <c r="AD27" s="2656">
        <f>Application!$AG$445</f>
        <v>1</v>
      </c>
      <c r="AE27" s="2657"/>
      <c r="AF27" s="2657"/>
      <c r="AG27" s="2657"/>
      <c r="AH27" s="2657"/>
      <c r="AI27" s="2656">
        <f>Application!$AG$445</f>
        <v>1</v>
      </c>
      <c r="AJ27" s="2657"/>
      <c r="AK27" s="2657"/>
      <c r="AL27" s="2657"/>
      <c r="AM27" s="2657"/>
    </row>
    <row r="28" spans="1:40" ht="13.05" customHeight="1">
      <c r="A28" s="435"/>
      <c r="B28" s="2643" t="s">
        <v>514</v>
      </c>
      <c r="C28" s="2644"/>
      <c r="D28" s="2644"/>
      <c r="E28" s="2644"/>
      <c r="F28" s="2644"/>
      <c r="G28" s="2644"/>
      <c r="H28" s="2644"/>
      <c r="I28" s="2644"/>
      <c r="J28" s="2644"/>
      <c r="K28" s="2644"/>
      <c r="L28" s="2644"/>
      <c r="M28" s="2644"/>
      <c r="N28" s="2644"/>
      <c r="O28" s="2644"/>
      <c r="P28" s="2644"/>
      <c r="Q28" s="2644"/>
      <c r="R28" s="2644"/>
      <c r="S28" s="2645"/>
      <c r="T28" s="2636">
        <f>IF(ISERROR((T26*T27)),0,(T26*T27))</f>
        <v>89197937.83382301</v>
      </c>
      <c r="U28" s="2637"/>
      <c r="V28" s="2637"/>
      <c r="W28" s="2637"/>
      <c r="X28" s="2637"/>
      <c r="Y28" s="2636">
        <f>IF(ISERROR((Y26*Y27)),0,(Y26*Y27))</f>
        <v>0</v>
      </c>
      <c r="Z28" s="2637"/>
      <c r="AA28" s="2637"/>
      <c r="AB28" s="2637"/>
      <c r="AC28" s="2637"/>
      <c r="AD28" s="2636">
        <f>IF(ISERROR((AD26*AD27)),0,(AD26*AD27))</f>
        <v>0</v>
      </c>
      <c r="AE28" s="2637"/>
      <c r="AF28" s="2637"/>
      <c r="AG28" s="2637"/>
      <c r="AH28" s="2637"/>
      <c r="AI28" s="2636">
        <f>IF(ISERROR((AI26*AI27)),0,(AI26*AI27))</f>
        <v>0</v>
      </c>
      <c r="AJ28" s="2637"/>
      <c r="AK28" s="2637"/>
      <c r="AL28" s="2637"/>
      <c r="AM28" s="2637"/>
    </row>
    <row r="29" spans="1:40" ht="13.05" customHeight="1">
      <c r="B29" s="2643" t="s">
        <v>531</v>
      </c>
      <c r="C29" s="2644"/>
      <c r="D29" s="2644"/>
      <c r="E29" s="2644"/>
      <c r="F29" s="2644"/>
      <c r="G29" s="2644"/>
      <c r="H29" s="2644"/>
      <c r="I29" s="2644"/>
      <c r="J29" s="2644"/>
      <c r="K29" s="2644"/>
      <c r="L29" s="2644"/>
      <c r="M29" s="2644"/>
      <c r="N29" s="2644"/>
      <c r="O29" s="2644"/>
      <c r="P29" s="2644"/>
      <c r="Q29" s="2644"/>
      <c r="R29" s="2644"/>
      <c r="S29" s="2645"/>
      <c r="T29" s="2638">
        <f>T28+Y28+AD28+AI28</f>
        <v>89197937.83382301</v>
      </c>
      <c r="U29" s="2639"/>
      <c r="V29" s="2639"/>
      <c r="W29" s="2639"/>
      <c r="X29" s="2639"/>
      <c r="Y29" s="2639"/>
      <c r="Z29" s="2639"/>
      <c r="AA29" s="2639"/>
      <c r="AB29" s="2639"/>
      <c r="AC29" s="2639"/>
      <c r="AD29" s="2639"/>
      <c r="AE29" s="2639"/>
      <c r="AF29" s="2639"/>
      <c r="AG29" s="2639"/>
      <c r="AH29" s="2639"/>
      <c r="AI29" s="2639"/>
      <c r="AJ29" s="2639"/>
      <c r="AK29" s="2639"/>
      <c r="AL29" s="2639"/>
      <c r="AM29" s="2636"/>
    </row>
    <row r="30" spans="1:40" ht="13.05" customHeight="1">
      <c r="B30" s="2646" t="s">
        <v>1376</v>
      </c>
      <c r="C30" s="2646"/>
      <c r="D30" s="2646"/>
      <c r="E30" s="2646"/>
      <c r="F30" s="2646"/>
      <c r="G30" s="2646"/>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row>
    <row r="31" spans="1:40" ht="13.05" customHeight="1">
      <c r="B31" s="2646" t="s">
        <v>1375</v>
      </c>
      <c r="C31" s="2646"/>
      <c r="D31" s="2646"/>
      <c r="E31" s="2646"/>
      <c r="F31" s="2646"/>
      <c r="G31" s="2646"/>
      <c r="H31" s="2646"/>
      <c r="I31" s="2646"/>
      <c r="J31" s="2646"/>
      <c r="K31" s="2646"/>
      <c r="L31" s="2646"/>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552"/>
    </row>
    <row r="32" spans="1:40" ht="13.0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05" customHeight="1">
      <c r="A34" s="435" t="s">
        <v>584</v>
      </c>
      <c r="C34" s="435" t="s">
        <v>576</v>
      </c>
    </row>
    <row r="35" spans="1:76" ht="13.0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64" t="s">
        <v>1256</v>
      </c>
      <c r="Z35" s="2664"/>
      <c r="AA35" s="2664"/>
      <c r="AB35" s="2664"/>
      <c r="AC35" s="2664"/>
      <c r="AD35" s="2687" t="s">
        <v>370</v>
      </c>
      <c r="AE35" s="2687"/>
      <c r="AF35" s="2687"/>
      <c r="AG35" s="2687"/>
      <c r="AH35" s="2687"/>
    </row>
    <row r="36" spans="1:76" ht="13.05" customHeight="1">
      <c r="B36" s="438"/>
      <c r="X36" s="443"/>
      <c r="Y36" s="2664"/>
      <c r="Z36" s="2664"/>
      <c r="AA36" s="2664"/>
      <c r="AB36" s="2664"/>
      <c r="AC36" s="2664"/>
      <c r="AD36" s="2687"/>
      <c r="AE36" s="2687"/>
      <c r="AF36" s="2687"/>
      <c r="AG36" s="2687"/>
      <c r="AH36" s="2687"/>
    </row>
    <row r="37" spans="1:76" ht="13.0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64"/>
      <c r="Z37" s="2664"/>
      <c r="AA37" s="2664"/>
      <c r="AB37" s="2664"/>
      <c r="AC37" s="2664"/>
      <c r="AD37" s="2687"/>
      <c r="AE37" s="2687"/>
      <c r="AF37" s="2687"/>
      <c r="AG37" s="2687"/>
      <c r="AH37" s="2687"/>
    </row>
    <row r="38" spans="1:76" ht="13.05" customHeight="1">
      <c r="A38" s="435"/>
      <c r="B38" s="2643" t="s">
        <v>514</v>
      </c>
      <c r="C38" s="2644"/>
      <c r="D38" s="2644"/>
      <c r="E38" s="2644"/>
      <c r="F38" s="2644"/>
      <c r="G38" s="2644"/>
      <c r="H38" s="2644"/>
      <c r="I38" s="2644"/>
      <c r="J38" s="2644"/>
      <c r="K38" s="2644"/>
      <c r="L38" s="2644"/>
      <c r="M38" s="2644"/>
      <c r="N38" s="2644"/>
      <c r="O38" s="2644"/>
      <c r="P38" s="2644"/>
      <c r="Q38" s="2644"/>
      <c r="R38" s="2644"/>
      <c r="S38" s="2644"/>
      <c r="T38" s="2644"/>
      <c r="U38" s="2644"/>
      <c r="V38" s="2644"/>
      <c r="W38" s="2644"/>
      <c r="X38" s="2645"/>
      <c r="Y38" s="2637">
        <f>IF(T24&gt;=(T23+Y23+AD23+AI23),T28+Y28,0)</f>
        <v>89197937.83382301</v>
      </c>
      <c r="Z38" s="2637"/>
      <c r="AA38" s="2637"/>
      <c r="AB38" s="2637"/>
      <c r="AC38" s="2637"/>
      <c r="AD38" s="2637">
        <f>IF(T24&gt;=(T23+Y23+AD23+AI23),AD28+AI28,0)</f>
        <v>0</v>
      </c>
      <c r="AE38" s="2637"/>
      <c r="AF38" s="2637"/>
      <c r="AG38" s="2637"/>
      <c r="AH38" s="2637"/>
    </row>
    <row r="39" spans="1:76" ht="13.05" customHeight="1">
      <c r="B39" s="2643" t="s">
        <v>1881</v>
      </c>
      <c r="C39" s="2644"/>
      <c r="D39" s="2644"/>
      <c r="E39" s="2644"/>
      <c r="F39" s="2644"/>
      <c r="G39" s="2644"/>
      <c r="H39" s="2644"/>
      <c r="I39" s="2644"/>
      <c r="J39" s="2644"/>
      <c r="K39" s="2644"/>
      <c r="L39" s="2644"/>
      <c r="M39" s="2644"/>
      <c r="N39" s="2644"/>
      <c r="O39" s="2644"/>
      <c r="P39" s="2644"/>
      <c r="Q39" s="2644"/>
      <c r="R39" s="2644"/>
      <c r="S39" s="2644"/>
      <c r="T39" s="2644"/>
      <c r="U39" s="2644"/>
      <c r="V39" s="2644"/>
      <c r="W39" s="2644"/>
      <c r="X39" s="2645"/>
      <c r="Y39" s="2688">
        <v>0.04</v>
      </c>
      <c r="Z39" s="2688"/>
      <c r="AA39" s="2688"/>
      <c r="AB39" s="2688"/>
      <c r="AC39" s="2688"/>
      <c r="AD39" s="2688">
        <v>0.04</v>
      </c>
      <c r="AE39" s="2688"/>
      <c r="AF39" s="2688"/>
      <c r="AG39" s="2688"/>
      <c r="AH39" s="2688"/>
    </row>
    <row r="40" spans="1:76" ht="13.05" customHeight="1">
      <c r="A40" s="435"/>
      <c r="B40" s="2643" t="s">
        <v>650</v>
      </c>
      <c r="C40" s="2644"/>
      <c r="D40" s="2644"/>
      <c r="E40" s="2644"/>
      <c r="F40" s="2644"/>
      <c r="G40" s="2644"/>
      <c r="H40" s="2644"/>
      <c r="I40" s="2644"/>
      <c r="J40" s="2644"/>
      <c r="K40" s="2644"/>
      <c r="L40" s="2644"/>
      <c r="M40" s="2644"/>
      <c r="N40" s="2644"/>
      <c r="O40" s="2644"/>
      <c r="P40" s="2644"/>
      <c r="Q40" s="2644"/>
      <c r="R40" s="2644"/>
      <c r="S40" s="2644"/>
      <c r="T40" s="2644"/>
      <c r="U40" s="2644"/>
      <c r="V40" s="2644"/>
      <c r="W40" s="2644"/>
      <c r="X40" s="2645"/>
      <c r="Y40" s="2637">
        <f>ROUND(Y38*Y39,0)</f>
        <v>3567918</v>
      </c>
      <c r="Z40" s="2637"/>
      <c r="AA40" s="2637"/>
      <c r="AB40" s="2637"/>
      <c r="AC40" s="2637"/>
      <c r="AD40" s="2636">
        <f>ROUND(AD38*AD39,0)</f>
        <v>0</v>
      </c>
      <c r="AE40" s="2637"/>
      <c r="AF40" s="2637"/>
      <c r="AG40" s="2637"/>
      <c r="AH40" s="2637"/>
    </row>
    <row r="41" spans="1:76" ht="13.05" customHeight="1">
      <c r="B41" s="2643" t="s">
        <v>651</v>
      </c>
      <c r="C41" s="2644"/>
      <c r="D41" s="2644"/>
      <c r="E41" s="2644"/>
      <c r="F41" s="2644"/>
      <c r="G41" s="2644"/>
      <c r="H41" s="2644"/>
      <c r="I41" s="2644"/>
      <c r="J41" s="2644"/>
      <c r="K41" s="2644"/>
      <c r="L41" s="2644"/>
      <c r="M41" s="2644"/>
      <c r="N41" s="2644"/>
      <c r="O41" s="2644"/>
      <c r="P41" s="2644"/>
      <c r="Q41" s="2644"/>
      <c r="R41" s="2644"/>
      <c r="S41" s="2644"/>
      <c r="T41" s="2644"/>
      <c r="U41" s="2644"/>
      <c r="V41" s="2644"/>
      <c r="W41" s="2644"/>
      <c r="X41" s="2645"/>
      <c r="Y41" s="2638">
        <f>Y40+AD40</f>
        <v>3567918</v>
      </c>
      <c r="Z41" s="2639"/>
      <c r="AA41" s="2639"/>
      <c r="AB41" s="2639"/>
      <c r="AC41" s="2639"/>
      <c r="AD41" s="2639"/>
      <c r="AE41" s="2639"/>
      <c r="AF41" s="2639"/>
      <c r="AG41" s="2639"/>
      <c r="AH41" s="2636"/>
    </row>
    <row r="42" spans="1:76" ht="13.0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0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05" customHeight="1" thickBot="1">
      <c r="A44" s="2641" t="s">
        <v>1386</v>
      </c>
      <c r="B44" s="2641"/>
      <c r="C44" s="2641"/>
      <c r="D44" s="2641"/>
      <c r="E44" s="2641"/>
      <c r="F44" s="2641"/>
      <c r="G44" s="2641"/>
      <c r="H44" s="2641"/>
      <c r="I44" s="2641"/>
      <c r="J44" s="2641"/>
      <c r="K44" s="2641"/>
      <c r="L44" s="2641"/>
      <c r="M44" s="2641"/>
      <c r="N44" s="2641"/>
      <c r="O44" s="2641"/>
      <c r="P44" s="2641"/>
      <c r="Q44" s="2641"/>
      <c r="R44" s="2641"/>
      <c r="S44" s="2641"/>
      <c r="T44" s="2641"/>
      <c r="U44" s="2641"/>
      <c r="V44" s="2641"/>
      <c r="W44" s="2641"/>
      <c r="X44" s="2641"/>
      <c r="Y44" s="2641"/>
      <c r="Z44" s="2641"/>
      <c r="AA44" s="2641"/>
      <c r="AB44" s="2641"/>
      <c r="AC44" s="2641"/>
      <c r="AD44" s="2641"/>
      <c r="AE44" s="2641"/>
      <c r="AF44" s="2641"/>
      <c r="AG44" s="2641"/>
      <c r="AH44" s="2641"/>
      <c r="AI44" s="2641"/>
      <c r="AJ44" s="2641"/>
      <c r="AK44" s="2641"/>
      <c r="AL44" s="2641"/>
      <c r="AM44" s="2641"/>
      <c r="AN44" s="2641"/>
      <c r="AO44" s="2641"/>
      <c r="AP44" s="2641"/>
      <c r="AQ44" s="2641"/>
      <c r="AR44" s="2641"/>
      <c r="AS44" s="2641"/>
      <c r="AT44" s="2641"/>
      <c r="AU44" s="2641"/>
      <c r="AV44" s="2641"/>
      <c r="AW44" s="2641"/>
      <c r="AX44" s="2641"/>
      <c r="AY44" s="2641"/>
      <c r="AZ44" s="2641"/>
      <c r="BA44" s="2641"/>
      <c r="BB44" s="2641"/>
      <c r="BC44" s="2641"/>
      <c r="BD44" s="2641"/>
      <c r="BE44" s="2641"/>
      <c r="BF44" s="2641"/>
      <c r="BG44" s="2641"/>
      <c r="BH44" s="2641"/>
      <c r="BI44" s="2641"/>
      <c r="BJ44" s="2641"/>
      <c r="BK44" s="2641"/>
      <c r="BL44" s="2641"/>
      <c r="BM44" s="2641"/>
      <c r="BN44" s="2641"/>
      <c r="BO44" s="2641"/>
      <c r="BP44" s="2641"/>
      <c r="BQ44" s="2641"/>
      <c r="BR44" s="2641"/>
      <c r="BS44" s="2641"/>
      <c r="BT44" s="2641"/>
      <c r="BU44" s="2641"/>
      <c r="BV44" s="2641"/>
      <c r="BW44" s="2641"/>
      <c r="BX44" s="2641"/>
    </row>
    <row r="45" spans="1:76" s="218" customFormat="1" ht="13.05" customHeight="1" thickTop="1"/>
    <row r="46" spans="1:76" ht="13.05" customHeight="1">
      <c r="A46" s="435" t="s">
        <v>594</v>
      </c>
      <c r="C46" s="435" t="s">
        <v>283</v>
      </c>
    </row>
    <row r="47" spans="1:76" ht="13.05" customHeight="1">
      <c r="D47" s="435" t="s">
        <v>284</v>
      </c>
      <c r="AB47" s="2653">
        <f>'Sources and Uses Budget'!B105-MAX(IF('Sources and Uses Budget'!B15="",0,'Sources and Uses Budget'!B15),IF(Application!AG394="",0,Application!AG394))</f>
        <v>73815142</v>
      </c>
      <c r="AC47" s="2654"/>
      <c r="AD47" s="2654"/>
      <c r="AE47" s="2654"/>
      <c r="AF47" s="2655"/>
    </row>
    <row r="48" spans="1:76" ht="13.05" customHeight="1">
      <c r="D48" s="435" t="s">
        <v>21</v>
      </c>
      <c r="AB48" s="2653">
        <f>Application!AO639-MAX(IF('Sources and Uses Budget'!B15="",0,'Sources and Uses Budget'!B15),IF(Application!AG394="",0,Application!AG394))</f>
        <v>22563846</v>
      </c>
      <c r="AC48" s="2654"/>
      <c r="AD48" s="2654"/>
      <c r="AE48" s="2654"/>
      <c r="AF48" s="2655"/>
    </row>
    <row r="49" spans="1:76" ht="13.05" customHeight="1">
      <c r="D49" s="435" t="s">
        <v>91</v>
      </c>
      <c r="AB49" s="2653">
        <f>AB47-AB48</f>
        <v>51251296</v>
      </c>
      <c r="AC49" s="2654"/>
      <c r="AD49" s="2654"/>
      <c r="AE49" s="2654"/>
      <c r="AF49" s="2655"/>
    </row>
    <row r="50" spans="1:76" ht="13.05" customHeight="1">
      <c r="D50" s="435" t="s">
        <v>689</v>
      </c>
      <c r="AA50" s="446"/>
      <c r="AB50" s="2680">
        <f>0.9*0.999899863</f>
        <v>0.8999098767</v>
      </c>
      <c r="AC50" s="2681"/>
      <c r="AD50" s="2681"/>
      <c r="AE50" s="2681"/>
      <c r="AF50" s="2682"/>
    </row>
    <row r="51" spans="1:76" s="448" customFormat="1" ht="13.05" customHeight="1">
      <c r="A51" s="433"/>
      <c r="B51" s="433"/>
      <c r="C51" s="433"/>
      <c r="D51" s="433"/>
      <c r="E51" s="2683" t="s">
        <v>2041</v>
      </c>
      <c r="F51" s="2683"/>
      <c r="G51" s="2683"/>
      <c r="H51" s="2683"/>
      <c r="I51" s="2683"/>
      <c r="J51" s="2683"/>
      <c r="K51" s="2683"/>
      <c r="L51" s="2683"/>
      <c r="M51" s="2683"/>
      <c r="N51" s="2683"/>
      <c r="O51" s="2683"/>
      <c r="P51" s="2683"/>
      <c r="Q51" s="2683"/>
      <c r="R51" s="2683"/>
      <c r="S51" s="2683"/>
      <c r="T51" s="2683"/>
      <c r="U51" s="2683"/>
      <c r="V51" s="2683"/>
      <c r="W51" s="2683"/>
      <c r="X51" s="2683"/>
      <c r="Y51" s="2683"/>
      <c r="Z51" s="2683"/>
      <c r="AA51" s="447"/>
      <c r="AB51" s="447"/>
      <c r="AC51" s="447"/>
      <c r="AD51" s="447"/>
      <c r="AE51" s="447"/>
      <c r="AF51" s="447"/>
      <c r="AG51" s="433"/>
      <c r="AH51" s="433"/>
      <c r="AI51" s="433"/>
      <c r="AJ51" s="433"/>
      <c r="AK51" s="433"/>
      <c r="AL51" s="433"/>
      <c r="AM51" s="433"/>
      <c r="AN51" s="433"/>
    </row>
    <row r="52" spans="1:76" s="448" customFormat="1" ht="13.05" customHeight="1">
      <c r="A52" s="433"/>
      <c r="B52" s="433"/>
      <c r="C52" s="433"/>
      <c r="D52" s="433"/>
      <c r="E52" s="2683"/>
      <c r="F52" s="2683"/>
      <c r="G52" s="2683"/>
      <c r="H52" s="2683"/>
      <c r="I52" s="2683"/>
      <c r="J52" s="2683"/>
      <c r="K52" s="2683"/>
      <c r="L52" s="2683"/>
      <c r="M52" s="2683"/>
      <c r="N52" s="2683"/>
      <c r="O52" s="2683"/>
      <c r="P52" s="2683"/>
      <c r="Q52" s="2683"/>
      <c r="R52" s="2683"/>
      <c r="S52" s="2683"/>
      <c r="T52" s="2683"/>
      <c r="U52" s="2683"/>
      <c r="V52" s="2683"/>
      <c r="W52" s="2683"/>
      <c r="X52" s="2683"/>
      <c r="Y52" s="2683"/>
      <c r="Z52" s="2683"/>
      <c r="AA52" s="449"/>
      <c r="AB52" s="449"/>
      <c r="AC52" s="449"/>
      <c r="AD52" s="449"/>
      <c r="AE52" s="449"/>
      <c r="AF52" s="449"/>
      <c r="AG52" s="450"/>
      <c r="AH52" s="433"/>
      <c r="AI52" s="433"/>
      <c r="AJ52" s="433"/>
      <c r="AK52" s="433"/>
      <c r="AL52" s="433"/>
      <c r="AM52" s="433"/>
      <c r="AN52" s="433"/>
    </row>
    <row r="53" spans="1:76" ht="13.0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05" customHeight="1">
      <c r="D54" s="435" t="s">
        <v>333</v>
      </c>
      <c r="AB54" s="2653">
        <f>ROUND(IF(ISERROR((AB49/AB50)),0,(AB49/AB50)),0)</f>
        <v>56951587</v>
      </c>
      <c r="AC54" s="2654"/>
      <c r="AD54" s="2654"/>
      <c r="AE54" s="2654"/>
      <c r="AF54" s="2655"/>
    </row>
    <row r="55" spans="1:76" ht="13.05" customHeight="1">
      <c r="D55" s="435" t="s">
        <v>334</v>
      </c>
      <c r="AB55" s="2653">
        <f>(AB54/10)</f>
        <v>5695158.7000000002</v>
      </c>
      <c r="AC55" s="2654"/>
      <c r="AD55" s="2654"/>
      <c r="AE55" s="2654"/>
      <c r="AF55" s="2655"/>
    </row>
    <row r="56" spans="1:76" ht="13.05" customHeight="1">
      <c r="D56" s="435" t="s">
        <v>765</v>
      </c>
      <c r="AB56" s="2684">
        <f>(IF((Y41&lt;AB55),Y41,AB55))</f>
        <v>3567918</v>
      </c>
      <c r="AC56" s="2685"/>
      <c r="AD56" s="2685"/>
      <c r="AE56" s="2685"/>
      <c r="AF56" s="2686"/>
    </row>
    <row r="57" spans="1:76" ht="13.05" customHeight="1">
      <c r="D57" s="435" t="s">
        <v>764</v>
      </c>
      <c r="AB57" s="2653">
        <f>ROUND((10*AB56*AB50),0)</f>
        <v>32108046</v>
      </c>
      <c r="AC57" s="2654"/>
      <c r="AD57" s="2654"/>
      <c r="AE57" s="2654"/>
      <c r="AF57" s="2655"/>
    </row>
    <row r="58" spans="1:76" ht="13.05" customHeight="1">
      <c r="D58" s="435"/>
      <c r="AB58" s="454"/>
      <c r="AC58" s="454"/>
      <c r="AD58" s="454"/>
      <c r="AE58" s="454"/>
      <c r="AF58" s="454"/>
    </row>
    <row r="59" spans="1:76" ht="13.05" customHeight="1">
      <c r="D59" s="435" t="s">
        <v>763</v>
      </c>
      <c r="AB59" s="2676">
        <f>AB49-AB57</f>
        <v>19143250</v>
      </c>
      <c r="AC59" s="2676"/>
      <c r="AD59" s="2676"/>
      <c r="AE59" s="2676"/>
      <c r="AF59" s="2676"/>
    </row>
    <row r="60" spans="1:76" ht="13.05" customHeight="1">
      <c r="D60" s="435"/>
      <c r="AB60" s="454"/>
      <c r="AC60" s="454"/>
      <c r="AD60" s="454"/>
      <c r="AE60" s="454"/>
      <c r="AF60" s="454"/>
    </row>
    <row r="61" spans="1:76" s="218" customFormat="1" ht="13.05" customHeight="1" thickBot="1">
      <c r="A61" s="2641" t="str">
        <f>IF(Application!AP205="yes","Farmworker State Credit", "State Credit" )</f>
        <v>State Credit</v>
      </c>
      <c r="B61" s="2641"/>
      <c r="C61" s="2641"/>
      <c r="D61" s="2641"/>
      <c r="E61" s="2641"/>
      <c r="F61" s="2641"/>
      <c r="G61" s="2641"/>
      <c r="H61" s="2641"/>
      <c r="I61" s="2641"/>
      <c r="J61" s="2641"/>
      <c r="K61" s="2641"/>
      <c r="L61" s="2641"/>
      <c r="M61" s="2641"/>
      <c r="N61" s="2641"/>
      <c r="O61" s="2641"/>
      <c r="P61" s="2641"/>
      <c r="Q61" s="2641"/>
      <c r="R61" s="2641"/>
      <c r="S61" s="2641"/>
      <c r="T61" s="2641"/>
      <c r="U61" s="2641"/>
      <c r="V61" s="2641"/>
      <c r="W61" s="2641"/>
      <c r="X61" s="2641"/>
      <c r="Y61" s="2641"/>
      <c r="Z61" s="2641"/>
      <c r="AA61" s="2641"/>
      <c r="AB61" s="2641"/>
      <c r="AC61" s="2641"/>
      <c r="AD61" s="2641"/>
      <c r="AE61" s="2641"/>
      <c r="AF61" s="2641"/>
      <c r="AG61" s="2641"/>
      <c r="AH61" s="2641"/>
      <c r="AI61" s="2641"/>
      <c r="AJ61" s="2641"/>
      <c r="AK61" s="2641"/>
      <c r="AL61" s="2641"/>
      <c r="AM61" s="2641"/>
      <c r="AN61" s="2641"/>
      <c r="AO61" s="2641"/>
      <c r="AP61" s="2641"/>
      <c r="AQ61" s="2641"/>
      <c r="AR61" s="2641"/>
      <c r="AS61" s="2641"/>
      <c r="AT61" s="2641"/>
      <c r="AU61" s="2641"/>
      <c r="AV61" s="2641"/>
      <c r="AW61" s="2641"/>
      <c r="AX61" s="2641"/>
      <c r="AY61" s="2641"/>
      <c r="AZ61" s="2641"/>
      <c r="BA61" s="2641"/>
      <c r="BB61" s="2641"/>
      <c r="BC61" s="2641"/>
      <c r="BD61" s="2641"/>
      <c r="BE61" s="2641"/>
      <c r="BF61" s="2641"/>
      <c r="BG61" s="2641"/>
      <c r="BH61" s="2641"/>
      <c r="BI61" s="2641"/>
      <c r="BJ61" s="2641"/>
      <c r="BK61" s="2641"/>
      <c r="BL61" s="2641"/>
      <c r="BM61" s="2641"/>
      <c r="BN61" s="2641"/>
      <c r="BO61" s="2641"/>
      <c r="BP61" s="2641"/>
      <c r="BQ61" s="2641"/>
      <c r="BR61" s="2641"/>
      <c r="BS61" s="2641"/>
      <c r="BT61" s="2641"/>
      <c r="BU61" s="2641"/>
      <c r="BV61" s="2641"/>
      <c r="BW61" s="2641"/>
      <c r="BX61" s="2641"/>
    </row>
    <row r="62" spans="1:76" s="218" customFormat="1" ht="13.05" customHeight="1" thickTop="1"/>
    <row r="63" spans="1:76" ht="13.05" customHeight="1">
      <c r="A63" s="435" t="s">
        <v>597</v>
      </c>
      <c r="C63" s="219" t="s">
        <v>1357</v>
      </c>
      <c r="Y63" s="2677" t="s">
        <v>1003</v>
      </c>
      <c r="Z63" s="2677"/>
      <c r="AA63" s="2677"/>
      <c r="AB63" s="2677"/>
      <c r="AC63" s="2677"/>
      <c r="AD63" s="2677" t="s">
        <v>370</v>
      </c>
      <c r="AE63" s="2677"/>
      <c r="AF63" s="2677"/>
      <c r="AG63" s="2677"/>
      <c r="AH63" s="2677"/>
    </row>
    <row r="64" spans="1:76" ht="13.0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38">
        <f>IF(Application!Z205="(select)",0,((T23*T27)+Y28))</f>
        <v>68613798.33371</v>
      </c>
      <c r="Z64" s="2678"/>
      <c r="AA64" s="2678"/>
      <c r="AB64" s="2678"/>
      <c r="AC64" s="2679"/>
      <c r="AD64" s="2638">
        <f>IF(AND(OR(Application!D211="At-Risk",Application!D211="At-Risk and Special Needs"),Application!M358="yes"),AD28+AI28,0)</f>
        <v>0</v>
      </c>
      <c r="AE64" s="2678"/>
      <c r="AF64" s="2678"/>
      <c r="AG64" s="2678"/>
      <c r="AH64" s="2679"/>
    </row>
    <row r="65" spans="1:36" ht="13.0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0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94">
        <f>IF(Application!AP205="yes",0.75,IF(Application!Z204="15% set-aside",0.13,IF(Application!Z204="15% set-aside with qualifying low value rehab",0.95,0.3)))</f>
        <v>0.3</v>
      </c>
      <c r="Z67" s="2694"/>
      <c r="AA67" s="2694"/>
      <c r="AB67" s="2694"/>
      <c r="AC67" s="2694"/>
      <c r="AD67" s="2694">
        <f>IF(Application!Z204="15% set-aside with qualifying low value rehab", 0.95,0.13)</f>
        <v>0.13</v>
      </c>
      <c r="AE67" s="2694"/>
      <c r="AF67" s="2694"/>
      <c r="AG67" s="2694"/>
      <c r="AH67" s="2694"/>
    </row>
    <row r="68" spans="1:36" ht="13.05" customHeight="1">
      <c r="C68" s="435"/>
      <c r="D68" s="219" t="s">
        <v>1359</v>
      </c>
      <c r="Y68" s="2637">
        <f>ROUND(Y64*Y67,0)</f>
        <v>20584140</v>
      </c>
      <c r="Z68" s="2695"/>
      <c r="AA68" s="2695"/>
      <c r="AB68" s="2695"/>
      <c r="AC68" s="2695"/>
      <c r="AD68" s="2637">
        <f>ROUND(AD64*AD67,0)</f>
        <v>0</v>
      </c>
      <c r="AE68" s="2695"/>
      <c r="AF68" s="2695"/>
      <c r="AG68" s="2695"/>
      <c r="AH68" s="2695"/>
    </row>
    <row r="69" spans="1:36" ht="13.05" customHeight="1">
      <c r="C69" s="435"/>
      <c r="E69" s="435"/>
      <c r="AB69" s="453"/>
      <c r="AC69" s="453"/>
      <c r="AD69" s="453"/>
      <c r="AE69" s="453"/>
      <c r="AF69" s="453"/>
    </row>
    <row r="70" spans="1:36" ht="13.05" customHeight="1">
      <c r="A70" s="435" t="s">
        <v>598</v>
      </c>
      <c r="C70" s="219" t="s">
        <v>285</v>
      </c>
    </row>
    <row r="71" spans="1:36" ht="13.05" customHeight="1">
      <c r="A71" s="435"/>
      <c r="C71" s="435"/>
      <c r="D71" s="219" t="s">
        <v>1360</v>
      </c>
      <c r="AB71" s="2680">
        <f>0.93*1.00000004</f>
        <v>0.93000003720000002</v>
      </c>
      <c r="AC71" s="2681"/>
      <c r="AD71" s="2681"/>
      <c r="AE71" s="2681"/>
      <c r="AF71" s="2682"/>
    </row>
    <row r="72" spans="1:36" ht="13.05" customHeight="1">
      <c r="A72" s="435"/>
      <c r="C72" s="435"/>
      <c r="D72" s="435"/>
      <c r="E72" s="2696" t="s">
        <v>1361</v>
      </c>
      <c r="F72" s="2696"/>
      <c r="G72" s="2696"/>
      <c r="H72" s="2696"/>
      <c r="I72" s="2696"/>
      <c r="J72" s="2696"/>
      <c r="K72" s="2696"/>
      <c r="L72" s="2696"/>
      <c r="M72" s="2696"/>
      <c r="N72" s="2696"/>
      <c r="O72" s="2696"/>
      <c r="P72" s="2696"/>
      <c r="Q72" s="2696"/>
      <c r="R72" s="2696"/>
      <c r="S72" s="2696"/>
      <c r="T72" s="2696"/>
      <c r="U72" s="2696"/>
      <c r="V72" s="2696"/>
      <c r="W72" s="2696"/>
      <c r="X72" s="2696"/>
      <c r="Y72" s="2696"/>
      <c r="Z72" s="2696"/>
      <c r="AA72" s="2696"/>
      <c r="AB72" s="471"/>
      <c r="AC72" s="471"/>
    </row>
    <row r="73" spans="1:36" ht="13.05" customHeight="1">
      <c r="A73" s="435"/>
      <c r="C73" s="435"/>
      <c r="D73" s="435"/>
      <c r="E73" s="2696"/>
      <c r="F73" s="2696"/>
      <c r="G73" s="2696"/>
      <c r="H73" s="2696"/>
      <c r="I73" s="2696"/>
      <c r="J73" s="2696"/>
      <c r="K73" s="2696"/>
      <c r="L73" s="2696"/>
      <c r="M73" s="2696"/>
      <c r="N73" s="2696"/>
      <c r="O73" s="2696"/>
      <c r="P73" s="2696"/>
      <c r="Q73" s="2696"/>
      <c r="R73" s="2696"/>
      <c r="S73" s="2696"/>
      <c r="T73" s="2696"/>
      <c r="U73" s="2696"/>
      <c r="V73" s="2696"/>
      <c r="W73" s="2696"/>
      <c r="X73" s="2696"/>
      <c r="Y73" s="2696"/>
      <c r="Z73" s="2696"/>
      <c r="AA73" s="2696"/>
      <c r="AB73" s="471"/>
      <c r="AC73" s="471"/>
    </row>
    <row r="74" spans="1:36" ht="13.05" customHeight="1">
      <c r="A74" s="435"/>
      <c r="C74" s="435"/>
      <c r="D74" s="435"/>
      <c r="E74" s="2696"/>
      <c r="F74" s="2696"/>
      <c r="G74" s="2696"/>
      <c r="H74" s="2696"/>
      <c r="I74" s="2696"/>
      <c r="J74" s="2696"/>
      <c r="K74" s="2696"/>
      <c r="L74" s="2696"/>
      <c r="M74" s="2696"/>
      <c r="N74" s="2696"/>
      <c r="O74" s="2696"/>
      <c r="P74" s="2696"/>
      <c r="Q74" s="2696"/>
      <c r="R74" s="2696"/>
      <c r="S74" s="2696"/>
      <c r="T74" s="2696"/>
      <c r="U74" s="2696"/>
      <c r="V74" s="2696"/>
      <c r="W74" s="2696"/>
      <c r="X74" s="2696"/>
      <c r="Y74" s="2696"/>
      <c r="Z74" s="2696"/>
      <c r="AA74" s="2696"/>
      <c r="AB74" s="471"/>
      <c r="AC74" s="471"/>
    </row>
    <row r="75" spans="1:36" ht="13.0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05" customHeight="1">
      <c r="C76" s="435"/>
      <c r="D76" s="219" t="s">
        <v>1362</v>
      </c>
      <c r="AB76" s="2689">
        <f>ROUND(IF(ISERROR((AB59/AB71)),0,(AB59/AB71)),0)</f>
        <v>20584139</v>
      </c>
      <c r="AC76" s="2689"/>
      <c r="AD76" s="2689"/>
      <c r="AE76" s="2689"/>
      <c r="AF76" s="2689"/>
    </row>
    <row r="77" spans="1:36" ht="13.05" customHeight="1">
      <c r="C77" s="435"/>
      <c r="D77" s="219" t="s">
        <v>1363</v>
      </c>
      <c r="AB77" s="2690">
        <f>IF((Y68+AD68&lt;AB76),Y68+AD68,AB76)</f>
        <v>20584139</v>
      </c>
      <c r="AC77" s="2691"/>
      <c r="AD77" s="2691"/>
      <c r="AE77" s="2691"/>
      <c r="AF77" s="2692"/>
    </row>
    <row r="78" spans="1:36" ht="13.05" customHeight="1">
      <c r="C78" s="435"/>
      <c r="D78" s="219" t="s">
        <v>1364</v>
      </c>
      <c r="AB78" s="2693">
        <f>AB77*AB71</f>
        <v>19143250.035729971</v>
      </c>
      <c r="AC78" s="2693"/>
      <c r="AD78" s="2693"/>
      <c r="AE78" s="2693"/>
      <c r="AF78" s="2693"/>
    </row>
    <row r="79" spans="1:36" ht="13.05" customHeight="1">
      <c r="C79" s="435"/>
      <c r="D79" s="435"/>
      <c r="AB79" s="456"/>
      <c r="AC79" s="456"/>
      <c r="AD79" s="456"/>
      <c r="AE79" s="456"/>
      <c r="AF79" s="456"/>
    </row>
    <row r="80" spans="1:36" ht="13.05" customHeight="1">
      <c r="D80" s="435" t="s">
        <v>763</v>
      </c>
      <c r="AB80" s="2676">
        <f>AB49-(AB57+AB78)</f>
        <v>-3.5729974508285522E-2</v>
      </c>
      <c r="AC80" s="2676"/>
      <c r="AD80" s="2676"/>
      <c r="AE80" s="2676"/>
      <c r="AF80" s="2676"/>
    </row>
    <row r="81" spans="1:78" ht="13.05" customHeight="1">
      <c r="F81" s="556"/>
      <c r="J81" s="556" t="str">
        <f>IF(AB80&gt;0,"FUNDING GAP MUST NOT EXCEED ZERO","")</f>
        <v/>
      </c>
    </row>
    <row r="82" spans="1:78" ht="13.05" customHeight="1">
      <c r="D82" s="557"/>
    </row>
    <row r="83" spans="1:78" ht="13.05" customHeight="1" thickBot="1">
      <c r="A83" s="2641"/>
      <c r="B83" s="2641"/>
      <c r="C83" s="2641"/>
      <c r="D83" s="2641"/>
      <c r="E83" s="2641"/>
      <c r="F83" s="2641"/>
      <c r="G83" s="2641"/>
      <c r="H83" s="2641"/>
      <c r="I83" s="2641"/>
      <c r="J83" s="2641"/>
      <c r="K83" s="2641"/>
      <c r="L83" s="2641"/>
      <c r="M83" s="2641"/>
      <c r="N83" s="2641"/>
      <c r="O83" s="2641"/>
      <c r="P83" s="2641"/>
      <c r="Q83" s="2641"/>
      <c r="R83" s="2641"/>
      <c r="S83" s="2641"/>
      <c r="T83" s="2641"/>
      <c r="U83" s="2641"/>
      <c r="V83" s="2641"/>
      <c r="W83" s="2641"/>
      <c r="X83" s="2641"/>
      <c r="Y83" s="2641"/>
      <c r="Z83" s="2641"/>
      <c r="AA83" s="2641"/>
      <c r="AB83" s="2641"/>
      <c r="AC83" s="2641"/>
      <c r="AD83" s="2641"/>
      <c r="AE83" s="2641"/>
      <c r="AF83" s="2641"/>
      <c r="AG83" s="2641"/>
      <c r="AH83" s="2641"/>
      <c r="AI83" s="2641"/>
      <c r="AJ83" s="2641"/>
      <c r="AK83" s="2641"/>
      <c r="AL83" s="2641"/>
      <c r="AM83" s="2641"/>
      <c r="AN83" s="2641"/>
      <c r="AO83" s="2641"/>
      <c r="AP83" s="2641"/>
      <c r="AQ83" s="2641"/>
      <c r="AR83" s="2641"/>
      <c r="AS83" s="2641"/>
      <c r="AT83" s="2641"/>
      <c r="AU83" s="2641"/>
      <c r="AV83" s="2641"/>
      <c r="AW83" s="2641"/>
      <c r="AX83" s="2641"/>
      <c r="AY83" s="2641"/>
      <c r="AZ83" s="2641"/>
      <c r="BA83" s="2641"/>
      <c r="BB83" s="2641"/>
      <c r="BC83" s="2641"/>
      <c r="BD83" s="2641"/>
      <c r="BE83" s="2641"/>
      <c r="BF83" s="2641"/>
      <c r="BG83" s="2641"/>
      <c r="BH83" s="2641"/>
      <c r="BI83" s="2641"/>
      <c r="BJ83" s="2641"/>
      <c r="BK83" s="2641"/>
      <c r="BL83" s="2641"/>
      <c r="BM83" s="2641"/>
      <c r="BN83" s="2641"/>
      <c r="BO83" s="2641"/>
      <c r="BP83" s="2641"/>
      <c r="BQ83" s="2641"/>
      <c r="BR83" s="2641"/>
      <c r="BS83" s="2641"/>
      <c r="BT83" s="2641"/>
      <c r="BU83" s="2641"/>
      <c r="BV83" s="2641"/>
      <c r="BW83" s="2641"/>
      <c r="BX83" s="2641"/>
    </row>
    <row r="84" spans="1:78" ht="13.05" customHeight="1" thickTop="1"/>
    <row r="85" spans="1:78" ht="13.05" customHeight="1">
      <c r="A85" s="435"/>
      <c r="C85" s="219"/>
    </row>
    <row r="86" spans="1:78" ht="13.05" customHeight="1">
      <c r="D86" s="219"/>
      <c r="AB86" s="2642"/>
      <c r="AC86" s="2642"/>
      <c r="AD86" s="2642"/>
      <c r="AE86" s="2642"/>
      <c r="AF86" s="2642"/>
    </row>
    <row r="87" spans="1:78" ht="13.05" customHeight="1" thickBot="1">
      <c r="D87" s="219"/>
      <c r="AB87" s="2640"/>
      <c r="AC87" s="2640"/>
      <c r="AD87" s="2640"/>
      <c r="AE87" s="2640"/>
      <c r="AF87" s="2640"/>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0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zoomScale="59" workbookViewId="0">
      <selection activeCell="Q44" sqref="Q44"/>
    </sheetView>
  </sheetViews>
  <sheetFormatPr defaultColWidth="9.109375" defaultRowHeight="13.8" zeroHeight="1"/>
  <cols>
    <col min="1" max="2" width="15.77734375" style="327" customWidth="1"/>
    <col min="3" max="3" width="11" style="327" customWidth="1"/>
    <col min="4" max="4" width="15.77734375" style="327" customWidth="1"/>
    <col min="5" max="5" width="3.77734375" style="327" customWidth="1"/>
    <col min="6" max="7" width="15.77734375" style="327" customWidth="1"/>
    <col min="8" max="8" width="3.77734375" style="327" customWidth="1"/>
    <col min="9" max="10" width="15.77734375" style="327" customWidth="1"/>
    <col min="11" max="11" width="3.109375" style="327" customWidth="1"/>
    <col min="12" max="17" width="15.77734375" style="327" customWidth="1"/>
    <col min="18" max="16384" width="9.109375" style="327"/>
  </cols>
  <sheetData>
    <row r="1" spans="1:12">
      <c r="A1" s="2697" t="s">
        <v>924</v>
      </c>
      <c r="B1" s="2697"/>
      <c r="C1" s="2697"/>
      <c r="D1" s="2697"/>
      <c r="E1" s="2697"/>
      <c r="F1" s="2697"/>
      <c r="G1" s="2697"/>
      <c r="H1" s="2697"/>
      <c r="I1" s="2697"/>
      <c r="J1" s="2697"/>
      <c r="K1" s="218"/>
      <c r="L1" s="218"/>
    </row>
    <row r="2" spans="1:12">
      <c r="A2" s="225"/>
      <c r="B2" s="225"/>
      <c r="C2" s="225"/>
      <c r="D2" s="225"/>
      <c r="E2" s="225"/>
      <c r="F2" s="225"/>
      <c r="G2" s="225"/>
      <c r="H2" s="225"/>
      <c r="I2" s="225"/>
      <c r="J2" s="225"/>
    </row>
    <row r="3" spans="1:12" ht="96.6">
      <c r="A3" s="457" t="s">
        <v>925</v>
      </c>
      <c r="B3" s="457" t="s">
        <v>926</v>
      </c>
      <c r="C3" s="457" t="s">
        <v>2254</v>
      </c>
      <c r="D3" s="1190" t="s">
        <v>927</v>
      </c>
      <c r="E3" s="218"/>
      <c r="F3" s="1190" t="s">
        <v>928</v>
      </c>
      <c r="G3" s="457" t="s">
        <v>929</v>
      </c>
      <c r="H3" s="458"/>
      <c r="I3" s="457" t="s">
        <v>930</v>
      </c>
      <c r="J3" s="457" t="s">
        <v>931</v>
      </c>
      <c r="K3" s="218"/>
      <c r="L3" s="328"/>
    </row>
    <row r="4" spans="1:12">
      <c r="A4" s="459" t="str">
        <f>Application!B718</f>
        <v>1 Bedroom</v>
      </c>
      <c r="B4" s="1121">
        <f>Application!G718</f>
        <v>14</v>
      </c>
      <c r="C4" s="1122"/>
      <c r="D4" s="459">
        <f>Application!O718</f>
        <v>521</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8</v>
      </c>
      <c r="C5" s="1122"/>
      <c r="D5" s="459">
        <f>Application!O719</f>
        <v>1124</v>
      </c>
      <c r="E5" s="460"/>
      <c r="F5" s="1123"/>
      <c r="G5" s="459">
        <f t="shared" ref="G5:G38" si="2">F5*B5</f>
        <v>0</v>
      </c>
      <c r="H5" s="460"/>
      <c r="I5" s="459" t="str">
        <f t="shared" si="0"/>
        <v/>
      </c>
      <c r="J5" s="459" t="str">
        <f t="shared" si="1"/>
        <v/>
      </c>
      <c r="K5" s="218"/>
      <c r="L5" s="328"/>
    </row>
    <row r="6" spans="1:12">
      <c r="A6" s="459" t="str">
        <f>Application!B720</f>
        <v>1 Bedroom</v>
      </c>
      <c r="B6" s="1121">
        <f>Application!G720</f>
        <v>20</v>
      </c>
      <c r="C6" s="1122"/>
      <c r="D6" s="459">
        <f>Application!O720</f>
        <v>1325</v>
      </c>
      <c r="E6" s="460"/>
      <c r="F6" s="1123"/>
      <c r="G6" s="459">
        <f t="shared" si="2"/>
        <v>0</v>
      </c>
      <c r="H6" s="460"/>
      <c r="I6" s="459" t="str">
        <f t="shared" si="0"/>
        <v/>
      </c>
      <c r="J6" s="459" t="str">
        <f t="shared" si="1"/>
        <v/>
      </c>
      <c r="K6" s="218"/>
      <c r="L6" s="328"/>
    </row>
    <row r="7" spans="1:12">
      <c r="A7" s="459" t="str">
        <f>Application!B721</f>
        <v>2 Bedrooms</v>
      </c>
      <c r="B7" s="1121">
        <f>Application!G721</f>
        <v>10</v>
      </c>
      <c r="C7" s="1122"/>
      <c r="D7" s="459">
        <f>Application!O721</f>
        <v>621</v>
      </c>
      <c r="E7" s="460"/>
      <c r="F7" s="1123"/>
      <c r="G7" s="459">
        <f t="shared" si="2"/>
        <v>0</v>
      </c>
      <c r="H7" s="460"/>
      <c r="I7" s="459" t="str">
        <f t="shared" si="0"/>
        <v/>
      </c>
      <c r="J7" s="459" t="str">
        <f t="shared" si="1"/>
        <v/>
      </c>
      <c r="K7" s="218"/>
      <c r="L7" s="328"/>
    </row>
    <row r="8" spans="1:12">
      <c r="A8" s="459" t="str">
        <f>Application!B722</f>
        <v>2 Bedrooms</v>
      </c>
      <c r="B8" s="1121">
        <f>Application!G722</f>
        <v>4</v>
      </c>
      <c r="C8" s="1122" t="s">
        <v>386</v>
      </c>
      <c r="D8" s="459">
        <f>Application!O722</f>
        <v>619</v>
      </c>
      <c r="E8" s="460"/>
      <c r="F8" s="1123">
        <f>2279.2-105</f>
        <v>2174.1999999999998</v>
      </c>
      <c r="G8" s="459">
        <f t="shared" si="2"/>
        <v>8696.7999999999993</v>
      </c>
      <c r="H8" s="460"/>
      <c r="I8" s="459">
        <f t="shared" si="0"/>
        <v>1555.1999999999998</v>
      </c>
      <c r="J8" s="459">
        <f t="shared" si="1"/>
        <v>6220.7999999999993</v>
      </c>
      <c r="K8" s="218"/>
      <c r="L8" s="328"/>
    </row>
    <row r="9" spans="1:12">
      <c r="A9" s="459" t="str">
        <f>Application!B723</f>
        <v>2 Bedrooms</v>
      </c>
      <c r="B9" s="1121">
        <f>Application!G723</f>
        <v>8</v>
      </c>
      <c r="C9" s="1122"/>
      <c r="D9" s="459">
        <f>Application!O723</f>
        <v>1344</v>
      </c>
      <c r="E9" s="460"/>
      <c r="F9" s="1123"/>
      <c r="G9" s="459">
        <f t="shared" si="2"/>
        <v>0</v>
      </c>
      <c r="H9" s="460"/>
      <c r="I9" s="459" t="str">
        <f t="shared" si="0"/>
        <v/>
      </c>
      <c r="J9" s="459" t="str">
        <f t="shared" si="1"/>
        <v/>
      </c>
      <c r="K9" s="218"/>
      <c r="L9" s="328"/>
    </row>
    <row r="10" spans="1:12">
      <c r="A10" s="459" t="str">
        <f>Application!B724</f>
        <v>2 Bedrooms</v>
      </c>
      <c r="B10" s="1121">
        <f>Application!G724</f>
        <v>26</v>
      </c>
      <c r="C10" s="1122"/>
      <c r="D10" s="459">
        <f>Application!O724</f>
        <v>1585</v>
      </c>
      <c r="E10" s="460"/>
      <c r="F10" s="1123"/>
      <c r="G10" s="459">
        <f t="shared" si="2"/>
        <v>0</v>
      </c>
      <c r="H10" s="460"/>
      <c r="I10" s="459" t="str">
        <f t="shared" si="0"/>
        <v/>
      </c>
      <c r="J10" s="459" t="str">
        <f t="shared" si="1"/>
        <v/>
      </c>
      <c r="K10" s="218"/>
      <c r="L10" s="328"/>
    </row>
    <row r="11" spans="1:12">
      <c r="A11" s="459" t="str">
        <f>Application!B725</f>
        <v>3 Bedrooms</v>
      </c>
      <c r="B11" s="1121">
        <f>Application!G725</f>
        <v>10</v>
      </c>
      <c r="C11" s="1122"/>
      <c r="D11" s="459">
        <f>Application!O725</f>
        <v>711</v>
      </c>
      <c r="E11" s="460"/>
      <c r="F11" s="1123"/>
      <c r="G11" s="459">
        <f t="shared" si="2"/>
        <v>0</v>
      </c>
      <c r="H11" s="460"/>
      <c r="I11" s="459" t="str">
        <f t="shared" si="0"/>
        <v/>
      </c>
      <c r="J11" s="459" t="str">
        <f t="shared" si="1"/>
        <v/>
      </c>
      <c r="K11" s="218"/>
      <c r="L11" s="328"/>
    </row>
    <row r="12" spans="1:12">
      <c r="A12" s="459" t="str">
        <f>Application!B726</f>
        <v>3 Bedrooms</v>
      </c>
      <c r="B12" s="1121">
        <f>Application!G726</f>
        <v>4</v>
      </c>
      <c r="C12" s="1122" t="s">
        <v>386</v>
      </c>
      <c r="D12" s="459">
        <f>Application!O726</f>
        <v>708</v>
      </c>
      <c r="E12" s="460"/>
      <c r="F12" s="1123">
        <f>3014-128</f>
        <v>2886</v>
      </c>
      <c r="G12" s="459">
        <f t="shared" si="2"/>
        <v>11544</v>
      </c>
      <c r="H12" s="460"/>
      <c r="I12" s="459">
        <f t="shared" si="0"/>
        <v>2178</v>
      </c>
      <c r="J12" s="459">
        <f t="shared" si="1"/>
        <v>8712</v>
      </c>
      <c r="K12" s="218"/>
      <c r="L12" s="328"/>
    </row>
    <row r="13" spans="1:12">
      <c r="A13" s="459" t="str">
        <f>Application!B727</f>
        <v>3 Bedrooms</v>
      </c>
      <c r="B13" s="1121">
        <f>Application!G727</f>
        <v>8</v>
      </c>
      <c r="C13" s="1122"/>
      <c r="D13" s="459">
        <f>Application!O727</f>
        <v>1547</v>
      </c>
      <c r="E13" s="460"/>
      <c r="F13" s="1123"/>
      <c r="G13" s="459">
        <f t="shared" si="2"/>
        <v>0</v>
      </c>
      <c r="H13" s="460"/>
      <c r="I13" s="459" t="str">
        <f t="shared" si="0"/>
        <v/>
      </c>
      <c r="J13" s="459" t="str">
        <f t="shared" si="1"/>
        <v/>
      </c>
      <c r="K13" s="218"/>
      <c r="L13" s="328"/>
    </row>
    <row r="14" spans="1:12">
      <c r="A14" s="459" t="str">
        <f>Application!B728</f>
        <v>3 Bedrooms</v>
      </c>
      <c r="B14" s="1121">
        <f>Application!G728</f>
        <v>27</v>
      </c>
      <c r="C14" s="1122"/>
      <c r="D14" s="459">
        <f>Application!O728</f>
        <v>1825</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175027</v>
      </c>
      <c r="E40" s="460"/>
      <c r="F40" s="460"/>
      <c r="G40" s="463">
        <f>SUM(G4:G38)*12</f>
        <v>242889.59999999998</v>
      </c>
      <c r="H40" s="464"/>
      <c r="I40" s="462"/>
      <c r="J40" s="463">
        <f>SUM(J4:J38)*12</f>
        <v>179193.59999999998</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2415</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7" zoomScale="80" zoomScaleNormal="80" workbookViewId="0">
      <selection activeCell="E11" sqref="E11:AG11"/>
    </sheetView>
  </sheetViews>
  <sheetFormatPr defaultColWidth="0" defaultRowHeight="13.2" zeroHeight="1"/>
  <cols>
    <col min="1" max="1" width="3.77734375" customWidth="1"/>
    <col min="2" max="2" width="30.44140625" customWidth="1"/>
    <col min="3" max="3" width="9.109375" style="229" customWidth="1"/>
    <col min="4" max="4" width="2.77734375" customWidth="1"/>
    <col min="5" max="5" width="12.77734375" customWidth="1"/>
    <col min="6" max="6" width="2.77734375" customWidth="1"/>
    <col min="7" max="7" width="12.77734375" customWidth="1"/>
    <col min="8" max="8" width="2.77734375" customWidth="1"/>
    <col min="9" max="9" width="12.77734375" customWidth="1"/>
    <col min="10" max="10" width="2.77734375" customWidth="1"/>
    <col min="11" max="11" width="12.77734375" customWidth="1"/>
    <col min="12" max="12" width="2.77734375" customWidth="1"/>
    <col min="13" max="13" width="12.77734375" customWidth="1"/>
    <col min="14" max="14" width="2.77734375" customWidth="1"/>
    <col min="15" max="15" width="12.77734375" customWidth="1"/>
    <col min="16" max="16" width="2.77734375" customWidth="1"/>
    <col min="17" max="17" width="12.77734375" customWidth="1"/>
    <col min="18" max="18" width="2.77734375" customWidth="1"/>
    <col min="19" max="19" width="12.77734375" customWidth="1"/>
    <col min="20" max="20" width="2.77734375" customWidth="1"/>
    <col min="21" max="21" width="12.77734375" customWidth="1"/>
    <col min="22" max="22" width="2.77734375" customWidth="1"/>
    <col min="23" max="23" width="12.77734375" customWidth="1"/>
    <col min="24" max="24" width="2.77734375" customWidth="1"/>
    <col min="25" max="25" width="12.77734375" customWidth="1"/>
    <col min="26" max="26" width="2.77734375" customWidth="1"/>
    <col min="27" max="27" width="12.77734375" customWidth="1"/>
    <col min="28" max="28" width="2.77734375" customWidth="1"/>
    <col min="29" max="29" width="12.77734375" customWidth="1"/>
    <col min="30" max="30" width="2.77734375" customWidth="1"/>
    <col min="31" max="31" width="12.77734375" customWidth="1"/>
    <col min="32" max="32" width="2.77734375" customWidth="1"/>
    <col min="33" max="33" width="12.77734375" customWidth="1"/>
    <col min="34" max="34" width="2.77734375" customWidth="1"/>
    <col min="35" max="35" width="0" hidden="1" customWidth="1"/>
    <col min="36" max="16384" width="8.77734375" hidden="1"/>
  </cols>
  <sheetData>
    <row r="1" spans="1:34" ht="17.399999999999999">
      <c r="A1" s="226" t="s">
        <v>2406</v>
      </c>
      <c r="B1" s="226"/>
    </row>
    <row r="2" spans="1:34"/>
    <row r="3" spans="1:34" ht="15.6">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3.8">
      <c r="A4" s="235" t="s">
        <v>848</v>
      </c>
      <c r="C4" s="253">
        <v>1.0249999999999999</v>
      </c>
      <c r="E4" s="235">
        <f>Application!Y801</f>
        <v>2100324</v>
      </c>
      <c r="G4" s="235">
        <f>E4*$C$4</f>
        <v>2152832.0999999996</v>
      </c>
      <c r="I4" s="235">
        <f>G4*$C$4</f>
        <v>2206652.9024999994</v>
      </c>
      <c r="K4" s="235">
        <f>I4*$C$4</f>
        <v>2261819.2250624993</v>
      </c>
      <c r="M4" s="235">
        <f>K4*$C$4</f>
        <v>2318364.7056890614</v>
      </c>
      <c r="O4" s="235">
        <f>M4*$C$4</f>
        <v>2376323.8233312876</v>
      </c>
      <c r="Q4" s="235">
        <f>O4*$C$4</f>
        <v>2435731.9189145695</v>
      </c>
      <c r="S4" s="235">
        <f>Q4*$C$4</f>
        <v>2496625.2168874335</v>
      </c>
      <c r="U4" s="235">
        <f>S4*$C$4</f>
        <v>2559040.8473096192</v>
      </c>
      <c r="W4" s="235">
        <f>U4*$C$4</f>
        <v>2623016.8684923593</v>
      </c>
      <c r="Y4" s="235">
        <f>W4*$C$4</f>
        <v>2688592.290204668</v>
      </c>
      <c r="AA4" s="235">
        <f>Y4*$C$4</f>
        <v>2755807.0974597842</v>
      </c>
      <c r="AC4" s="235">
        <f>AA4*$C$4</f>
        <v>2824702.2748962785</v>
      </c>
      <c r="AE4" s="235">
        <f>AC4*$C$4</f>
        <v>2895319.831768685</v>
      </c>
      <c r="AG4" s="235">
        <f>AE4*$C$4</f>
        <v>2967702.8275629017</v>
      </c>
    </row>
    <row r="5" spans="1:34" s="225" customFormat="1" ht="13.8">
      <c r="B5" s="225" t="s">
        <v>849</v>
      </c>
      <c r="C5" s="254">
        <f>IF(Application!$D$211="Special Needs",0.1,0.05)</f>
        <v>0.05</v>
      </c>
      <c r="E5" s="237">
        <f>-E4*$C$5</f>
        <v>-105016.20000000001</v>
      </c>
      <c r="F5" s="237"/>
      <c r="G5" s="237">
        <f>-G4*$C$5</f>
        <v>-107641.60499999998</v>
      </c>
      <c r="H5" s="237"/>
      <c r="I5" s="237">
        <f>-I4*$C$5</f>
        <v>-110332.64512499998</v>
      </c>
      <c r="J5" s="237"/>
      <c r="K5" s="237">
        <f>-K4*$C$5</f>
        <v>-113090.96125312497</v>
      </c>
      <c r="L5" s="237"/>
      <c r="M5" s="237">
        <f>-M4*$C$5</f>
        <v>-115918.23528445308</v>
      </c>
      <c r="N5" s="237"/>
      <c r="O5" s="237">
        <f>-O4*$C$5</f>
        <v>-118816.19116656439</v>
      </c>
      <c r="P5" s="237"/>
      <c r="Q5" s="237">
        <f>-Q4*$C$5</f>
        <v>-121786.59594572848</v>
      </c>
      <c r="R5" s="237"/>
      <c r="S5" s="237">
        <f>-S4*$C$5</f>
        <v>-124831.26084437169</v>
      </c>
      <c r="T5" s="237"/>
      <c r="U5" s="237">
        <f>-U4*$C$5</f>
        <v>-127952.04236548097</v>
      </c>
      <c r="V5" s="237"/>
      <c r="W5" s="237">
        <f>-W4*$C$5</f>
        <v>-131150.84342461798</v>
      </c>
      <c r="X5" s="237"/>
      <c r="Y5" s="237">
        <f>-Y4*$C$5</f>
        <v>-134429.6145102334</v>
      </c>
      <c r="Z5" s="237"/>
      <c r="AA5" s="237">
        <f>-AA4*$C$5</f>
        <v>-137790.35487298921</v>
      </c>
      <c r="AB5" s="237"/>
      <c r="AC5" s="237">
        <f>-AC4*$C$5</f>
        <v>-141235.11374481392</v>
      </c>
      <c r="AD5" s="237"/>
      <c r="AE5" s="237">
        <f>-AE4*$C$5</f>
        <v>-144765.99158843426</v>
      </c>
      <c r="AF5" s="237"/>
      <c r="AG5" s="237">
        <f>-AG4*$C$5</f>
        <v>-148385.14137814508</v>
      </c>
    </row>
    <row r="6" spans="1:34" s="225" customFormat="1" ht="13.8">
      <c r="A6" s="225" t="s">
        <v>847</v>
      </c>
      <c r="C6" s="253">
        <v>1.0249999999999999</v>
      </c>
      <c r="E6" s="238">
        <f>Application!Z809</f>
        <v>179193.59999999998</v>
      </c>
      <c r="F6" s="238"/>
      <c r="G6" s="238">
        <f>E6*$C$6</f>
        <v>183673.43999999997</v>
      </c>
      <c r="H6" s="238"/>
      <c r="I6" s="238">
        <f>G6*$C$6</f>
        <v>188265.27599999995</v>
      </c>
      <c r="J6" s="238"/>
      <c r="K6" s="238">
        <f>I6*$C$6</f>
        <v>192971.90789999993</v>
      </c>
      <c r="L6" s="238"/>
      <c r="M6" s="238">
        <f>K6*$C$6</f>
        <v>197796.20559749991</v>
      </c>
      <c r="N6" s="238"/>
      <c r="O6" s="238">
        <f>M6*$C$6</f>
        <v>202741.11073743738</v>
      </c>
      <c r="P6" s="238"/>
      <c r="Q6" s="238">
        <f>O6*$C$6</f>
        <v>207809.6385058733</v>
      </c>
      <c r="R6" s="238"/>
      <c r="S6" s="238">
        <f>Q6*$C$6</f>
        <v>213004.87946852011</v>
      </c>
      <c r="T6" s="238"/>
      <c r="U6" s="238">
        <f>S6*$C$6</f>
        <v>218330.00145523308</v>
      </c>
      <c r="V6" s="238"/>
      <c r="W6" s="238">
        <f>U6*$C$6</f>
        <v>223788.25149161389</v>
      </c>
      <c r="X6" s="238"/>
      <c r="Y6" s="238">
        <f>W6*$C$6</f>
        <v>229382.95777890421</v>
      </c>
      <c r="Z6" s="238"/>
      <c r="AA6" s="238">
        <f>Y6*$C$6</f>
        <v>235117.5317233768</v>
      </c>
      <c r="AB6" s="238"/>
      <c r="AC6" s="238">
        <f>AA6*$C$6</f>
        <v>240995.47001646119</v>
      </c>
      <c r="AD6" s="238"/>
      <c r="AE6" s="238">
        <f>AC6*$C$6</f>
        <v>247020.35676687269</v>
      </c>
      <c r="AF6" s="238"/>
      <c r="AG6" s="238">
        <f>AE6*$C$6</f>
        <v>253195.86568604448</v>
      </c>
    </row>
    <row r="7" spans="1:34" s="225" customFormat="1" ht="13.8">
      <c r="B7" s="225" t="s">
        <v>849</v>
      </c>
      <c r="C7" s="254">
        <f>IF(Application!$D$211="Special Needs",0.1,0.05)</f>
        <v>0.05</v>
      </c>
      <c r="E7" s="237">
        <f>-E6*$C$7</f>
        <v>-8959.6799999999985</v>
      </c>
      <c r="F7" s="237"/>
      <c r="G7" s="237">
        <f>-G6*$C$7</f>
        <v>-9183.6719999999987</v>
      </c>
      <c r="H7" s="237"/>
      <c r="I7" s="237">
        <f>-I6*$C$7</f>
        <v>-9413.2637999999988</v>
      </c>
      <c r="J7" s="237"/>
      <c r="K7" s="237">
        <f>-K6*$C$7</f>
        <v>-9648.5953949999966</v>
      </c>
      <c r="L7" s="237"/>
      <c r="M7" s="237">
        <f>-M6*$C$7</f>
        <v>-9889.8102798749969</v>
      </c>
      <c r="N7" s="237"/>
      <c r="O7" s="237">
        <f>-O6*$C$7</f>
        <v>-10137.055536871871</v>
      </c>
      <c r="P7" s="237"/>
      <c r="Q7" s="237">
        <f>-Q6*$C$7</f>
        <v>-10390.481925293665</v>
      </c>
      <c r="R7" s="237"/>
      <c r="S7" s="237">
        <f>-S6*$C$7</f>
        <v>-10650.243973426006</v>
      </c>
      <c r="T7" s="237"/>
      <c r="U7" s="237">
        <f>-U6*$C$7</f>
        <v>-10916.500072761655</v>
      </c>
      <c r="V7" s="237"/>
      <c r="W7" s="237">
        <f>-W6*$C$7</f>
        <v>-11189.412574580696</v>
      </c>
      <c r="X7" s="237"/>
      <c r="Y7" s="237">
        <f>-Y6*$C$7</f>
        <v>-11469.147888945212</v>
      </c>
      <c r="Z7" s="237"/>
      <c r="AA7" s="237">
        <f>-AA6*$C$7</f>
        <v>-11755.876586168841</v>
      </c>
      <c r="AB7" s="237"/>
      <c r="AC7" s="237">
        <f>-AC6*$C$7</f>
        <v>-12049.773500823059</v>
      </c>
      <c r="AD7" s="237"/>
      <c r="AE7" s="237">
        <f>-AE6*$C$7</f>
        <v>-12351.017838343636</v>
      </c>
      <c r="AF7" s="237"/>
      <c r="AG7" s="237">
        <f>-AG6*$C$7</f>
        <v>-12659.793284302224</v>
      </c>
    </row>
    <row r="8" spans="1:34" s="225" customFormat="1" ht="13.8">
      <c r="A8" s="225" t="s">
        <v>289</v>
      </c>
      <c r="C8" s="253">
        <v>1.0249999999999999</v>
      </c>
      <c r="E8" s="238">
        <f>Application!Z817</f>
        <v>26880</v>
      </c>
      <c r="F8" s="238"/>
      <c r="G8" s="238">
        <f>E8*$C$8</f>
        <v>27551.999999999996</v>
      </c>
      <c r="H8" s="238"/>
      <c r="I8" s="238">
        <f>G8*$C$8</f>
        <v>28240.799999999996</v>
      </c>
      <c r="J8" s="238"/>
      <c r="K8" s="238">
        <f>I8*$C$8</f>
        <v>28946.819999999992</v>
      </c>
      <c r="L8" s="238"/>
      <c r="M8" s="238">
        <f>K8*$C$8</f>
        <v>29670.490499999989</v>
      </c>
      <c r="N8" s="238"/>
      <c r="O8" s="238">
        <f>M8*$C$8</f>
        <v>30412.252762499986</v>
      </c>
      <c r="P8" s="238"/>
      <c r="Q8" s="238">
        <f>O8*$C$8</f>
        <v>31172.559081562482</v>
      </c>
      <c r="R8" s="238"/>
      <c r="S8" s="238">
        <f>Q8*$C$8</f>
        <v>31951.873058601541</v>
      </c>
      <c r="T8" s="238"/>
      <c r="U8" s="238">
        <f>S8*$C$8</f>
        <v>32750.669885066578</v>
      </c>
      <c r="V8" s="238"/>
      <c r="W8" s="238">
        <f>U8*$C$8</f>
        <v>33569.436632193239</v>
      </c>
      <c r="X8" s="238"/>
      <c r="Y8" s="238">
        <f>W8*$C$8</f>
        <v>34408.672547998067</v>
      </c>
      <c r="Z8" s="238"/>
      <c r="AA8" s="238">
        <f>Y8*$C$8</f>
        <v>35268.889361698013</v>
      </c>
      <c r="AB8" s="238"/>
      <c r="AC8" s="238">
        <f>AA8*$C$8</f>
        <v>36150.611595740462</v>
      </c>
      <c r="AD8" s="238"/>
      <c r="AE8" s="238">
        <f>AC8*$C$8</f>
        <v>37054.376885633967</v>
      </c>
      <c r="AF8" s="238"/>
      <c r="AG8" s="238">
        <f>AE8*$C$8</f>
        <v>37980.736307774816</v>
      </c>
    </row>
    <row r="9" spans="1:34" s="225" customFormat="1" ht="13.8">
      <c r="B9" s="225" t="s">
        <v>849</v>
      </c>
      <c r="C9" s="254">
        <f>IF(Application!$D$211="Special Needs",0.1,0.05)</f>
        <v>0.05</v>
      </c>
      <c r="E9" s="237">
        <f>-E8*$C$9</f>
        <v>-1344</v>
      </c>
      <c r="F9" s="237"/>
      <c r="G9" s="237">
        <f>-G8*$C$9</f>
        <v>-1377.6</v>
      </c>
      <c r="H9" s="237"/>
      <c r="I9" s="237">
        <f>-I8*$C$9</f>
        <v>-1412.04</v>
      </c>
      <c r="J9" s="237"/>
      <c r="K9" s="237">
        <f>-K8*$C$9</f>
        <v>-1447.3409999999997</v>
      </c>
      <c r="L9" s="237"/>
      <c r="M9" s="237">
        <f>-M8*$C$9</f>
        <v>-1483.5245249999996</v>
      </c>
      <c r="N9" s="237"/>
      <c r="O9" s="237">
        <f>-O8*$C$9</f>
        <v>-1520.6126381249994</v>
      </c>
      <c r="P9" s="237"/>
      <c r="Q9" s="237">
        <f>-Q8*$C$9</f>
        <v>-1558.6279540781243</v>
      </c>
      <c r="R9" s="237"/>
      <c r="S9" s="237">
        <f>-S8*$C$9</f>
        <v>-1597.593652930077</v>
      </c>
      <c r="T9" s="237"/>
      <c r="U9" s="237">
        <f>-U8*$C$9</f>
        <v>-1637.5334942533291</v>
      </c>
      <c r="V9" s="237"/>
      <c r="W9" s="237">
        <f>-W8*$C$9</f>
        <v>-1678.4718316096621</v>
      </c>
      <c r="X9" s="237"/>
      <c r="Y9" s="237">
        <f>-Y8*$C$9</f>
        <v>-1720.4336273999033</v>
      </c>
      <c r="Z9" s="237"/>
      <c r="AA9" s="237">
        <f>-AA8*$C$9</f>
        <v>-1763.4444680849008</v>
      </c>
      <c r="AB9" s="237"/>
      <c r="AC9" s="237">
        <f>-AC8*$C$9</f>
        <v>-1807.5305797870233</v>
      </c>
      <c r="AD9" s="237"/>
      <c r="AE9" s="237">
        <f>-AE8*$C$9</f>
        <v>-1852.7188442816985</v>
      </c>
      <c r="AF9" s="237"/>
      <c r="AG9" s="237">
        <f>-AG8*$C$9</f>
        <v>-1899.0368153887409</v>
      </c>
    </row>
    <row r="10" spans="1:34" s="225" customFormat="1" ht="13.8">
      <c r="A10" s="1187" t="s">
        <v>2625</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870</v>
      </c>
      <c r="C11" s="231"/>
      <c r="E11" s="239">
        <f>SUM(E4:E10)</f>
        <v>2191077.7199999997</v>
      </c>
      <c r="G11" s="239">
        <f>SUM(G4:G10)</f>
        <v>2245854.6629999997</v>
      </c>
      <c r="I11" s="239">
        <f>SUM(I4:I10)</f>
        <v>2302001.0295749991</v>
      </c>
      <c r="K11" s="239">
        <f>SUM(K4:K10)</f>
        <v>2359551.0553143742</v>
      </c>
      <c r="M11" s="239">
        <f>SUM(M4:M10)</f>
        <v>2418539.831697233</v>
      </c>
      <c r="O11" s="239">
        <f>SUM(O4:O10)</f>
        <v>2479003.3274896638</v>
      </c>
      <c r="Q11" s="239">
        <f>SUM(Q4:Q10)</f>
        <v>2540978.410676905</v>
      </c>
      <c r="S11" s="239">
        <f>SUM(S4:S10)</f>
        <v>2604502.8709438276</v>
      </c>
      <c r="U11" s="239">
        <f>SUM(U4:U10)</f>
        <v>2669615.4427174232</v>
      </c>
      <c r="W11" s="239">
        <f>SUM(W4:W10)</f>
        <v>2736355.828785358</v>
      </c>
      <c r="Y11" s="239">
        <f>SUM(Y4:Y10)</f>
        <v>2804764.724504991</v>
      </c>
      <c r="AA11" s="239">
        <f>SUM(AA4:AA10)</f>
        <v>2874883.8426176165</v>
      </c>
      <c r="AC11" s="239">
        <f>SUM(AC4:AC10)</f>
        <v>2946755.9386830563</v>
      </c>
      <c r="AE11" s="239">
        <f>SUM(AE4:AE10)</f>
        <v>3020424.8371501323</v>
      </c>
      <c r="AG11" s="239">
        <f>SUM(AG4:AG10)</f>
        <v>3095935.458078885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852</v>
      </c>
      <c r="C15" s="185"/>
      <c r="E15" s="235">
        <f>Application!W847</f>
        <v>116616</v>
      </c>
      <c r="G15" s="235">
        <f>E15*$C$14</f>
        <v>120697.56</v>
      </c>
      <c r="I15" s="235">
        <f>G15*$C$14</f>
        <v>124921.97459999999</v>
      </c>
      <c r="K15" s="235">
        <f>I15*$C$14</f>
        <v>129294.24371099997</v>
      </c>
      <c r="M15" s="235">
        <f>K15*$C$14</f>
        <v>133819.54224088497</v>
      </c>
      <c r="O15" s="235">
        <f>M15*$C$14</f>
        <v>138503.22621931593</v>
      </c>
      <c r="Q15" s="235">
        <f>O15*$C$14</f>
        <v>143350.83913699197</v>
      </c>
      <c r="S15" s="235">
        <f>Q15*$C$14</f>
        <v>148368.11850678668</v>
      </c>
      <c r="U15" s="235">
        <f>S15*$C$14</f>
        <v>153561.0026545242</v>
      </c>
      <c r="W15" s="235">
        <f>U15*$C$14</f>
        <v>158935.63774743254</v>
      </c>
      <c r="Y15" s="235">
        <f>W15*$C$14</f>
        <v>164498.38506859267</v>
      </c>
      <c r="AA15" s="235">
        <f>Y15*$C$14</f>
        <v>170255.8285459934</v>
      </c>
      <c r="AC15" s="235">
        <f>AA15*$C$14</f>
        <v>176214.78254510314</v>
      </c>
      <c r="AE15" s="235">
        <f>AC15*$C$14</f>
        <v>182382.29993418173</v>
      </c>
      <c r="AG15" s="235">
        <f>AE15*$C$14</f>
        <v>188765.68043187808</v>
      </c>
    </row>
    <row r="16" spans="1:34" s="225" customFormat="1" ht="13.8">
      <c r="A16" s="225" t="s">
        <v>345</v>
      </c>
      <c r="C16" s="249"/>
      <c r="E16" s="238">
        <f>Application!W849</f>
        <v>115680</v>
      </c>
      <c r="F16" s="238"/>
      <c r="G16" s="238">
        <f t="shared" ref="G16:AG21" si="0">E16*$C$14</f>
        <v>119728.79999999999</v>
      </c>
      <c r="H16" s="238"/>
      <c r="I16" s="238">
        <f t="shared" si="0"/>
        <v>123919.30799999998</v>
      </c>
      <c r="J16" s="238"/>
      <c r="K16" s="238">
        <f t="shared" si="0"/>
        <v>128256.48377999997</v>
      </c>
      <c r="L16" s="238"/>
      <c r="M16" s="238">
        <f t="shared" si="0"/>
        <v>132745.46071229994</v>
      </c>
      <c r="N16" s="238"/>
      <c r="O16" s="238">
        <f t="shared" si="0"/>
        <v>137391.55183723042</v>
      </c>
      <c r="P16" s="238"/>
      <c r="Q16" s="238">
        <f t="shared" si="0"/>
        <v>142200.25615153348</v>
      </c>
      <c r="R16" s="238"/>
      <c r="S16" s="238">
        <f t="shared" si="0"/>
        <v>147177.26511683714</v>
      </c>
      <c r="T16" s="238"/>
      <c r="U16" s="238">
        <f t="shared" si="0"/>
        <v>152328.46939592643</v>
      </c>
      <c r="V16" s="238"/>
      <c r="W16" s="238">
        <f t="shared" si="0"/>
        <v>157659.96582478384</v>
      </c>
      <c r="X16" s="238"/>
      <c r="Y16" s="238">
        <f t="shared" si="0"/>
        <v>163178.06462865125</v>
      </c>
      <c r="Z16" s="238"/>
      <c r="AA16" s="238">
        <f t="shared" si="0"/>
        <v>168889.29689065402</v>
      </c>
      <c r="AB16" s="238"/>
      <c r="AC16" s="238">
        <f t="shared" si="0"/>
        <v>174800.4222818269</v>
      </c>
      <c r="AD16" s="238"/>
      <c r="AE16" s="238">
        <f t="shared" si="0"/>
        <v>180918.43706169084</v>
      </c>
      <c r="AF16" s="238"/>
      <c r="AG16" s="238">
        <f t="shared" si="0"/>
        <v>187250.58235885002</v>
      </c>
    </row>
    <row r="17" spans="1:33" s="225" customFormat="1" ht="13.8">
      <c r="A17" s="225" t="s">
        <v>569</v>
      </c>
      <c r="C17" s="249"/>
      <c r="E17" s="238">
        <f>Application!W855</f>
        <v>94792</v>
      </c>
      <c r="F17" s="238"/>
      <c r="G17" s="238">
        <f t="shared" si="0"/>
        <v>98109.719999999987</v>
      </c>
      <c r="H17" s="238"/>
      <c r="I17" s="238">
        <f t="shared" si="0"/>
        <v>101543.56019999998</v>
      </c>
      <c r="J17" s="238"/>
      <c r="K17" s="238">
        <f t="shared" si="0"/>
        <v>105097.58480699996</v>
      </c>
      <c r="L17" s="238"/>
      <c r="M17" s="238">
        <f t="shared" si="0"/>
        <v>108776.00027524495</v>
      </c>
      <c r="N17" s="238"/>
      <c r="O17" s="238">
        <f t="shared" si="0"/>
        <v>112583.16028487851</v>
      </c>
      <c r="P17" s="238"/>
      <c r="Q17" s="238">
        <f t="shared" si="0"/>
        <v>116523.57089484925</v>
      </c>
      <c r="R17" s="238"/>
      <c r="S17" s="238">
        <f t="shared" si="0"/>
        <v>120601.89587616897</v>
      </c>
      <c r="T17" s="238"/>
      <c r="U17" s="238">
        <f t="shared" si="0"/>
        <v>124822.96223183487</v>
      </c>
      <c r="V17" s="238"/>
      <c r="W17" s="238">
        <f t="shared" si="0"/>
        <v>129191.76590994908</v>
      </c>
      <c r="X17" s="238"/>
      <c r="Y17" s="238">
        <f t="shared" si="0"/>
        <v>133713.47771679729</v>
      </c>
      <c r="Z17" s="238"/>
      <c r="AA17" s="238">
        <f t="shared" si="0"/>
        <v>138393.44943688519</v>
      </c>
      <c r="AB17" s="238"/>
      <c r="AC17" s="238">
        <f t="shared" si="0"/>
        <v>143237.22016717616</v>
      </c>
      <c r="AD17" s="238"/>
      <c r="AE17" s="238">
        <f t="shared" si="0"/>
        <v>148250.52287302731</v>
      </c>
      <c r="AF17" s="238"/>
      <c r="AG17" s="238">
        <f t="shared" si="0"/>
        <v>153439.29117358325</v>
      </c>
    </row>
    <row r="18" spans="1:33" s="225" customFormat="1" ht="13.8">
      <c r="A18" s="225" t="s">
        <v>853</v>
      </c>
      <c r="C18" s="249"/>
      <c r="E18" s="238">
        <f>Application!W862</f>
        <v>339735</v>
      </c>
      <c r="F18" s="238"/>
      <c r="G18" s="238">
        <f t="shared" si="0"/>
        <v>351625.72499999998</v>
      </c>
      <c r="H18" s="238"/>
      <c r="I18" s="238">
        <f t="shared" si="0"/>
        <v>363932.62537499995</v>
      </c>
      <c r="J18" s="238"/>
      <c r="K18" s="238">
        <f t="shared" si="0"/>
        <v>376670.26726312493</v>
      </c>
      <c r="L18" s="238"/>
      <c r="M18" s="238">
        <f t="shared" si="0"/>
        <v>389853.72661733429</v>
      </c>
      <c r="N18" s="238"/>
      <c r="O18" s="238">
        <f t="shared" si="0"/>
        <v>403498.60704894096</v>
      </c>
      <c r="P18" s="238"/>
      <c r="Q18" s="238">
        <f t="shared" si="0"/>
        <v>417621.05829565384</v>
      </c>
      <c r="R18" s="238"/>
      <c r="S18" s="238">
        <f t="shared" si="0"/>
        <v>432237.79533600167</v>
      </c>
      <c r="T18" s="238"/>
      <c r="U18" s="238">
        <f t="shared" si="0"/>
        <v>447366.11817276169</v>
      </c>
      <c r="V18" s="238"/>
      <c r="W18" s="238">
        <f t="shared" si="0"/>
        <v>463023.93230880832</v>
      </c>
      <c r="X18" s="238"/>
      <c r="Y18" s="238">
        <f t="shared" si="0"/>
        <v>479229.76993961656</v>
      </c>
      <c r="Z18" s="238"/>
      <c r="AA18" s="238">
        <f t="shared" si="0"/>
        <v>496002.81188750308</v>
      </c>
      <c r="AB18" s="238"/>
      <c r="AC18" s="238">
        <f t="shared" si="0"/>
        <v>513362.91030356567</v>
      </c>
      <c r="AD18" s="238"/>
      <c r="AE18" s="238">
        <f t="shared" si="0"/>
        <v>531330.61216419039</v>
      </c>
      <c r="AF18" s="238"/>
      <c r="AG18" s="238">
        <f t="shared" si="0"/>
        <v>549927.18358993705</v>
      </c>
    </row>
    <row r="19" spans="1:33" s="225" customFormat="1" ht="13.8">
      <c r="A19" s="225" t="s">
        <v>155</v>
      </c>
      <c r="C19" s="249"/>
      <c r="E19" s="238">
        <f>Application!W863</f>
        <v>77292</v>
      </c>
      <c r="F19" s="238"/>
      <c r="G19" s="238">
        <f t="shared" si="0"/>
        <v>79997.219999999987</v>
      </c>
      <c r="H19" s="238"/>
      <c r="I19" s="238">
        <f t="shared" si="0"/>
        <v>82797.122699999978</v>
      </c>
      <c r="J19" s="238"/>
      <c r="K19" s="238">
        <f t="shared" si="0"/>
        <v>85695.02199449997</v>
      </c>
      <c r="L19" s="238"/>
      <c r="M19" s="238">
        <f t="shared" si="0"/>
        <v>88694.347764307458</v>
      </c>
      <c r="N19" s="238"/>
      <c r="O19" s="238">
        <f t="shared" si="0"/>
        <v>91798.649936058209</v>
      </c>
      <c r="P19" s="238"/>
      <c r="Q19" s="238">
        <f t="shared" si="0"/>
        <v>95011.602683820238</v>
      </c>
      <c r="R19" s="238"/>
      <c r="S19" s="238">
        <f t="shared" si="0"/>
        <v>98337.008777753945</v>
      </c>
      <c r="T19" s="238"/>
      <c r="U19" s="238">
        <f t="shared" si="0"/>
        <v>101778.80408497533</v>
      </c>
      <c r="V19" s="238"/>
      <c r="W19" s="238">
        <f t="shared" si="0"/>
        <v>105341.06222794946</v>
      </c>
      <c r="X19" s="238"/>
      <c r="Y19" s="238">
        <f t="shared" si="0"/>
        <v>109027.99940592768</v>
      </c>
      <c r="Z19" s="238"/>
      <c r="AA19" s="238">
        <f t="shared" si="0"/>
        <v>112843.97938513514</v>
      </c>
      <c r="AB19" s="238"/>
      <c r="AC19" s="238">
        <f t="shared" si="0"/>
        <v>116793.51866361486</v>
      </c>
      <c r="AD19" s="238"/>
      <c r="AE19" s="238">
        <f t="shared" si="0"/>
        <v>120881.29181684137</v>
      </c>
      <c r="AF19" s="238"/>
      <c r="AG19" s="238">
        <f t="shared" si="0"/>
        <v>125112.13703043081</v>
      </c>
    </row>
    <row r="20" spans="1:33" s="225" customFormat="1" ht="13.8">
      <c r="A20" s="225" t="s">
        <v>391</v>
      </c>
      <c r="C20" s="249"/>
      <c r="E20" s="238">
        <f>Application!W872</f>
        <v>95885</v>
      </c>
      <c r="F20" s="238"/>
      <c r="G20" s="238">
        <f t="shared" si="0"/>
        <v>99240.974999999991</v>
      </c>
      <c r="H20" s="238"/>
      <c r="I20" s="238">
        <f t="shared" si="0"/>
        <v>102714.40912499998</v>
      </c>
      <c r="J20" s="238"/>
      <c r="K20" s="238">
        <f t="shared" si="0"/>
        <v>106309.41344437496</v>
      </c>
      <c r="L20" s="238"/>
      <c r="M20" s="238">
        <f t="shared" si="0"/>
        <v>110030.24291492808</v>
      </c>
      <c r="N20" s="238"/>
      <c r="O20" s="238">
        <f t="shared" si="0"/>
        <v>113881.30141695055</v>
      </c>
      <c r="P20" s="238"/>
      <c r="Q20" s="238">
        <f t="shared" si="0"/>
        <v>117867.14696654381</v>
      </c>
      <c r="R20" s="238"/>
      <c r="S20" s="238">
        <f t="shared" si="0"/>
        <v>121992.49711037283</v>
      </c>
      <c r="T20" s="238"/>
      <c r="U20" s="238">
        <f t="shared" si="0"/>
        <v>126262.23450923587</v>
      </c>
      <c r="V20" s="238"/>
      <c r="W20" s="238">
        <f t="shared" si="0"/>
        <v>130681.41271705912</v>
      </c>
      <c r="X20" s="238"/>
      <c r="Y20" s="238">
        <f t="shared" si="0"/>
        <v>135255.26216215617</v>
      </c>
      <c r="Z20" s="238"/>
      <c r="AA20" s="238">
        <f t="shared" si="0"/>
        <v>139989.19633783161</v>
      </c>
      <c r="AB20" s="238"/>
      <c r="AC20" s="238">
        <f t="shared" si="0"/>
        <v>144888.8182096557</v>
      </c>
      <c r="AD20" s="238"/>
      <c r="AE20" s="238">
        <f t="shared" si="0"/>
        <v>149959.92684699365</v>
      </c>
      <c r="AF20" s="238"/>
      <c r="AG20" s="238">
        <f t="shared" si="0"/>
        <v>155208.52428663842</v>
      </c>
    </row>
    <row r="21" spans="1:33" s="225" customFormat="1" ht="13.8">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854</v>
      </c>
      <c r="C22" s="249"/>
      <c r="E22" s="239">
        <f>SUM(E15:E21)</f>
        <v>840000</v>
      </c>
      <c r="G22" s="239">
        <f>SUM(G15:G21)</f>
        <v>869399.99999999988</v>
      </c>
      <c r="I22" s="239">
        <f>SUM(I15:I21)</f>
        <v>899828.99999999988</v>
      </c>
      <c r="K22" s="239">
        <f>SUM(K15:K21)</f>
        <v>931323.01499999966</v>
      </c>
      <c r="M22" s="239">
        <f>SUM(M15:M21)</f>
        <v>963919.32052499964</v>
      </c>
      <c r="O22" s="239">
        <f>SUM(O15:O21)</f>
        <v>997656.49674337462</v>
      </c>
      <c r="Q22" s="239">
        <f>SUM(Q15:Q21)</f>
        <v>1032574.4741293925</v>
      </c>
      <c r="S22" s="239">
        <f>SUM(S15:S21)</f>
        <v>1068714.5807239213</v>
      </c>
      <c r="U22" s="239">
        <f>SUM(U15:U21)</f>
        <v>1106119.5910492584</v>
      </c>
      <c r="W22" s="239">
        <f>SUM(W15:W21)</f>
        <v>1144833.7767359824</v>
      </c>
      <c r="Y22" s="239">
        <f>SUM(Y15:Y21)</f>
        <v>1184902.9589217417</v>
      </c>
      <c r="AA22" s="239">
        <f>SUM(AA15:AA21)</f>
        <v>1226374.5624840027</v>
      </c>
      <c r="AC22" s="239">
        <f>SUM(AC15:AC21)</f>
        <v>1269297.6721709422</v>
      </c>
      <c r="AE22" s="239">
        <f>SUM(AE15:AE21)</f>
        <v>1313723.0906969253</v>
      </c>
      <c r="AG22" s="239">
        <f>SUM(AG15:AG21)</f>
        <v>1359703.3988713177</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856</v>
      </c>
      <c r="C27" s="253">
        <v>1.03</v>
      </c>
      <c r="E27" s="238">
        <f>Application!AC888</f>
        <v>78120</v>
      </c>
      <c r="F27" s="238"/>
      <c r="G27" s="238">
        <f>E27*$C$27</f>
        <v>80463.600000000006</v>
      </c>
      <c r="H27" s="238"/>
      <c r="I27" s="238">
        <f>G27*$C$27</f>
        <v>82877.508000000002</v>
      </c>
      <c r="J27" s="238"/>
      <c r="K27" s="238">
        <f>I27*$C$27</f>
        <v>85363.833240000007</v>
      </c>
      <c r="L27" s="238"/>
      <c r="M27" s="238">
        <f>K27*$C$27</f>
        <v>87924.748237200009</v>
      </c>
      <c r="N27" s="238"/>
      <c r="O27" s="238">
        <f>M27*$C$27</f>
        <v>90562.490684316013</v>
      </c>
      <c r="P27" s="238"/>
      <c r="Q27" s="238">
        <f>O27*$C$27</f>
        <v>93279.365404845492</v>
      </c>
      <c r="R27" s="238"/>
      <c r="S27" s="238">
        <f>Q27*$C$27</f>
        <v>96077.746366990861</v>
      </c>
      <c r="T27" s="238"/>
      <c r="U27" s="238">
        <f>S27*$C$27</f>
        <v>98960.078758000585</v>
      </c>
      <c r="V27" s="238"/>
      <c r="W27" s="238">
        <f>U27*$C$27</f>
        <v>101928.88112074061</v>
      </c>
      <c r="X27" s="238"/>
      <c r="Y27" s="238">
        <f>W27*$C$27</f>
        <v>104986.74755436284</v>
      </c>
      <c r="Z27" s="238"/>
      <c r="AA27" s="238">
        <f>Y27*$C$27</f>
        <v>108136.34998099372</v>
      </c>
      <c r="AB27" s="238"/>
      <c r="AC27" s="238">
        <f>AA27*$C$27</f>
        <v>111380.44048042354</v>
      </c>
      <c r="AD27" s="238"/>
      <c r="AE27" s="238">
        <f>AC27*$C$27</f>
        <v>114721.85369483625</v>
      </c>
      <c r="AF27" s="238"/>
      <c r="AG27" s="238">
        <f>AE27*$C$27</f>
        <v>118163.50930568133</v>
      </c>
    </row>
    <row r="28" spans="1:33" s="225" customFormat="1" ht="13.8">
      <c r="A28" s="225" t="s">
        <v>857</v>
      </c>
      <c r="C28" s="253">
        <v>1.03</v>
      </c>
      <c r="E28" s="238">
        <f>Application!AC889</f>
        <v>35000</v>
      </c>
      <c r="F28" s="238"/>
      <c r="G28" s="238">
        <f>E28*$C$28</f>
        <v>36050</v>
      </c>
      <c r="H28" s="238"/>
      <c r="I28" s="238">
        <f>G28*$C$28</f>
        <v>37131.5</v>
      </c>
      <c r="J28" s="238"/>
      <c r="K28" s="238">
        <f>I28*$C$28</f>
        <v>38245.445</v>
      </c>
      <c r="L28" s="238"/>
      <c r="M28" s="238">
        <f>K28*$C$28</f>
        <v>39392.808349999999</v>
      </c>
      <c r="N28" s="238"/>
      <c r="O28" s="238">
        <f>M28*$C$28</f>
        <v>40574.5926005</v>
      </c>
      <c r="P28" s="238"/>
      <c r="Q28" s="238">
        <f>O28*$C$28</f>
        <v>41791.830378514998</v>
      </c>
      <c r="R28" s="238"/>
      <c r="S28" s="238">
        <f>Q28*$C$28</f>
        <v>43045.585289870447</v>
      </c>
      <c r="T28" s="238"/>
      <c r="U28" s="238">
        <f>S28*$C$28</f>
        <v>44336.952848566565</v>
      </c>
      <c r="V28" s="238"/>
      <c r="W28" s="238">
        <f>U28*$C$28</f>
        <v>45667.061434023562</v>
      </c>
      <c r="X28" s="238"/>
      <c r="Y28" s="238">
        <f>W28*$C$28</f>
        <v>47037.07327704427</v>
      </c>
      <c r="Z28" s="238"/>
      <c r="AA28" s="238">
        <f>Y28*$C$28</f>
        <v>48448.185475355596</v>
      </c>
      <c r="AB28" s="238"/>
      <c r="AC28" s="238">
        <f>AA28*$C$28</f>
        <v>49901.631039616266</v>
      </c>
      <c r="AD28" s="238"/>
      <c r="AE28" s="238">
        <f>AC28*$C$28</f>
        <v>51398.679970804755</v>
      </c>
      <c r="AF28" s="238"/>
      <c r="AG28" s="238">
        <f>AE28*$C$28</f>
        <v>52940.6403699289</v>
      </c>
    </row>
    <row r="29" spans="1:33" s="225" customFormat="1" ht="13.8">
      <c r="A29" s="225" t="s">
        <v>1869</v>
      </c>
      <c r="C29" s="253"/>
      <c r="E29" s="238">
        <f>Application!AC890</f>
        <v>8099</v>
      </c>
      <c r="F29" s="238"/>
      <c r="G29" s="238">
        <f>$E$29</f>
        <v>8099</v>
      </c>
      <c r="H29" s="238"/>
      <c r="I29" s="238">
        <f>$E$29</f>
        <v>8099</v>
      </c>
      <c r="J29" s="238"/>
      <c r="K29" s="238">
        <f>$E$29</f>
        <v>8099</v>
      </c>
      <c r="L29" s="238"/>
      <c r="M29" s="238">
        <f>$E$29</f>
        <v>8099</v>
      </c>
      <c r="N29" s="238"/>
      <c r="O29" s="238">
        <f>$E$29</f>
        <v>8099</v>
      </c>
      <c r="P29" s="238"/>
      <c r="Q29" s="238">
        <f>$E$29</f>
        <v>8099</v>
      </c>
      <c r="R29" s="238"/>
      <c r="S29" s="238">
        <f>$E$29</f>
        <v>8099</v>
      </c>
      <c r="T29" s="238"/>
      <c r="U29" s="238">
        <f>$E$29</f>
        <v>8099</v>
      </c>
      <c r="V29" s="238"/>
      <c r="W29" s="238">
        <f>$E$29</f>
        <v>8099</v>
      </c>
      <c r="X29" s="238"/>
      <c r="Y29" s="238">
        <f>$E$29</f>
        <v>8099</v>
      </c>
      <c r="Z29" s="238"/>
      <c r="AA29" s="238">
        <f>$E$29</f>
        <v>8099</v>
      </c>
      <c r="AB29" s="238"/>
      <c r="AC29" s="238">
        <f>$E$29</f>
        <v>8099</v>
      </c>
      <c r="AD29" s="238"/>
      <c r="AE29" s="238">
        <f>$E$29</f>
        <v>8099</v>
      </c>
      <c r="AF29" s="238"/>
      <c r="AG29" s="238">
        <f>$E$29</f>
        <v>8099</v>
      </c>
    </row>
    <row r="30" spans="1:33" s="225" customFormat="1" ht="13.8">
      <c r="A30" s="225" t="s">
        <v>855</v>
      </c>
      <c r="C30" s="253">
        <v>1.0349999999999999</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8">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961219</v>
      </c>
      <c r="G35" s="239">
        <f>SUM(G22:G33)</f>
        <v>994012.59999999986</v>
      </c>
      <c r="I35" s="239">
        <f>SUM(I22:I33)</f>
        <v>1027937.0079999999</v>
      </c>
      <c r="K35" s="239">
        <f>SUM(K22:K33)</f>
        <v>1063031.2932399998</v>
      </c>
      <c r="M35" s="239">
        <f>SUM(M22:M33)</f>
        <v>1099335.8771121998</v>
      </c>
      <c r="O35" s="239">
        <f>SUM(O22:O33)</f>
        <v>1136892.5800281905</v>
      </c>
      <c r="Q35" s="239">
        <f>SUM(Q22:Q33)</f>
        <v>1175744.6699127529</v>
      </c>
      <c r="S35" s="239">
        <f>SUM(S22:S33)</f>
        <v>1215936.9123807827</v>
      </c>
      <c r="U35" s="239">
        <f>SUM(U22:U33)</f>
        <v>1257515.6226558255</v>
      </c>
      <c r="W35" s="239">
        <f>SUM(W22:W33)</f>
        <v>1300528.7192907466</v>
      </c>
      <c r="Y35" s="239">
        <f>SUM(Y22:Y33)</f>
        <v>1345025.7797531488</v>
      </c>
      <c r="AA35" s="239">
        <f>SUM(AA22:AA33)</f>
        <v>1391058.0979403518</v>
      </c>
      <c r="AC35" s="239">
        <f>SUM(AC22:AC33)</f>
        <v>1438678.743690982</v>
      </c>
      <c r="AE35" s="239">
        <f>SUM(AE22:AE33)</f>
        <v>1487942.6243625663</v>
      </c>
      <c r="AG35" s="239">
        <f>SUM(AG22:AG33)</f>
        <v>1538906.548546928</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858</v>
      </c>
      <c r="C37" s="240"/>
      <c r="E37" s="239">
        <f>E11-E35</f>
        <v>1229858.7199999997</v>
      </c>
      <c r="G37" s="239">
        <f>G11-G35</f>
        <v>1251842.0629999998</v>
      </c>
      <c r="I37" s="239">
        <f>I11-I35</f>
        <v>1274064.0215749992</v>
      </c>
      <c r="K37" s="239">
        <f>K11-K35</f>
        <v>1296519.7620743744</v>
      </c>
      <c r="M37" s="239">
        <f>M11-M35</f>
        <v>1319203.9545850332</v>
      </c>
      <c r="O37" s="239">
        <f>O11-O35</f>
        <v>1342110.7474614733</v>
      </c>
      <c r="Q37" s="239">
        <f>Q11-Q35</f>
        <v>1365233.740764152</v>
      </c>
      <c r="S37" s="239">
        <f>S11-S35</f>
        <v>1388565.9585630449</v>
      </c>
      <c r="U37" s="239">
        <f>U11-U35</f>
        <v>1412099.8200615977</v>
      </c>
      <c r="W37" s="239">
        <f>W11-W35</f>
        <v>1435827.1094946114</v>
      </c>
      <c r="Y37" s="239">
        <f>Y11-Y35</f>
        <v>1459738.9447518422</v>
      </c>
      <c r="AA37" s="239">
        <f>AA11-AA35</f>
        <v>1483825.7446772647</v>
      </c>
      <c r="AC37" s="239">
        <f>AC11-AC35</f>
        <v>1508077.1949920743</v>
      </c>
      <c r="AE37" s="239">
        <f>AE11-AE35</f>
        <v>1532482.212787566</v>
      </c>
      <c r="AG37" s="239">
        <f>AG11-AG35</f>
        <v>1557028.909531957</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Citibank Permanent Loan</v>
      </c>
      <c r="B40" s="242"/>
      <c r="C40" s="236"/>
      <c r="E40" s="238">
        <f>Application!AF627</f>
        <v>1069443</v>
      </c>
      <c r="F40" s="238"/>
      <c r="G40" s="238">
        <f>$E$40</f>
        <v>1069443</v>
      </c>
      <c r="H40" s="238"/>
      <c r="I40" s="238">
        <f>$E$40</f>
        <v>1069443</v>
      </c>
      <c r="J40" s="238"/>
      <c r="K40" s="238">
        <f>$E$40</f>
        <v>1069443</v>
      </c>
      <c r="L40" s="238"/>
      <c r="M40" s="238">
        <f>$E$40</f>
        <v>1069443</v>
      </c>
      <c r="N40" s="238"/>
      <c r="O40" s="238">
        <f>$E$40</f>
        <v>1069443</v>
      </c>
      <c r="P40" s="238"/>
      <c r="Q40" s="238">
        <f>$E$40</f>
        <v>1069443</v>
      </c>
      <c r="R40" s="238"/>
      <c r="S40" s="238">
        <f>$E$40</f>
        <v>1069443</v>
      </c>
      <c r="T40" s="238"/>
      <c r="U40" s="238">
        <f>$E$40</f>
        <v>1069443</v>
      </c>
      <c r="V40" s="238"/>
      <c r="W40" s="238">
        <f>$E$40</f>
        <v>1069443</v>
      </c>
      <c r="X40" s="238"/>
      <c r="Y40" s="238">
        <f>$E$40</f>
        <v>1069443</v>
      </c>
      <c r="Z40" s="238"/>
      <c r="AA40" s="238">
        <f>$E$40</f>
        <v>1069443</v>
      </c>
      <c r="AB40" s="238"/>
      <c r="AC40" s="238">
        <f>$E$40</f>
        <v>1069443</v>
      </c>
      <c r="AD40" s="238"/>
      <c r="AE40" s="238">
        <f>$E$40</f>
        <v>1069443</v>
      </c>
      <c r="AF40" s="238"/>
      <c r="AG40" s="238">
        <f>$E$40</f>
        <v>1069443</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859</v>
      </c>
      <c r="C43" s="240"/>
      <c r="E43" s="239">
        <f>SUM(E40:E42)</f>
        <v>1069443</v>
      </c>
      <c r="G43" s="239">
        <f>SUM(G40:G42)</f>
        <v>1069443</v>
      </c>
      <c r="I43" s="239">
        <f>SUM(I40:I42)</f>
        <v>1069443</v>
      </c>
      <c r="K43" s="239">
        <f>SUM(K40:K42)</f>
        <v>1069443</v>
      </c>
      <c r="M43" s="239">
        <f>SUM(M40:M42)</f>
        <v>1069443</v>
      </c>
      <c r="O43" s="239">
        <f>SUM(O40:O42)</f>
        <v>1069443</v>
      </c>
      <c r="Q43" s="239">
        <f>SUM(Q40:Q42)</f>
        <v>1069443</v>
      </c>
      <c r="S43" s="239">
        <f>SUM(S40:S42)</f>
        <v>1069443</v>
      </c>
      <c r="U43" s="239">
        <f>SUM(U40:U42)</f>
        <v>1069443</v>
      </c>
      <c r="W43" s="239">
        <f>SUM(W40:W42)</f>
        <v>1069443</v>
      </c>
      <c r="Y43" s="239">
        <f>SUM(Y40:Y42)</f>
        <v>1069443</v>
      </c>
      <c r="AA43" s="239">
        <f>SUM(AA40:AA42)</f>
        <v>1069443</v>
      </c>
      <c r="AC43" s="239">
        <f>SUM(AC40:AC42)</f>
        <v>1069443</v>
      </c>
      <c r="AE43" s="239">
        <f>SUM(AE40:AE42)</f>
        <v>1069443</v>
      </c>
      <c r="AG43" s="239">
        <f>SUM(AG40:AG42)</f>
        <v>1069443</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860</v>
      </c>
      <c r="C45" s="240"/>
      <c r="E45" s="239">
        <f>E37-E43</f>
        <v>160415.71999999974</v>
      </c>
      <c r="G45" s="239">
        <f>G37-G43</f>
        <v>182399.06299999985</v>
      </c>
      <c r="I45" s="239">
        <f>I37-I43</f>
        <v>204621.02157499921</v>
      </c>
      <c r="K45" s="239">
        <f>K37-K43</f>
        <v>227076.76207437436</v>
      </c>
      <c r="M45" s="239">
        <f>M37-M43</f>
        <v>249760.95458503324</v>
      </c>
      <c r="O45" s="239">
        <f>O37-O43</f>
        <v>272667.74746147334</v>
      </c>
      <c r="Q45" s="239">
        <f>Q37-Q43</f>
        <v>295790.74076415203</v>
      </c>
      <c r="S45" s="239">
        <f>S37-S43</f>
        <v>319122.9585630449</v>
      </c>
      <c r="U45" s="239">
        <f>U37-U43</f>
        <v>342656.82006159774</v>
      </c>
      <c r="W45" s="239">
        <f>W37-W43</f>
        <v>366384.10949461139</v>
      </c>
      <c r="Y45" s="239">
        <f>Y37-Y43</f>
        <v>390295.94475184218</v>
      </c>
      <c r="AA45" s="239">
        <f>AA37-AA43</f>
        <v>414382.74467726471</v>
      </c>
      <c r="AC45" s="239">
        <f>AC37-AC43</f>
        <v>438634.19499207428</v>
      </c>
      <c r="AE45" s="239">
        <f>AE37-AE43</f>
        <v>463039.21278756601</v>
      </c>
      <c r="AG45" s="239">
        <f>AG37-AG43</f>
        <v>487585.909531957</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862</v>
      </c>
      <c r="C47" s="236"/>
      <c r="E47" s="243">
        <f>E45/(E4+E6+E8)</f>
        <v>6.9552500401491801E-2</v>
      </c>
      <c r="G47" s="243">
        <f>G45/(G4+G6+G8)</f>
        <v>7.7155086081364954E-2</v>
      </c>
      <c r="I47" s="243">
        <f>I45/(I4+I6+I8)</f>
        <v>8.4443911188057968E-2</v>
      </c>
      <c r="K47" s="243">
        <f>K45/(K4+K6+K8)</f>
        <v>9.1425410560533035E-2</v>
      </c>
      <c r="M47" s="243">
        <f>M45/(M4+M6+M8)</f>
        <v>9.8105850375543771E-2</v>
      </c>
      <c r="O47" s="243">
        <f>O45/(O4+O6+O8)</f>
        <v>0.1044913321478709</v>
      </c>
      <c r="Q47" s="243">
        <f>Q45/(Q4+Q6+Q8)</f>
        <v>0.11058779663188362</v>
      </c>
      <c r="S47" s="243">
        <f>S45/(S4+S6+S8)</f>
        <v>0.11640102762683081</v>
      </c>
      <c r="U47" s="243">
        <f>U45/(U4+U6+U8)</f>
        <v>0.1219366556881932</v>
      </c>
      <c r="W47" s="243">
        <f>W45/(W4+W6+W8)</f>
        <v>0.127200161747379</v>
      </c>
      <c r="Y47" s="243">
        <f>Y45/(Y4+Y6+Y8)</f>
        <v>0.13219688064198992</v>
      </c>
      <c r="AA47" s="243">
        <f>AA45/(AA4+AA6+AA8)</f>
        <v>0.13693200455882282</v>
      </c>
      <c r="AC47" s="243">
        <f>AC45/(AC4+AC6+AC8)</f>
        <v>0.14141058639172552</v>
      </c>
      <c r="AE47" s="243">
        <f>AE45/(AE4+AE6+AE8)</f>
        <v>0.14563754301637763</v>
      </c>
      <c r="AG47" s="243">
        <f>AG45/(AG4+AG6+AG8)</f>
        <v>0.14961765848400208</v>
      </c>
    </row>
    <row r="48" spans="1:33" s="243" customFormat="1" ht="13.8">
      <c r="A48" s="243" t="s">
        <v>863</v>
      </c>
      <c r="C48" s="236"/>
      <c r="E48" s="243">
        <f>E45/E43</f>
        <v>0.14999931740167521</v>
      </c>
      <c r="G48" s="243">
        <f>G45/G43</f>
        <v>0.17055519836026778</v>
      </c>
      <c r="I48" s="243">
        <f>I45/I43</f>
        <v>0.1913342006773612</v>
      </c>
      <c r="K48" s="243">
        <f>K45/K43</f>
        <v>0.21233180456964454</v>
      </c>
      <c r="M48" s="243">
        <f>M45/M43</f>
        <v>0.23354302621554701</v>
      </c>
      <c r="O48" s="243">
        <f>O45/O43</f>
        <v>0.25496239393915648</v>
      </c>
      <c r="Q48" s="243">
        <f>Q45/Q43</f>
        <v>0.27658392337333737</v>
      </c>
      <c r="S48" s="243">
        <f>S45/S43</f>
        <v>0.29840109156172412</v>
      </c>
      <c r="U48" s="243">
        <f>U45/U43</f>
        <v>0.32040680995770482</v>
      </c>
      <c r="W48" s="243">
        <f>W45/W43</f>
        <v>0.34259339627695107</v>
      </c>
      <c r="Y48" s="243">
        <f>Y45/Y43</f>
        <v>0.36495254515840692</v>
      </c>
      <c r="AA48" s="243">
        <f>AA45/AA43</f>
        <v>0.38747529758693516</v>
      </c>
      <c r="AC48" s="243">
        <f>AC45/AC43</f>
        <v>0.41015200902906868</v>
      </c>
      <c r="AE48" s="243">
        <f>AE45/AE43</f>
        <v>0.43297231623150184</v>
      </c>
      <c r="AG48" s="243">
        <f>AG45/AG43</f>
        <v>0.45592510263002051</v>
      </c>
    </row>
    <row r="49" spans="1:35" s="244" customFormat="1" ht="13.8">
      <c r="A49" s="244" t="s">
        <v>861</v>
      </c>
      <c r="C49" s="245"/>
      <c r="E49" s="244">
        <f>E37/E43</f>
        <v>1.1499993174016752</v>
      </c>
      <c r="G49" s="244">
        <f>G37/G43</f>
        <v>1.1705551983602678</v>
      </c>
      <c r="I49" s="244">
        <f>I37/I43</f>
        <v>1.1913342006773613</v>
      </c>
      <c r="K49" s="244">
        <f>K37/K43</f>
        <v>1.2123318045696445</v>
      </c>
      <c r="M49" s="244">
        <f>M37/M43</f>
        <v>1.2335430262155469</v>
      </c>
      <c r="O49" s="244">
        <f>O37/O43</f>
        <v>1.2549623939391565</v>
      </c>
      <c r="Q49" s="244">
        <f>Q37/Q43</f>
        <v>1.2765839233733374</v>
      </c>
      <c r="S49" s="244">
        <f>S37/S43</f>
        <v>1.2984010915617241</v>
      </c>
      <c r="U49" s="244">
        <f>U37/U43</f>
        <v>1.3204068099577049</v>
      </c>
      <c r="W49" s="244">
        <f>W37/W43</f>
        <v>1.3425933962769512</v>
      </c>
      <c r="Y49" s="244">
        <f>Y37/Y43</f>
        <v>1.364952545158407</v>
      </c>
      <c r="AA49" s="244">
        <f>AA37/AA43</f>
        <v>1.3874752975869351</v>
      </c>
      <c r="AC49" s="244">
        <f>AC37/AC43</f>
        <v>1.4101520090290687</v>
      </c>
      <c r="AE49" s="244">
        <f>AE37/AE43</f>
        <v>1.4329723162315018</v>
      </c>
      <c r="AG49" s="244">
        <f>AG37/AG43</f>
        <v>1.4559251026300204</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700" t="s">
        <v>1290</v>
      </c>
      <c r="B52" s="2700"/>
      <c r="C52" s="2700"/>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14000</v>
      </c>
      <c r="G53" s="995">
        <f>E53*$C$53</f>
        <v>14420</v>
      </c>
      <c r="I53" s="995">
        <f>G53*$C$53</f>
        <v>14852.6</v>
      </c>
      <c r="K53" s="995">
        <f>I53*$C$53</f>
        <v>15298.178</v>
      </c>
      <c r="M53" s="995">
        <f>K53*$C$53</f>
        <v>15757.12334</v>
      </c>
      <c r="O53" s="995">
        <f>M53*$C$53</f>
        <v>16229.8370402</v>
      </c>
      <c r="Q53" s="995">
        <f>O53*$C$53</f>
        <v>16716.732151406002</v>
      </c>
      <c r="S53" s="995">
        <f>Q53*$C$53</f>
        <v>17218.234115948184</v>
      </c>
      <c r="U53" s="995">
        <f>S53*$C$53</f>
        <v>17734.781139426628</v>
      </c>
      <c r="W53" s="995">
        <f>U53*$C$53</f>
        <v>18266.824573609429</v>
      </c>
      <c r="Y53" s="995">
        <f>W53*$C$53</f>
        <v>18814.829310817713</v>
      </c>
      <c r="AA53" s="995">
        <f>Y53*$C$53</f>
        <v>19379.274190142245</v>
      </c>
      <c r="AC53" s="995">
        <f>AA53*$C$53</f>
        <v>19960.652415846514</v>
      </c>
      <c r="AE53" s="995">
        <f>AC53*$C$53</f>
        <v>20559.471988321911</v>
      </c>
      <c r="AG53" s="995">
        <f>AE53*$C$53</f>
        <v>21176.25614797157</v>
      </c>
    </row>
    <row r="54" spans="1:35" s="3" customFormat="1">
      <c r="A54" s="3" t="s">
        <v>866</v>
      </c>
      <c r="C54" s="993"/>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19000</v>
      </c>
      <c r="F58" s="995"/>
      <c r="G58" s="995">
        <f>SUM(G53:G57)</f>
        <v>19570</v>
      </c>
      <c r="H58" s="995"/>
      <c r="I58" s="995">
        <f>SUM(I53:I57)</f>
        <v>20157.099999999999</v>
      </c>
      <c r="J58" s="995"/>
      <c r="K58" s="995">
        <f>SUM(K53:K57)</f>
        <v>20761.813000000002</v>
      </c>
      <c r="L58" s="995"/>
      <c r="M58" s="995">
        <f>SUM(M53:M57)</f>
        <v>21384.667390000002</v>
      </c>
      <c r="N58" s="995"/>
      <c r="O58" s="995">
        <f>SUM(O53:O57)</f>
        <v>22026.207411700001</v>
      </c>
      <c r="P58" s="995"/>
      <c r="Q58" s="995">
        <f>SUM(Q53:Q57)</f>
        <v>22686.993634051003</v>
      </c>
      <c r="R58" s="995"/>
      <c r="S58" s="995">
        <f>SUM(S53:S57)</f>
        <v>23367.603443072534</v>
      </c>
      <c r="T58" s="995"/>
      <c r="U58" s="995">
        <f>SUM(U53:U57)</f>
        <v>24068.631546364708</v>
      </c>
      <c r="V58" s="995"/>
      <c r="W58" s="995">
        <f>SUM(W53:W57)</f>
        <v>24790.690492755653</v>
      </c>
      <c r="X58" s="995"/>
      <c r="Y58" s="995">
        <f>SUM(Y53:Y57)</f>
        <v>25534.411207538324</v>
      </c>
      <c r="Z58" s="995"/>
      <c r="AA58" s="995">
        <f>SUM(AA53:AA57)</f>
        <v>26300.443543764472</v>
      </c>
      <c r="AB58" s="995"/>
      <c r="AC58" s="995">
        <f>SUM(AC53:AC57)</f>
        <v>27089.456850077411</v>
      </c>
      <c r="AD58" s="995"/>
      <c r="AE58" s="995">
        <f>SUM(AE53:AE57)</f>
        <v>27902.140555579732</v>
      </c>
      <c r="AF58" s="995"/>
      <c r="AG58" s="995">
        <f>SUM(AG53:AG57)</f>
        <v>28739.204772247125</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141415.71999999974</v>
      </c>
      <c r="G60" s="997">
        <f>G45-G58</f>
        <v>162829.06299999985</v>
      </c>
      <c r="I60" s="997">
        <f>I45-I58</f>
        <v>184463.9215749992</v>
      </c>
      <c r="K60" s="997">
        <f>K45-K58</f>
        <v>206314.94907437437</v>
      </c>
      <c r="M60" s="997">
        <f>M45-M58</f>
        <v>228376.28719503322</v>
      </c>
      <c r="O60" s="997">
        <f>O45-O58</f>
        <v>250641.54004977335</v>
      </c>
      <c r="Q60" s="997">
        <f>Q45-Q58</f>
        <v>273103.74713010102</v>
      </c>
      <c r="S60" s="997">
        <f>S45-S58</f>
        <v>295755.35511997237</v>
      </c>
      <c r="U60" s="997">
        <f>U45-U58</f>
        <v>318588.18851523305</v>
      </c>
      <c r="W60" s="997">
        <f>W45-W58</f>
        <v>341593.41900185571</v>
      </c>
      <c r="Y60" s="997">
        <f>Y45-Y58</f>
        <v>364761.53354430385</v>
      </c>
      <c r="AA60" s="997">
        <f>AA45-AA58</f>
        <v>388082.30113350024</v>
      </c>
      <c r="AC60" s="997">
        <f>AC45-AC58</f>
        <v>411544.73814199684</v>
      </c>
      <c r="AE60" s="997">
        <f>AE45-AE58</f>
        <v>435137.07223198627</v>
      </c>
      <c r="AG60" s="997">
        <f>AG45-AG58</f>
        <v>458846.70475970989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141415.71999999974</v>
      </c>
      <c r="G62" s="997">
        <f>G60*$C$62</f>
        <v>162829.06299999985</v>
      </c>
      <c r="I62" s="997">
        <f>I60*$C$62</f>
        <v>184463.9215749992</v>
      </c>
      <c r="K62" s="997">
        <f>K60*$C$62</f>
        <v>206314.94907437437</v>
      </c>
      <c r="M62" s="997">
        <f>M60*$C$62</f>
        <v>228376.28719503322</v>
      </c>
      <c r="O62" s="997">
        <f>O60*$C$62</f>
        <v>250641.54004977335</v>
      </c>
      <c r="Q62" s="997">
        <f>Q60*$C$62</f>
        <v>273103.74713010102</v>
      </c>
      <c r="S62" s="997">
        <f>S60*$C$62</f>
        <v>295755.35511997237</v>
      </c>
      <c r="U62" s="997">
        <f>U60*$C$62</f>
        <v>318588.18851523305</v>
      </c>
      <c r="W62" s="997">
        <f>W60*$C$62</f>
        <v>341593.41900185571</v>
      </c>
      <c r="Y62" s="997">
        <f>Y60*$C$62</f>
        <v>364761.53354430385</v>
      </c>
      <c r="AA62" s="997">
        <f>AA60*$C$62</f>
        <v>388082.30113350024</v>
      </c>
      <c r="AC62" s="997">
        <f>AC60*$C$62</f>
        <v>411544.73814199684</v>
      </c>
      <c r="AE62" s="997">
        <f>AE60*$C$62</f>
        <v>435137.07223198627</v>
      </c>
      <c r="AG62" s="997">
        <f>AG60*$C$62</f>
        <v>458846.70475970989</v>
      </c>
    </row>
    <row r="63" spans="1:35" s="997" customFormat="1">
      <c r="A63" s="2700" t="s">
        <v>1290</v>
      </c>
      <c r="B63" s="2700"/>
      <c r="C63" s="2700"/>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98" t="s">
        <v>1911</v>
      </c>
      <c r="B77" s="2699"/>
      <c r="C77" s="2699"/>
      <c r="D77" s="2699"/>
      <c r="E77" s="2699"/>
      <c r="F77" s="2699"/>
      <c r="G77" s="2699"/>
      <c r="H77" s="2699"/>
      <c r="I77" s="2699"/>
      <c r="J77" s="2699"/>
      <c r="K77" s="2699"/>
      <c r="L77" s="2699"/>
      <c r="M77" s="2699"/>
      <c r="N77" s="2699"/>
      <c r="O77" s="2699"/>
      <c r="P77" s="2699"/>
      <c r="Q77" s="2699"/>
      <c r="R77" s="2699"/>
      <c r="S77" s="2699"/>
      <c r="T77" s="2699"/>
      <c r="U77" s="2699"/>
      <c r="V77" s="2699"/>
      <c r="W77" s="2699"/>
      <c r="X77" s="2699"/>
      <c r="Y77" s="2699"/>
      <c r="Z77" s="2699"/>
      <c r="AA77" s="2699"/>
      <c r="AB77" s="2699"/>
      <c r="AC77" s="2699"/>
      <c r="AD77" s="2699"/>
      <c r="AE77" s="2699"/>
      <c r="AF77" s="2699"/>
      <c r="AG77" s="269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77734375" customWidth="1"/>
    <col min="2" max="16384" width="8.77734375" hidden="1"/>
  </cols>
  <sheetData>
    <row r="1" spans="1:1" ht="46.8">
      <c r="A1" s="337" t="s">
        <v>990</v>
      </c>
    </row>
    <row r="2" spans="1:1" ht="15.6">
      <c r="A2" s="338"/>
    </row>
    <row r="3" spans="1:1" ht="15.6">
      <c r="A3" s="339" t="s">
        <v>985</v>
      </c>
    </row>
    <row r="4" spans="1:1" ht="15.6">
      <c r="A4" s="339" t="s">
        <v>986</v>
      </c>
    </row>
    <row r="5" spans="1:1" ht="15.6">
      <c r="A5" s="339" t="s">
        <v>987</v>
      </c>
    </row>
    <row r="6" spans="1:1" ht="15.6">
      <c r="A6" s="339" t="s">
        <v>989</v>
      </c>
    </row>
    <row r="7" spans="1:1" ht="15.6">
      <c r="A7" s="339" t="s">
        <v>988</v>
      </c>
    </row>
    <row r="8" spans="1:1" ht="15.6">
      <c r="A8" s="374" t="s">
        <v>1048</v>
      </c>
    </row>
    <row r="9" spans="1:1" ht="15.6">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77734375" style="218" customWidth="1"/>
    <col min="2" max="4" width="14.77734375" style="218" customWidth="1"/>
    <col min="5" max="5" width="50.77734375" style="218" customWidth="1"/>
    <col min="6" max="253" width="9.109375" style="218" customWidth="1"/>
    <col min="254" max="16384" width="9.10937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1957627</v>
      </c>
      <c r="C5" s="286">
        <f>'Sources and Uses Budget'!$C4</f>
        <v>1957627</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1957627</v>
      </c>
      <c r="C9" s="290">
        <f>SUM(C5:C8)</f>
        <v>1957627</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1957627</v>
      </c>
      <c r="C13" s="290">
        <f>SUM(C9+C12)</f>
        <v>1957627</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2.8">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3715272</v>
      </c>
      <c r="C30" s="286">
        <f>'Sources and Uses Budget'!$C29</f>
        <v>3715272</v>
      </c>
      <c r="D30" s="290">
        <f t="shared" si="0"/>
        <v>0</v>
      </c>
      <c r="E30" s="288"/>
      <c r="F30" s="287"/>
      <c r="G30" s="383"/>
    </row>
    <row r="31" spans="1:7" s="380" customFormat="1">
      <c r="A31" s="145" t="s">
        <v>607</v>
      </c>
      <c r="B31" s="286">
        <f>'Sources and Uses Budget'!$C30</f>
        <v>31480939</v>
      </c>
      <c r="C31" s="286">
        <f>'Sources and Uses Budget'!$C30</f>
        <v>31480939</v>
      </c>
      <c r="D31" s="290">
        <f t="shared" si="0"/>
        <v>0</v>
      </c>
      <c r="E31" s="288"/>
      <c r="F31" s="287"/>
      <c r="G31" s="383"/>
    </row>
    <row r="32" spans="1:7" s="380" customFormat="1">
      <c r="A32" s="145" t="s">
        <v>608</v>
      </c>
      <c r="B32" s="286">
        <f>'Sources and Uses Budget'!$C31</f>
        <v>2111773</v>
      </c>
      <c r="C32" s="286">
        <f>'Sources and Uses Budget'!$C31</f>
        <v>2111773</v>
      </c>
      <c r="D32" s="290">
        <f t="shared" si="0"/>
        <v>0</v>
      </c>
      <c r="E32" s="288"/>
      <c r="F32" s="287"/>
      <c r="G32" s="383"/>
    </row>
    <row r="33" spans="1:7" s="380" customFormat="1">
      <c r="A33" s="145" t="s">
        <v>137</v>
      </c>
      <c r="B33" s="286">
        <f>'Sources and Uses Budget'!$C32</f>
        <v>1492319.5</v>
      </c>
      <c r="C33" s="286">
        <f>'Sources and Uses Budget'!$C32</f>
        <v>1492319.5</v>
      </c>
      <c r="D33" s="290">
        <f t="shared" si="0"/>
        <v>0</v>
      </c>
      <c r="E33" s="288"/>
      <c r="F33" s="287"/>
      <c r="G33" s="383"/>
    </row>
    <row r="34" spans="1:7" s="380" customFormat="1">
      <c r="A34" s="145" t="s">
        <v>138</v>
      </c>
      <c r="B34" s="286">
        <f>'Sources and Uses Budget'!$C33</f>
        <v>1492319.5</v>
      </c>
      <c r="C34" s="286">
        <f>'Sources and Uses Budget'!$C33</f>
        <v>1492319.5</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402988.5</v>
      </c>
      <c r="C36" s="286">
        <f>'Sources and Uses Budget'!$C35</f>
        <v>402988.5</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(Bond Premium)</v>
      </c>
      <c r="B38" s="286">
        <f>'Sources and Uses Budget'!$C37</f>
        <v>604388.5</v>
      </c>
      <c r="C38" s="286">
        <f>'Sources and Uses Budget'!$C37</f>
        <v>604388.5</v>
      </c>
      <c r="D38" s="290">
        <f t="shared" si="0"/>
        <v>0</v>
      </c>
      <c r="E38" s="288"/>
      <c r="F38" s="287"/>
      <c r="G38" s="383"/>
    </row>
    <row r="39" spans="1:7" s="380" customFormat="1">
      <c r="A39" s="291" t="s">
        <v>143</v>
      </c>
      <c r="B39" s="290">
        <f>SUM(B30:B38)</f>
        <v>41300000</v>
      </c>
      <c r="C39" s="290">
        <f>SUM(C30:C38)</f>
        <v>41300000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0</v>
      </c>
      <c r="C41" s="286">
        <f>'Sources and Uses Budget'!$C40</f>
        <v>0</v>
      </c>
      <c r="D41" s="290">
        <f t="shared" si="0"/>
        <v>0</v>
      </c>
      <c r="E41" s="288"/>
      <c r="F41" s="287"/>
      <c r="G41" s="383"/>
    </row>
    <row r="42" spans="1:7" s="380" customFormat="1">
      <c r="A42" s="289" t="s">
        <v>146</v>
      </c>
      <c r="B42" s="286">
        <f>'Sources and Uses Budget'!$C41</f>
        <v>1344000</v>
      </c>
      <c r="C42" s="286">
        <f>'Sources and Uses Budget'!$C41</f>
        <v>1344000</v>
      </c>
      <c r="D42" s="290">
        <f t="shared" si="0"/>
        <v>0</v>
      </c>
      <c r="E42" s="288"/>
      <c r="F42" s="287"/>
      <c r="G42" s="383"/>
    </row>
    <row r="43" spans="1:7" s="380" customFormat="1">
      <c r="A43" s="291" t="s">
        <v>147</v>
      </c>
      <c r="B43" s="290">
        <f>SUM(B41:B42)</f>
        <v>1344000</v>
      </c>
      <c r="C43" s="290">
        <f>SUM(C41:C42)</f>
        <v>1344000</v>
      </c>
      <c r="D43" s="290">
        <f t="shared" si="0"/>
        <v>0</v>
      </c>
      <c r="E43" s="288"/>
      <c r="F43" s="287"/>
      <c r="G43" s="383"/>
    </row>
    <row r="44" spans="1:7" s="380" customFormat="1">
      <c r="A44" s="291" t="s">
        <v>148</v>
      </c>
      <c r="B44" s="286">
        <f>'Sources and Uses Budget'!$C43</f>
        <v>383000</v>
      </c>
      <c r="C44" s="286">
        <f>'Sources and Uses Budget'!$C43</f>
        <v>383000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4593938.7</v>
      </c>
      <c r="C46" s="286">
        <f>'Sources and Uses Budget'!$C45</f>
        <v>4593938.7</v>
      </c>
      <c r="D46" s="290">
        <f t="shared" si="0"/>
        <v>0</v>
      </c>
      <c r="E46" s="288"/>
      <c r="F46" s="287"/>
      <c r="G46" s="383"/>
    </row>
    <row r="47" spans="1:7" s="380" customFormat="1">
      <c r="A47" s="145" t="s">
        <v>151</v>
      </c>
      <c r="B47" s="286">
        <f>'Sources and Uses Budget'!$C46</f>
        <v>424534.8</v>
      </c>
      <c r="C47" s="286">
        <f>'Sources and Uses Budget'!$C46</f>
        <v>424534.8</v>
      </c>
      <c r="D47" s="290">
        <f t="shared" si="0"/>
        <v>0</v>
      </c>
      <c r="E47" s="288"/>
      <c r="F47" s="287"/>
      <c r="G47" s="383"/>
    </row>
    <row r="48" spans="1:7" s="380" customFormat="1" ht="12" customHeight="1">
      <c r="A48" s="198" t="s">
        <v>152</v>
      </c>
      <c r="B48" s="286">
        <f>'Sources and Uses Budget'!$C47</f>
        <v>15000</v>
      </c>
      <c r="C48" s="286">
        <f>'Sources and Uses Budget'!$C47</f>
        <v>15000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106133.7</v>
      </c>
      <c r="C50" s="286">
        <f>'Sources and Uses Budget'!$C49</f>
        <v>106133.7</v>
      </c>
      <c r="D50" s="290">
        <f t="shared" si="0"/>
        <v>0</v>
      </c>
      <c r="E50" s="288"/>
      <c r="F50" s="287"/>
      <c r="G50" s="383"/>
    </row>
    <row r="51" spans="1:7" s="380" customFormat="1">
      <c r="A51" s="145" t="s">
        <v>156</v>
      </c>
      <c r="B51" s="286">
        <f>'Sources and Uses Budget'!$C50</f>
        <v>75000</v>
      </c>
      <c r="C51" s="286">
        <f>'Sources and Uses Budget'!$C50</f>
        <v>75000</v>
      </c>
      <c r="D51" s="290">
        <f t="shared" si="0"/>
        <v>0</v>
      </c>
      <c r="E51" s="288"/>
      <c r="F51" s="287"/>
      <c r="G51" s="383"/>
    </row>
    <row r="52" spans="1:7" s="380" customFormat="1">
      <c r="A52" s="304" t="s">
        <v>154</v>
      </c>
      <c r="B52" s="286">
        <f>'Sources and Uses Budget'!$C51</f>
        <v>35000</v>
      </c>
      <c r="C52" s="286">
        <f>'Sources and Uses Budget'!$C51</f>
        <v>35000</v>
      </c>
      <c r="D52" s="290">
        <f t="shared" si="0"/>
        <v>0</v>
      </c>
      <c r="E52" s="288"/>
      <c r="F52" s="287"/>
      <c r="G52" s="383"/>
    </row>
    <row r="53" spans="1:7" s="380" customFormat="1">
      <c r="A53" s="145" t="s">
        <v>155</v>
      </c>
      <c r="B53" s="286">
        <f>'Sources and Uses Budget'!$C52</f>
        <v>620000</v>
      </c>
      <c r="C53" s="286">
        <f>'Sources and Uses Budget'!$C52</f>
        <v>620000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5869607.2000000002</v>
      </c>
      <c r="C55" s="293">
        <f>SUM(C46:C54)</f>
        <v>5869607.2000000002</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161974</v>
      </c>
      <c r="C57" s="286">
        <f>'Sources and Uses Budget'!$C56</f>
        <v>161974</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(Legal for Perm Loan)</v>
      </c>
      <c r="B62" s="286">
        <f>'Sources and Uses Budget'!$C61</f>
        <v>10000</v>
      </c>
      <c r="C62" s="286">
        <f>'Sources and Uses Budget'!$C61</f>
        <v>10000</v>
      </c>
      <c r="D62" s="290">
        <f t="shared" si="0"/>
        <v>0</v>
      </c>
      <c r="E62" s="288"/>
      <c r="F62" s="287"/>
      <c r="G62" s="383"/>
    </row>
    <row r="63" spans="1:7" s="380" customFormat="1" ht="13.8" customHeight="1">
      <c r="A63" s="291" t="s">
        <v>302</v>
      </c>
      <c r="B63" s="290">
        <f>SUM(B57:B62)</f>
        <v>181974</v>
      </c>
      <c r="C63" s="290">
        <f>SUM(C57:C62)</f>
        <v>181974</v>
      </c>
      <c r="D63" s="290">
        <f t="shared" si="0"/>
        <v>0</v>
      </c>
      <c r="E63" s="288"/>
      <c r="F63" s="287"/>
      <c r="G63" s="383"/>
    </row>
    <row r="64" spans="1:7" s="380" customFormat="1">
      <c r="A64" s="294" t="s">
        <v>303</v>
      </c>
      <c r="B64" s="290">
        <f>SUM(B9+B12+B14+B15+B17+B26+B28+B39+B43+B44+B55+B63)</f>
        <v>51036208.200000003</v>
      </c>
      <c r="C64" s="290">
        <f>SUM(C9+C12+C14+C15+C17+C26+C28+C39+C43+C44+C55+C63)</f>
        <v>51036208.200000003</v>
      </c>
      <c r="D64" s="290">
        <f t="shared" si="0"/>
        <v>0</v>
      </c>
      <c r="E64" s="288"/>
      <c r="F64" s="287"/>
      <c r="G64" s="383"/>
    </row>
    <row r="65" spans="1:7" s="380" customFormat="1" ht="22.8">
      <c r="A65" s="141" t="s">
        <v>1757</v>
      </c>
      <c r="B65" s="284"/>
      <c r="C65" s="284"/>
      <c r="D65" s="284"/>
      <c r="E65" s="303"/>
      <c r="F65" s="284"/>
      <c r="G65" s="383"/>
    </row>
    <row r="66" spans="1:7" s="380" customFormat="1">
      <c r="A66" s="145" t="s">
        <v>171</v>
      </c>
      <c r="B66" s="286">
        <f>'Sources and Uses Budget'!$C65</f>
        <v>50000</v>
      </c>
      <c r="C66" s="286">
        <f>'Sources and Uses Budget'!$C65</f>
        <v>50000</v>
      </c>
      <c r="D66" s="290">
        <f t="shared" si="0"/>
        <v>0</v>
      </c>
      <c r="E66" s="288"/>
      <c r="F66" s="287"/>
      <c r="G66" s="383"/>
    </row>
    <row r="67" spans="1:7" s="380" customFormat="1" ht="22.8">
      <c r="A67" s="304" t="s">
        <v>1754</v>
      </c>
      <c r="B67" s="286">
        <f>'Sources and Uses Budget'!$C66</f>
        <v>0</v>
      </c>
      <c r="C67" s="286">
        <f>'Sources and Uses Budget'!$C66</f>
        <v>0</v>
      </c>
      <c r="D67" s="290"/>
      <c r="E67" s="288"/>
      <c r="F67" s="287"/>
      <c r="G67" s="383"/>
    </row>
    <row r="68" spans="1:7" s="380" customFormat="1" ht="22.8">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ht="22.8">
      <c r="A70" s="155" t="str">
        <f>'Sources and Uses Budget'!A69</f>
        <v>Other: (Legal, Investor, Bond Issuer, MGP Legal)</v>
      </c>
      <c r="B70" s="286">
        <f>'Sources and Uses Budget'!$C69</f>
        <v>200000</v>
      </c>
      <c r="C70" s="286">
        <f>'Sources and Uses Budget'!$C69</f>
        <v>200000</v>
      </c>
      <c r="D70" s="290">
        <f t="shared" si="0"/>
        <v>0</v>
      </c>
      <c r="E70" s="288"/>
      <c r="F70" s="287"/>
      <c r="G70" s="383"/>
    </row>
    <row r="71" spans="1:7" s="380" customFormat="1">
      <c r="A71" s="149" t="s">
        <v>1758</v>
      </c>
      <c r="B71" s="290">
        <f>SUM(B66:B70)</f>
        <v>250000</v>
      </c>
      <c r="C71" s="290">
        <f>SUM(C66:C70)</f>
        <v>250000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676887</v>
      </c>
      <c r="C76" s="286">
        <f>'Sources and Uses Budget'!$C75</f>
        <v>676887</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676887</v>
      </c>
      <c r="C78" s="290">
        <f>SUM(C73:C77)</f>
        <v>676887</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2065000</v>
      </c>
      <c r="C80" s="286">
        <f>'Sources and Uses Budget'!$C79</f>
        <v>2065000</v>
      </c>
      <c r="D80" s="290">
        <f t="shared" si="1"/>
        <v>0</v>
      </c>
      <c r="E80" s="288"/>
      <c r="F80" s="287"/>
      <c r="G80" s="383"/>
    </row>
    <row r="81" spans="1:7" s="380" customFormat="1">
      <c r="A81" s="544" t="s">
        <v>58</v>
      </c>
      <c r="B81" s="286">
        <f>'Sources and Uses Budget'!$C80</f>
        <v>647840</v>
      </c>
      <c r="C81" s="286">
        <f>'Sources and Uses Budget'!$C80</f>
        <v>647840</v>
      </c>
      <c r="D81" s="290">
        <f>C81-B81</f>
        <v>0</v>
      </c>
      <c r="E81" s="288"/>
      <c r="F81" s="287"/>
      <c r="G81" s="383"/>
    </row>
    <row r="82" spans="1:7" s="380" customFormat="1">
      <c r="A82" s="291" t="s">
        <v>1315</v>
      </c>
      <c r="B82" s="290">
        <f>SUM(B80:B81)</f>
        <v>2712840</v>
      </c>
      <c r="C82" s="290">
        <f>SUM(C80:C81)</f>
        <v>2712840</v>
      </c>
      <c r="D82" s="290">
        <f t="shared" si="1"/>
        <v>0</v>
      </c>
      <c r="E82" s="288"/>
      <c r="F82" s="287"/>
      <c r="G82" s="383"/>
    </row>
    <row r="83" spans="1:7" s="380" customFormat="1">
      <c r="A83" s="284" t="s">
        <v>774</v>
      </c>
      <c r="B83" s="284"/>
      <c r="C83" s="284"/>
      <c r="D83" s="284"/>
      <c r="E83" s="303"/>
      <c r="F83" s="284"/>
      <c r="G83" s="383"/>
    </row>
    <row r="84" spans="1:7" s="380" customFormat="1" ht="13.8" customHeight="1">
      <c r="A84" s="289" t="s">
        <v>775</v>
      </c>
      <c r="B84" s="286">
        <f>'Sources and Uses Budget'!$C83</f>
        <v>134979</v>
      </c>
      <c r="C84" s="286">
        <f>'Sources and Uses Budget'!$C83</f>
        <v>134979</v>
      </c>
      <c r="D84" s="290">
        <f t="shared" si="1"/>
        <v>0</v>
      </c>
      <c r="E84" s="288"/>
      <c r="F84" s="287"/>
      <c r="G84" s="383"/>
    </row>
    <row r="85" spans="1:7" s="380" customFormat="1">
      <c r="A85" s="289" t="s">
        <v>776</v>
      </c>
      <c r="B85" s="286">
        <f>'Sources and Uses Budget'!$C84</f>
        <v>25000</v>
      </c>
      <c r="C85" s="286">
        <f>'Sources and Uses Budget'!$C84</f>
        <v>25000</v>
      </c>
      <c r="D85" s="290">
        <f t="shared" si="1"/>
        <v>0</v>
      </c>
      <c r="E85" s="288"/>
      <c r="F85" s="287"/>
      <c r="G85" s="383"/>
    </row>
    <row r="86" spans="1:7" s="380" customFormat="1">
      <c r="A86" s="289" t="s">
        <v>777</v>
      </c>
      <c r="B86" s="286">
        <f>'Sources and Uses Budget'!$C85</f>
        <v>8757322</v>
      </c>
      <c r="C86" s="286">
        <f>'Sources and Uses Budget'!$C85</f>
        <v>8757322</v>
      </c>
      <c r="D86" s="290">
        <f t="shared" si="1"/>
        <v>0</v>
      </c>
      <c r="E86" s="288"/>
      <c r="F86" s="287"/>
      <c r="G86" s="383"/>
    </row>
    <row r="87" spans="1:7" s="380" customFormat="1">
      <c r="A87" s="289" t="s">
        <v>778</v>
      </c>
      <c r="B87" s="286">
        <f>'Sources and Uses Budget'!$C86</f>
        <v>212678</v>
      </c>
      <c r="C87" s="286">
        <f>'Sources and Uses Budget'!$C86</f>
        <v>212678</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59690</v>
      </c>
      <c r="C89" s="286">
        <f>'Sources and Uses Budget'!$C88</f>
        <v>59690</v>
      </c>
      <c r="D89" s="290">
        <f t="shared" si="1"/>
        <v>0</v>
      </c>
      <c r="E89" s="288"/>
      <c r="F89" s="287"/>
      <c r="G89" s="383"/>
    </row>
    <row r="90" spans="1:7" s="380" customFormat="1">
      <c r="A90" s="289" t="s">
        <v>781</v>
      </c>
      <c r="B90" s="286">
        <f>'Sources and Uses Budget'!$C89</f>
        <v>50000</v>
      </c>
      <c r="C90" s="286">
        <f>'Sources and Uses Budget'!$C89</f>
        <v>50000</v>
      </c>
      <c r="D90" s="290">
        <f t="shared" si="1"/>
        <v>0</v>
      </c>
      <c r="E90" s="288"/>
      <c r="F90" s="287"/>
      <c r="G90" s="383"/>
    </row>
    <row r="91" spans="1:7" s="380" customFormat="1">
      <c r="A91" s="289" t="s">
        <v>782</v>
      </c>
      <c r="B91" s="286">
        <f>'Sources and Uses Budget'!$C90</f>
        <v>10000</v>
      </c>
      <c r="C91" s="286">
        <f>'Sources and Uses Budget'!$C90</f>
        <v>10000</v>
      </c>
      <c r="D91" s="290">
        <f t="shared" si="1"/>
        <v>0</v>
      </c>
      <c r="E91" s="288"/>
      <c r="F91" s="287"/>
      <c r="G91" s="383"/>
    </row>
    <row r="92" spans="1:7" s="380" customFormat="1">
      <c r="A92" s="289" t="s">
        <v>373</v>
      </c>
      <c r="B92" s="286">
        <f>'Sources and Uses Budget'!$C91</f>
        <v>25000</v>
      </c>
      <c r="C92" s="286">
        <f>'Sources and Uses Budget'!$C91</f>
        <v>25000</v>
      </c>
      <c r="D92" s="290">
        <f t="shared" si="1"/>
        <v>0</v>
      </c>
      <c r="E92" s="288"/>
      <c r="F92" s="287"/>
      <c r="G92" s="383"/>
    </row>
    <row r="93" spans="1:7" s="380" customFormat="1">
      <c r="A93" s="544" t="s">
        <v>1317</v>
      </c>
      <c r="B93" s="286">
        <f>'Sources and Uses Budget'!$C92</f>
        <v>10000</v>
      </c>
      <c r="C93" s="286">
        <f>'Sources and Uses Budget'!$C92</f>
        <v>10000</v>
      </c>
      <c r="D93" s="290">
        <f t="shared" si="1"/>
        <v>0</v>
      </c>
      <c r="E93" s="288"/>
      <c r="F93" s="287"/>
      <c r="G93" s="383"/>
    </row>
    <row r="94" spans="1:7" s="380" customFormat="1">
      <c r="A94" s="292" t="s">
        <v>34</v>
      </c>
      <c r="B94" s="286">
        <f>'Sources and Uses Budget'!$C93</f>
        <v>17500</v>
      </c>
      <c r="C94" s="286">
        <f>'Sources and Uses Budget'!$C93</f>
        <v>17500</v>
      </c>
      <c r="D94" s="290">
        <f t="shared" si="1"/>
        <v>0</v>
      </c>
      <c r="E94" s="288"/>
      <c r="F94" s="287"/>
      <c r="G94" s="383"/>
    </row>
    <row r="95" spans="1:7" s="380" customFormat="1">
      <c r="A95" s="292" t="s">
        <v>34</v>
      </c>
      <c r="B95" s="286">
        <f>'Sources and Uses Budget'!$C94</f>
        <v>437411.8</v>
      </c>
      <c r="C95" s="286">
        <f>'Sources and Uses Budget'!$C94</f>
        <v>437411.8</v>
      </c>
      <c r="D95" s="290">
        <f t="shared" si="1"/>
        <v>0</v>
      </c>
      <c r="E95" s="288"/>
      <c r="F95" s="287"/>
      <c r="G95" s="383"/>
    </row>
    <row r="96" spans="1:7" s="380" customFormat="1">
      <c r="A96" s="292" t="s">
        <v>34</v>
      </c>
      <c r="B96" s="286">
        <f>'Sources and Uses Budget'!$C95</f>
        <v>450000</v>
      </c>
      <c r="C96" s="286">
        <f>'Sources and Uses Budget'!$C95</f>
        <v>450000</v>
      </c>
      <c r="D96" s="290">
        <f t="shared" si="1"/>
        <v>0</v>
      </c>
      <c r="E96" s="288"/>
      <c r="F96" s="287"/>
      <c r="G96" s="383"/>
    </row>
    <row r="97" spans="1:7" s="380" customFormat="1">
      <c r="A97" s="291" t="s">
        <v>783</v>
      </c>
      <c r="B97" s="290">
        <f>SUM(B84:B96)</f>
        <v>10189580.800000001</v>
      </c>
      <c r="C97" s="290">
        <f>SUM(C84:C96)</f>
        <v>10189580.800000001</v>
      </c>
      <c r="D97" s="290">
        <f t="shared" si="1"/>
        <v>0</v>
      </c>
      <c r="E97" s="288"/>
      <c r="F97" s="287"/>
      <c r="G97" s="383"/>
    </row>
    <row r="98" spans="1:7" s="380" customFormat="1">
      <c r="A98" s="291" t="s">
        <v>784</v>
      </c>
      <c r="B98" s="290">
        <f>SUM(B64+B71+B78+B82+B97)</f>
        <v>64865516</v>
      </c>
      <c r="C98" s="290">
        <f>SUM(C64+C71+C78+C82+C97)</f>
        <v>64865516</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8949626</v>
      </c>
      <c r="C100" s="286">
        <f>'Sources and Uses Budget'!$C99</f>
        <v>8949626</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8949626</v>
      </c>
      <c r="C105" s="290">
        <f>SUM(C100:C104)</f>
        <v>8949626</v>
      </c>
      <c r="D105" s="290">
        <f t="shared" si="1"/>
        <v>0</v>
      </c>
      <c r="E105" s="288"/>
      <c r="F105" s="287"/>
      <c r="G105" s="383"/>
    </row>
    <row r="106" spans="1:7" s="380" customFormat="1">
      <c r="A106" s="291" t="s">
        <v>789</v>
      </c>
      <c r="B106" s="293">
        <f>SUM(B98+B105)</f>
        <v>73815142</v>
      </c>
      <c r="C106" s="293">
        <f>SUM(C98+C105)</f>
        <v>73815142</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77734375" style="6" customWidth="1"/>
    <col min="2" max="2" width="13.77734375" style="6" customWidth="1"/>
    <col min="3" max="3" width="2.77734375" style="6" customWidth="1"/>
    <col min="4" max="5" width="3.77734375" style="4" customWidth="1"/>
    <col min="6" max="6" width="65.77734375" style="4" customWidth="1"/>
    <col min="7" max="7" width="1.77734375" style="4" customWidth="1"/>
    <col min="8" max="8" width="3.77734375" hidden="1" customWidth="1"/>
    <col min="9" max="9" width="14" hidden="1" customWidth="1"/>
    <col min="10" max="16384" width="8.77734375" hidden="1"/>
  </cols>
  <sheetData>
    <row r="1" spans="1:9"/>
    <row r="2" spans="1:9">
      <c r="A2" s="1307" t="s">
        <v>1068</v>
      </c>
      <c r="B2" s="1307"/>
      <c r="C2" s="1271"/>
      <c r="D2" s="1271"/>
      <c r="E2" s="1271"/>
      <c r="F2" s="1271"/>
      <c r="G2" s="1271"/>
    </row>
    <row r="3" spans="1:9" s="173" customFormat="1">
      <c r="A3" s="1307" t="s">
        <v>1009</v>
      </c>
      <c r="B3" s="1307"/>
      <c r="C3" s="1271"/>
      <c r="D3" s="1271"/>
      <c r="E3" s="1271"/>
      <c r="F3" s="1271"/>
      <c r="G3" s="1271"/>
      <c r="I3" t="s">
        <v>308</v>
      </c>
    </row>
    <row r="4" spans="1:9">
      <c r="I4" s="3" t="s">
        <v>1069</v>
      </c>
    </row>
    <row r="5" spans="1:9">
      <c r="A5" s="1309" t="s">
        <v>1010</v>
      </c>
      <c r="B5" s="1309"/>
      <c r="C5" s="1271"/>
      <c r="D5" s="1271"/>
      <c r="E5" s="1271"/>
      <c r="F5" s="1271"/>
      <c r="G5" s="1271"/>
      <c r="I5" s="3" t="s">
        <v>1070</v>
      </c>
    </row>
    <row r="6" spans="1:9">
      <c r="A6" s="1309" t="s">
        <v>828</v>
      </c>
      <c r="B6" s="1309"/>
      <c r="C6" s="1271"/>
      <c r="D6" s="1271"/>
      <c r="E6" s="1271"/>
      <c r="F6" s="1271"/>
      <c r="G6" s="1271"/>
      <c r="I6" t="s">
        <v>599</v>
      </c>
    </row>
    <row r="7" spans="1:9" ht="11.7" customHeight="1"/>
    <row r="8" spans="1:9">
      <c r="A8" s="1307" t="s">
        <v>1165</v>
      </c>
      <c r="B8" s="1307"/>
      <c r="C8" s="1308"/>
      <c r="D8" s="1308"/>
      <c r="E8" s="1308"/>
      <c r="F8" s="1308"/>
      <c r="G8" s="1308"/>
    </row>
    <row r="9" spans="1:9">
      <c r="A9" s="1307" t="s">
        <v>1166</v>
      </c>
      <c r="B9" s="1307"/>
      <c r="C9" s="1308"/>
      <c r="D9" s="1308"/>
      <c r="E9" s="1308"/>
      <c r="F9" s="1308"/>
      <c r="G9" s="1308"/>
    </row>
    <row r="10" spans="1:9">
      <c r="A10" s="174"/>
      <c r="B10" s="174"/>
      <c r="C10" s="172"/>
      <c r="D10" s="172"/>
      <c r="E10" s="172"/>
      <c r="F10" s="172"/>
    </row>
    <row r="11" spans="1:9">
      <c r="A11" s="1290" t="s">
        <v>1168</v>
      </c>
      <c r="B11" s="1290"/>
      <c r="C11" s="1290"/>
      <c r="D11" s="1290"/>
      <c r="E11" s="1290"/>
      <c r="F11" s="1290"/>
      <c r="G11" s="1290"/>
    </row>
    <row r="12" spans="1:9">
      <c r="A12" s="172"/>
      <c r="B12" s="172"/>
      <c r="E12" s="2"/>
    </row>
    <row r="13" spans="1:9" ht="13.2" customHeight="1">
      <c r="C13" s="172"/>
      <c r="D13" s="1292" t="s">
        <v>1167</v>
      </c>
      <c r="E13" s="1292"/>
      <c r="F13" s="1292"/>
    </row>
    <row r="14" spans="1:9">
      <c r="C14" s="172"/>
      <c r="D14" s="1292"/>
      <c r="E14" s="1292"/>
      <c r="F14" s="1292"/>
    </row>
    <row r="15" spans="1:9">
      <c r="A15" s="175"/>
      <c r="B15" s="175"/>
      <c r="C15" s="175"/>
      <c r="D15" s="1289" t="s">
        <v>1150</v>
      </c>
      <c r="E15" s="1289"/>
      <c r="F15" s="1289"/>
    </row>
    <row r="16" spans="1:9">
      <c r="A16" s="175"/>
      <c r="B16" s="175"/>
      <c r="C16" s="175"/>
      <c r="D16" s="218"/>
    </row>
    <row r="17" spans="1:6" ht="14.4">
      <c r="A17" s="176"/>
      <c r="B17" s="468" t="s">
        <v>308</v>
      </c>
      <c r="C17" s="175"/>
      <c r="D17" s="1269" t="s">
        <v>1151</v>
      </c>
      <c r="E17" s="1269"/>
      <c r="F17" s="1269"/>
    </row>
    <row r="18" spans="1:6">
      <c r="A18" s="175"/>
      <c r="B18" s="175"/>
      <c r="C18" s="175"/>
      <c r="D18" s="1269"/>
      <c r="E18" s="1269"/>
      <c r="F18" s="1269"/>
    </row>
    <row r="19" spans="1:6">
      <c r="A19" s="175"/>
      <c r="B19" s="175"/>
      <c r="C19" s="175"/>
      <c r="D19" s="1269"/>
      <c r="E19" s="1269"/>
      <c r="F19" s="1269"/>
    </row>
    <row r="20" spans="1:6">
      <c r="A20" s="175"/>
      <c r="B20" s="175"/>
      <c r="C20" s="175"/>
    </row>
    <row r="21" spans="1:6" ht="14.4">
      <c r="A21" s="176"/>
      <c r="B21" s="468" t="s">
        <v>308</v>
      </c>
      <c r="D21" s="1293" t="s">
        <v>1152</v>
      </c>
      <c r="E21" s="1293"/>
      <c r="F21" s="1293"/>
    </row>
    <row r="22" spans="1:6" ht="14.4">
      <c r="A22" s="176"/>
      <c r="B22" s="176"/>
      <c r="D22" s="35"/>
    </row>
    <row r="23" spans="1:6" ht="14.4">
      <c r="A23" s="176"/>
      <c r="B23" s="468" t="s">
        <v>308</v>
      </c>
      <c r="D23" s="1269" t="s">
        <v>1153</v>
      </c>
      <c r="E23" s="1269"/>
      <c r="F23" s="1269"/>
    </row>
    <row r="24" spans="1:6" ht="14.4">
      <c r="A24" s="176"/>
      <c r="B24" s="176"/>
      <c r="D24" s="1269"/>
      <c r="E24" s="1269"/>
      <c r="F24" s="1269"/>
    </row>
    <row r="25" spans="1:6"/>
    <row r="26" spans="1:6" ht="14.4">
      <c r="A26" s="176"/>
      <c r="B26" s="468" t="s">
        <v>308</v>
      </c>
      <c r="D26" s="1269" t="s">
        <v>1154</v>
      </c>
      <c r="E26" s="1269"/>
      <c r="F26" s="1269"/>
    </row>
    <row r="27" spans="1:6">
      <c r="D27" s="1269"/>
      <c r="E27" s="1269"/>
      <c r="F27" s="1269"/>
    </row>
    <row r="28" spans="1:6">
      <c r="D28" s="1269"/>
      <c r="E28" s="1269"/>
      <c r="F28" s="1269"/>
    </row>
    <row r="29" spans="1:6">
      <c r="D29" s="1269"/>
      <c r="E29" s="1269"/>
      <c r="F29" s="1269"/>
    </row>
    <row r="30" spans="1:6">
      <c r="D30" s="1269"/>
      <c r="E30" s="1269"/>
      <c r="F30" s="1269"/>
    </row>
    <row r="31" spans="1:6">
      <c r="D31" s="220"/>
    </row>
    <row r="32" spans="1:6">
      <c r="B32" s="468" t="s">
        <v>308</v>
      </c>
      <c r="D32" s="1269" t="s">
        <v>1155</v>
      </c>
      <c r="E32" s="1269"/>
      <c r="F32" s="1269"/>
    </row>
    <row r="33" spans="1:6">
      <c r="D33" s="1269"/>
      <c r="E33" s="1269"/>
      <c r="F33" s="1269"/>
    </row>
    <row r="34" spans="1:6" ht="14.4">
      <c r="A34" s="176"/>
      <c r="B34" s="176"/>
      <c r="D34" s="220"/>
    </row>
    <row r="35" spans="1:6" ht="14.55" customHeight="1">
      <c r="A35" s="176"/>
      <c r="B35" s="468" t="s">
        <v>308</v>
      </c>
      <c r="D35" s="1269" t="s">
        <v>1156</v>
      </c>
      <c r="E35" s="1269"/>
      <c r="F35" s="1269"/>
    </row>
    <row r="36" spans="1:6" ht="14.4">
      <c r="A36" s="176"/>
      <c r="B36" s="176"/>
      <c r="D36" s="1269"/>
      <c r="E36" s="1269"/>
      <c r="F36" s="1269"/>
    </row>
    <row r="37" spans="1:6" ht="14.4">
      <c r="A37" s="176"/>
      <c r="B37" s="176"/>
      <c r="D37" s="1269"/>
      <c r="E37" s="1269"/>
      <c r="F37" s="1269"/>
    </row>
    <row r="38" spans="1:6" ht="14.4">
      <c r="A38" s="176"/>
      <c r="B38" s="176"/>
      <c r="D38"/>
    </row>
    <row r="39" spans="1:6" ht="14.4">
      <c r="A39" s="176"/>
      <c r="B39" s="468" t="s">
        <v>308</v>
      </c>
      <c r="D39" s="1269" t="s">
        <v>1157</v>
      </c>
      <c r="E39" s="1269"/>
      <c r="F39" s="1269"/>
    </row>
    <row r="40" spans="1:6" ht="14.4">
      <c r="A40" s="176"/>
      <c r="B40" s="176"/>
      <c r="D40" s="1269"/>
      <c r="E40" s="1269"/>
      <c r="F40" s="1269"/>
    </row>
    <row r="41" spans="1:6" ht="14.4">
      <c r="A41" s="176"/>
      <c r="B41" s="176"/>
      <c r="D41" s="1269"/>
      <c r="E41" s="1269"/>
      <c r="F41" s="1269"/>
    </row>
    <row r="42" spans="1:6" ht="14.4">
      <c r="A42" s="176"/>
      <c r="B42" s="176"/>
      <c r="D42" s="1269"/>
      <c r="E42" s="1269"/>
      <c r="F42" s="1269"/>
    </row>
    <row r="43" spans="1:6" ht="14.4">
      <c r="A43" s="176"/>
      <c r="B43" s="176"/>
      <c r="D43" s="1269"/>
      <c r="E43" s="1269"/>
      <c r="F43" s="1269"/>
    </row>
    <row r="44" spans="1:6" ht="14.4">
      <c r="A44" s="176"/>
      <c r="B44" s="176"/>
      <c r="D44" s="474"/>
      <c r="E44" s="474"/>
      <c r="F44" s="474"/>
    </row>
    <row r="45" spans="1:6" ht="14.4">
      <c r="A45" s="176"/>
      <c r="B45" s="468" t="s">
        <v>308</v>
      </c>
      <c r="D45" s="1269" t="s">
        <v>1158</v>
      </c>
      <c r="E45" s="1269"/>
      <c r="F45" s="1269"/>
    </row>
    <row r="46" spans="1:6" ht="14.4">
      <c r="A46" s="176"/>
      <c r="B46" s="176"/>
      <c r="D46" s="1269"/>
      <c r="E46" s="1269"/>
      <c r="F46" s="1269"/>
    </row>
    <row r="47" spans="1:6" ht="14.4">
      <c r="A47" s="176"/>
      <c r="B47" s="176"/>
      <c r="D47" s="1269"/>
      <c r="E47" s="1269"/>
      <c r="F47" s="1269"/>
    </row>
    <row r="48" spans="1:6" ht="23.25" customHeight="1">
      <c r="A48" s="176"/>
      <c r="B48" s="176"/>
      <c r="D48" s="1269"/>
      <c r="E48" s="1269"/>
      <c r="F48" s="1269"/>
    </row>
    <row r="49" spans="1:7" ht="14.4">
      <c r="A49" s="176"/>
      <c r="B49" s="176"/>
      <c r="D49" s="35"/>
    </row>
    <row r="50" spans="1:7" ht="14.55" customHeight="1">
      <c r="A50" s="176"/>
      <c r="B50" s="468" t="s">
        <v>308</v>
      </c>
      <c r="D50" s="1269" t="s">
        <v>1159</v>
      </c>
      <c r="E50" s="1269"/>
      <c r="F50" s="1269"/>
    </row>
    <row r="51" spans="1:7" ht="14.4">
      <c r="A51" s="176"/>
      <c r="B51" s="176"/>
      <c r="D51" s="1269"/>
      <c r="E51" s="1269"/>
      <c r="F51" s="1269"/>
    </row>
    <row r="52" spans="1:7" ht="14.4">
      <c r="A52" s="176"/>
      <c r="B52" s="176"/>
      <c r="D52" s="1269"/>
      <c r="E52" s="1269"/>
      <c r="F52" s="1269"/>
    </row>
    <row r="53" spans="1:7" ht="14.4">
      <c r="A53" s="176"/>
      <c r="B53" s="176"/>
      <c r="C53" s="385"/>
      <c r="D53" s="3"/>
      <c r="E53" s="3"/>
      <c r="F53" s="3"/>
      <c r="G53" s="3"/>
    </row>
    <row r="54" spans="1:7" ht="14.4">
      <c r="A54" s="176"/>
      <c r="B54" s="468" t="s">
        <v>308</v>
      </c>
      <c r="C54" s="385"/>
      <c r="D54" s="1269" t="s">
        <v>1160</v>
      </c>
      <c r="E54" s="1269"/>
      <c r="F54" s="1269"/>
      <c r="G54" s="3"/>
    </row>
    <row r="55" spans="1:7" ht="14.4">
      <c r="A55" s="176"/>
      <c r="B55" s="176"/>
      <c r="C55" s="385"/>
      <c r="D55" s="1269"/>
      <c r="E55" s="1269"/>
      <c r="F55" s="1269"/>
      <c r="G55" s="3"/>
    </row>
    <row r="56" spans="1:7">
      <c r="D56" s="220"/>
    </row>
    <row r="57" spans="1:7" ht="14.4">
      <c r="A57" s="176"/>
      <c r="B57" s="468" t="s">
        <v>308</v>
      </c>
      <c r="D57" s="1269" t="s">
        <v>1161</v>
      </c>
      <c r="E57" s="1269"/>
      <c r="F57" s="1269"/>
    </row>
    <row r="58" spans="1:7">
      <c r="D58" s="1269"/>
      <c r="E58" s="1269"/>
      <c r="F58" s="1269"/>
    </row>
    <row r="59" spans="1:7">
      <c r="D59" s="1269"/>
      <c r="E59" s="1269"/>
      <c r="F59" s="1269"/>
    </row>
    <row r="60" spans="1:7">
      <c r="D60" s="3"/>
    </row>
    <row r="61" spans="1:7" ht="14.4">
      <c r="A61" s="176"/>
      <c r="B61" s="468" t="s">
        <v>308</v>
      </c>
      <c r="D61" s="1269" t="s">
        <v>1162</v>
      </c>
      <c r="E61" s="1269"/>
      <c r="F61" s="1269"/>
    </row>
    <row r="62" spans="1:7">
      <c r="D62" s="1269"/>
      <c r="E62" s="1269"/>
      <c r="F62" s="1269"/>
    </row>
    <row r="63" spans="1:7"/>
    <row r="64" spans="1:7" ht="14.4">
      <c r="A64" s="176"/>
      <c r="B64" s="468" t="s">
        <v>308</v>
      </c>
      <c r="D64" s="1269" t="s">
        <v>1163</v>
      </c>
      <c r="E64" s="1269"/>
      <c r="F64" s="1269"/>
    </row>
    <row r="65" spans="1:7">
      <c r="D65" s="1269"/>
      <c r="E65" s="1269"/>
      <c r="F65" s="1269"/>
    </row>
    <row r="66" spans="1:7">
      <c r="D66" s="1269"/>
      <c r="E66" s="1269"/>
      <c r="F66" s="1269"/>
    </row>
    <row r="67" spans="1:7">
      <c r="D67"/>
    </row>
    <row r="68" spans="1:7" ht="14.4">
      <c r="A68" s="176"/>
      <c r="B68" s="468" t="s">
        <v>308</v>
      </c>
      <c r="D68" s="1269" t="s">
        <v>1164</v>
      </c>
      <c r="E68" s="1269"/>
      <c r="F68" s="1269"/>
    </row>
    <row r="69" spans="1:7">
      <c r="D69" s="1269"/>
      <c r="E69" s="1269"/>
      <c r="F69" s="1269"/>
    </row>
    <row r="70" spans="1:7" ht="14.4">
      <c r="A70" s="176"/>
      <c r="B70" s="176"/>
      <c r="D70" s="35"/>
    </row>
    <row r="71" spans="1:7">
      <c r="A71" s="1290" t="s">
        <v>1071</v>
      </c>
      <c r="B71" s="1290"/>
      <c r="C71" s="1290"/>
      <c r="D71" s="1290"/>
      <c r="E71" s="1290"/>
      <c r="F71" s="1290"/>
      <c r="G71" s="1290"/>
    </row>
    <row r="72" spans="1:7"/>
    <row r="73" spans="1:7">
      <c r="C73" s="177"/>
      <c r="D73" s="1301" t="s">
        <v>1169</v>
      </c>
      <c r="E73" s="1301"/>
      <c r="F73" s="1301"/>
    </row>
    <row r="74" spans="1:7">
      <c r="A74" s="35"/>
      <c r="B74" s="35"/>
      <c r="D74" s="1269" t="s">
        <v>1196</v>
      </c>
      <c r="E74" s="1269"/>
      <c r="F74" s="1269"/>
    </row>
    <row r="75" spans="1:7">
      <c r="A75" s="35"/>
      <c r="B75" s="35"/>
    </row>
    <row r="76" spans="1:7" ht="14.4">
      <c r="A76" s="176"/>
      <c r="B76" s="468" t="s">
        <v>308</v>
      </c>
      <c r="D76" s="1269" t="s">
        <v>1170</v>
      </c>
      <c r="E76" s="1269"/>
      <c r="F76" s="1269"/>
    </row>
    <row r="77" spans="1:7" ht="14.4">
      <c r="A77" s="176"/>
      <c r="B77" s="176"/>
      <c r="D77" s="1269"/>
      <c r="E77" s="1269"/>
      <c r="F77" s="1269"/>
    </row>
    <row r="78" spans="1:7" ht="14.4">
      <c r="A78" s="176"/>
      <c r="B78" s="176"/>
      <c r="D78" s="1269"/>
      <c r="E78" s="1269"/>
      <c r="F78" s="1269"/>
    </row>
    <row r="79" spans="1:7" ht="14.4">
      <c r="A79" s="176"/>
      <c r="B79" s="176"/>
      <c r="D79" s="1269"/>
      <c r="E79" s="1269"/>
      <c r="F79" s="1269"/>
    </row>
    <row r="80" spans="1:7" ht="14.4">
      <c r="A80" s="176"/>
      <c r="B80" s="176"/>
      <c r="D80" s="1269"/>
      <c r="E80" s="1269"/>
      <c r="F80" s="1269"/>
    </row>
    <row r="81" spans="1:6" ht="14.4">
      <c r="A81" s="176"/>
      <c r="B81" s="176"/>
      <c r="D81" s="1269"/>
      <c r="E81" s="1269"/>
      <c r="F81" s="1269"/>
    </row>
    <row r="82" spans="1:6" ht="14.4">
      <c r="A82" s="176"/>
      <c r="B82" s="176"/>
      <c r="D82" s="474"/>
      <c r="E82" s="474"/>
      <c r="F82" s="474"/>
    </row>
    <row r="83" spans="1:6" ht="14.55" customHeight="1">
      <c r="A83" s="176"/>
      <c r="B83" s="468" t="s">
        <v>308</v>
      </c>
      <c r="D83" s="1272" t="s">
        <v>1269</v>
      </c>
      <c r="E83" s="1272"/>
      <c r="F83" s="1272"/>
    </row>
    <row r="84" spans="1:6" ht="14.4">
      <c r="A84" s="176"/>
      <c r="B84" s="176"/>
      <c r="D84" s="1272"/>
      <c r="E84" s="1272"/>
      <c r="F84" s="1272"/>
    </row>
    <row r="85" spans="1:6" ht="14.4">
      <c r="A85" s="176"/>
      <c r="B85" s="176"/>
      <c r="D85" s="1272"/>
      <c r="E85" s="1272"/>
      <c r="F85" s="1272"/>
    </row>
    <row r="86" spans="1:6" ht="14.4">
      <c r="A86" s="176"/>
      <c r="B86" s="176"/>
      <c r="D86" s="1272"/>
      <c r="E86" s="1272"/>
      <c r="F86" s="1272"/>
    </row>
    <row r="87" spans="1:6" ht="14.4">
      <c r="A87" s="176"/>
      <c r="B87" s="176"/>
      <c r="D87" s="1272"/>
      <c r="E87" s="1272"/>
      <c r="F87" s="1272"/>
    </row>
    <row r="88" spans="1:6" ht="14.4">
      <c r="A88" s="176"/>
      <c r="B88" s="176"/>
      <c r="D88" s="1272"/>
      <c r="E88" s="1272"/>
      <c r="F88" s="1272"/>
    </row>
    <row r="89" spans="1:6" ht="14.4">
      <c r="A89" s="176"/>
      <c r="B89" s="176"/>
      <c r="D89" s="1272"/>
      <c r="E89" s="1272"/>
      <c r="F89" s="1272"/>
    </row>
    <row r="90" spans="1:6" ht="14.4">
      <c r="A90" s="176"/>
      <c r="B90" s="176"/>
      <c r="D90" s="1272"/>
      <c r="E90" s="1272"/>
      <c r="F90" s="1272"/>
    </row>
    <row r="91" spans="1:6" ht="14.4">
      <c r="A91" s="176"/>
      <c r="B91" s="176"/>
      <c r="D91" s="1272"/>
      <c r="E91" s="1272"/>
      <c r="F91" s="1272"/>
    </row>
    <row r="92" spans="1:6" ht="14.4">
      <c r="A92" s="176"/>
      <c r="B92" s="176"/>
      <c r="D92" s="1272"/>
      <c r="E92" s="1272"/>
      <c r="F92" s="1272"/>
    </row>
    <row r="93" spans="1:6" ht="14.4">
      <c r="A93" s="176"/>
      <c r="B93" s="176"/>
      <c r="D93" s="1272"/>
      <c r="E93" s="1272"/>
      <c r="F93" s="1272"/>
    </row>
    <row r="94" spans="1:6" ht="14.4">
      <c r="A94" s="176"/>
      <c r="B94" s="176"/>
      <c r="D94" s="1272"/>
      <c r="E94" s="1272"/>
      <c r="F94" s="1272"/>
    </row>
    <row r="95" spans="1:6" ht="14.4">
      <c r="A95" s="176"/>
      <c r="B95" s="176"/>
      <c r="D95" s="1272"/>
      <c r="E95" s="1272"/>
      <c r="F95" s="1272"/>
    </row>
    <row r="96" spans="1:6" ht="14.4">
      <c r="A96" s="176"/>
      <c r="B96" s="176"/>
      <c r="D96" s="1272"/>
      <c r="E96" s="1272"/>
      <c r="F96" s="1272"/>
    </row>
    <row r="97" spans="1:11" ht="14.4">
      <c r="A97" s="176"/>
      <c r="B97" s="468" t="s">
        <v>308</v>
      </c>
      <c r="D97" s="1269" t="s">
        <v>1171</v>
      </c>
      <c r="E97" s="1269"/>
      <c r="F97" s="1269"/>
    </row>
    <row r="98" spans="1:11" ht="14.4">
      <c r="A98" s="176"/>
      <c r="B98" s="176"/>
      <c r="D98" s="1269"/>
      <c r="E98" s="1269"/>
      <c r="F98" s="1269"/>
    </row>
    <row r="99" spans="1:11" ht="14.4">
      <c r="A99" s="176"/>
      <c r="B99" s="176"/>
      <c r="D99" s="1269"/>
      <c r="E99" s="1269"/>
      <c r="F99" s="1269"/>
    </row>
    <row r="100" spans="1:11" ht="14.4">
      <c r="A100" s="176"/>
      <c r="B100" s="176"/>
      <c r="D100" s="1269"/>
      <c r="E100" s="1269"/>
      <c r="F100" s="1269"/>
    </row>
    <row r="101" spans="1:11" ht="14.4">
      <c r="A101" s="176"/>
      <c r="B101" s="176"/>
      <c r="D101" s="1269"/>
      <c r="E101" s="1269"/>
      <c r="F101" s="1269"/>
    </row>
    <row r="102" spans="1:11" ht="14.4">
      <c r="A102" s="176"/>
      <c r="B102" s="176"/>
      <c r="D102" s="1269"/>
      <c r="E102" s="1269"/>
      <c r="F102" s="1269"/>
    </row>
    <row r="103" spans="1:11" ht="14.4">
      <c r="A103" s="176"/>
      <c r="B103" s="176"/>
      <c r="D103" s="1269"/>
      <c r="E103" s="1269"/>
      <c r="F103" s="1269"/>
    </row>
    <row r="104" spans="1:11" ht="14.4">
      <c r="A104" s="176"/>
      <c r="B104" s="176"/>
      <c r="D104" s="1269"/>
      <c r="E104" s="1269"/>
      <c r="F104" s="1269"/>
    </row>
    <row r="105" spans="1:11" ht="14.4">
      <c r="A105" s="176"/>
      <c r="B105" s="176"/>
      <c r="D105" s="474"/>
      <c r="E105" s="474"/>
      <c r="F105" s="474"/>
    </row>
    <row r="106" spans="1:11" ht="14.4">
      <c r="A106" s="176"/>
      <c r="B106" s="468" t="s">
        <v>308</v>
      </c>
      <c r="C106" s="179"/>
      <c r="D106" s="1310" t="s">
        <v>1172</v>
      </c>
      <c r="E106" s="1310"/>
      <c r="F106" s="1310"/>
      <c r="G106" s="183"/>
      <c r="H106" s="181"/>
      <c r="I106" s="181"/>
      <c r="J106" s="181"/>
      <c r="K106" s="181"/>
    </row>
    <row r="107" spans="1:11" ht="14.4">
      <c r="A107" s="176"/>
      <c r="B107" s="176"/>
      <c r="C107" s="179"/>
      <c r="D107" s="1310"/>
      <c r="E107" s="1310"/>
      <c r="F107" s="1310"/>
      <c r="G107" s="183"/>
      <c r="H107" s="181"/>
      <c r="I107" s="181"/>
      <c r="J107" s="181"/>
      <c r="K107" s="181"/>
    </row>
    <row r="108" spans="1:11" ht="14.4">
      <c r="A108" s="176"/>
      <c r="B108" s="176"/>
      <c r="C108" s="179"/>
      <c r="D108" s="1310"/>
      <c r="E108" s="1310"/>
      <c r="F108" s="1310"/>
      <c r="G108" s="183"/>
      <c r="H108" s="181"/>
      <c r="I108" s="181"/>
      <c r="J108" s="181"/>
      <c r="K108" s="181"/>
    </row>
    <row r="109" spans="1:11" ht="14.4">
      <c r="A109" s="176"/>
      <c r="B109" s="176"/>
      <c r="C109" s="179"/>
      <c r="D109" s="1310"/>
      <c r="E109" s="1310"/>
      <c r="F109" s="1310"/>
      <c r="G109" s="183"/>
      <c r="H109" s="181"/>
      <c r="I109" s="181"/>
      <c r="J109" s="181"/>
      <c r="K109" s="181"/>
    </row>
    <row r="110" spans="1:11" ht="14.4">
      <c r="A110" s="176"/>
      <c r="B110" s="176"/>
      <c r="C110" s="179"/>
      <c r="D110" s="1310"/>
      <c r="E110" s="1310"/>
      <c r="F110" s="1310"/>
      <c r="G110" s="183"/>
      <c r="H110" s="181"/>
      <c r="I110" s="181"/>
      <c r="J110" s="181"/>
      <c r="K110" s="181"/>
    </row>
    <row r="111" spans="1:11">
      <c r="C111"/>
      <c r="D111" s="1310"/>
      <c r="E111" s="1310"/>
      <c r="F111" s="1310"/>
      <c r="G111"/>
    </row>
    <row r="112" spans="1:11">
      <c r="C112"/>
      <c r="D112" s="1310"/>
      <c r="E112" s="1310"/>
      <c r="F112" s="1310"/>
      <c r="G112"/>
    </row>
    <row r="113" spans="1:7">
      <c r="C113"/>
      <c r="D113" s="330"/>
      <c r="E113"/>
      <c r="F113"/>
      <c r="G113"/>
    </row>
    <row r="114" spans="1:7" ht="14.4">
      <c r="A114" s="176"/>
      <c r="B114" s="468" t="s">
        <v>308</v>
      </c>
      <c r="C114"/>
      <c r="D114" s="1311" t="s">
        <v>1173</v>
      </c>
      <c r="E114" s="1311"/>
      <c r="F114" s="1311"/>
      <c r="G114"/>
    </row>
    <row r="115" spans="1:7" ht="14.4">
      <c r="A115" s="176"/>
      <c r="B115" s="176"/>
      <c r="C115"/>
      <c r="D115" s="1311"/>
      <c r="E115" s="1311"/>
      <c r="F115" s="1311"/>
      <c r="G115"/>
    </row>
    <row r="116" spans="1:7"/>
    <row r="117" spans="1:7" ht="14.4">
      <c r="A117" s="176"/>
      <c r="B117" s="468" t="s">
        <v>308</v>
      </c>
      <c r="D117" s="1269" t="s">
        <v>1174</v>
      </c>
      <c r="E117" s="1269"/>
      <c r="F117" s="1269"/>
    </row>
    <row r="118" spans="1:7">
      <c r="D118" s="1269"/>
      <c r="E118" s="1269"/>
      <c r="F118" s="1269"/>
    </row>
    <row r="119" spans="1:7">
      <c r="D119" s="1269"/>
      <c r="E119" s="1269"/>
      <c r="F119" s="1269"/>
    </row>
    <row r="120" spans="1:7">
      <c r="D120" s="1269"/>
      <c r="E120" s="1269"/>
      <c r="F120" s="1269"/>
    </row>
    <row r="121" spans="1:7">
      <c r="D121" s="1269"/>
      <c r="E121" s="1269"/>
      <c r="F121" s="1269"/>
    </row>
    <row r="122" spans="1:7"/>
    <row r="123" spans="1:7" ht="14.4">
      <c r="A123" s="176"/>
      <c r="B123" s="468" t="s">
        <v>308</v>
      </c>
      <c r="D123" s="1269" t="s">
        <v>1175</v>
      </c>
      <c r="E123" s="1269"/>
      <c r="F123" s="1269"/>
    </row>
    <row r="124" spans="1:7" s="197" customFormat="1" ht="13.8" customHeight="1">
      <c r="A124" s="195"/>
      <c r="B124" s="195"/>
      <c r="C124" s="195"/>
      <c r="D124" s="1269"/>
      <c r="E124" s="1269"/>
      <c r="F124" s="1269"/>
      <c r="G124" s="196"/>
    </row>
    <row r="125" spans="1:7" ht="13.8" customHeight="1">
      <c r="D125" s="1269"/>
      <c r="E125" s="1269"/>
      <c r="F125" s="1269"/>
    </row>
    <row r="126" spans="1:7" ht="13.8" customHeight="1">
      <c r="D126" s="1269"/>
      <c r="E126" s="1269"/>
      <c r="F126" s="1269"/>
    </row>
    <row r="127" spans="1:7" ht="13.8" customHeight="1">
      <c r="D127" s="1269"/>
      <c r="E127" s="1269"/>
      <c r="F127" s="1269"/>
    </row>
    <row r="128" spans="1:7" ht="13.8" customHeight="1">
      <c r="A128" s="256"/>
      <c r="B128" s="256"/>
      <c r="D128" s="1269"/>
      <c r="E128" s="1269"/>
      <c r="F128" s="1269"/>
    </row>
    <row r="129" spans="2:6" ht="13.8" customHeight="1">
      <c r="D129" s="1269"/>
      <c r="E129" s="1269"/>
      <c r="F129" s="1269"/>
    </row>
    <row r="130" spans="2:6" ht="13.8" customHeight="1">
      <c r="D130" s="1269"/>
      <c r="E130" s="1269"/>
      <c r="F130" s="1269"/>
    </row>
    <row r="131" spans="2:6" ht="13.8" customHeight="1">
      <c r="D131" s="1269"/>
      <c r="E131" s="1269"/>
      <c r="F131" s="1269"/>
    </row>
    <row r="132" spans="2:6" ht="13.8" customHeight="1">
      <c r="D132" s="1269"/>
      <c r="E132" s="1269"/>
      <c r="F132" s="1269"/>
    </row>
    <row r="133" spans="2:6" ht="13.8" customHeight="1">
      <c r="D133" s="1269"/>
      <c r="E133" s="1269"/>
      <c r="F133" s="1269"/>
    </row>
    <row r="134" spans="2:6" ht="13.8" customHeight="1">
      <c r="D134" s="1269"/>
      <c r="E134" s="1269"/>
      <c r="F134" s="1269"/>
    </row>
    <row r="135" spans="2:6" ht="13.8" customHeight="1">
      <c r="D135" s="218"/>
      <c r="E135" s="35"/>
      <c r="F135" s="35"/>
    </row>
    <row r="136" spans="2:6" ht="13.8" customHeight="1">
      <c r="B136" s="468" t="s">
        <v>308</v>
      </c>
      <c r="D136" s="1269" t="s">
        <v>1283</v>
      </c>
      <c r="E136" s="1269"/>
      <c r="F136" s="1269"/>
    </row>
    <row r="137" spans="2:6" ht="13.8" customHeight="1">
      <c r="D137" s="1269"/>
      <c r="E137" s="1269"/>
      <c r="F137" s="1269"/>
    </row>
    <row r="138" spans="2:6" ht="13.8" customHeight="1">
      <c r="D138" s="1269"/>
      <c r="E138" s="1269"/>
      <c r="F138" s="1269"/>
    </row>
    <row r="139" spans="2:6" ht="13.8" customHeight="1">
      <c r="D139" s="1269"/>
      <c r="E139" s="1269"/>
      <c r="F139" s="1269"/>
    </row>
    <row r="140" spans="2:6" ht="13.8" customHeight="1">
      <c r="D140" s="1269"/>
      <c r="E140" s="1269"/>
      <c r="F140" s="1269"/>
    </row>
    <row r="141" spans="2:6" ht="13.8" customHeight="1">
      <c r="D141" s="1269"/>
      <c r="E141" s="1269"/>
      <c r="F141" s="1269"/>
    </row>
    <row r="142" spans="2:6" ht="13.8" customHeight="1">
      <c r="D142" s="1269"/>
      <c r="E142" s="1269"/>
      <c r="F142" s="1269"/>
    </row>
    <row r="143" spans="2:6" ht="13.8" customHeight="1">
      <c r="D143" s="1269"/>
      <c r="E143" s="1269"/>
      <c r="F143" s="1269"/>
    </row>
    <row r="144" spans="2:6" ht="13.8" customHeight="1">
      <c r="D144" s="1269"/>
      <c r="E144" s="1269"/>
      <c r="F144" s="1269"/>
    </row>
    <row r="145" spans="1:7" ht="13.8" customHeight="1">
      <c r="D145" s="1269"/>
      <c r="E145" s="1269"/>
      <c r="F145" s="1269"/>
    </row>
    <row r="146" spans="1:7" ht="13.8" customHeight="1">
      <c r="D146" s="1269"/>
      <c r="E146" s="1269"/>
      <c r="F146" s="1269"/>
    </row>
    <row r="147" spans="1:7" ht="13.8" customHeight="1">
      <c r="D147" s="1269"/>
      <c r="E147" s="1269"/>
      <c r="F147" s="1269"/>
    </row>
    <row r="148" spans="1:7" ht="13.8" customHeight="1">
      <c r="D148" s="1269"/>
      <c r="E148" s="1269"/>
      <c r="F148" s="1269"/>
    </row>
    <row r="149" spans="1:7" ht="13.8" customHeight="1">
      <c r="D149" s="1269"/>
      <c r="E149" s="1269"/>
      <c r="F149" s="1269"/>
    </row>
    <row r="150" spans="1:7" ht="13.8" customHeight="1">
      <c r="D150" s="1269"/>
      <c r="E150" s="1269"/>
      <c r="F150" s="1269"/>
    </row>
    <row r="151" spans="1:7" ht="13.8" customHeight="1">
      <c r="D151" s="1269"/>
      <c r="E151" s="1269"/>
      <c r="F151" s="1269"/>
    </row>
    <row r="152" spans="1:7" ht="13.8" customHeight="1">
      <c r="D152" s="1269"/>
      <c r="E152" s="1269"/>
      <c r="F152" s="1269"/>
    </row>
    <row r="153" spans="1:7" ht="13.8" customHeight="1">
      <c r="D153" s="1269"/>
      <c r="E153" s="1269"/>
      <c r="F153" s="1269"/>
    </row>
    <row r="154" spans="1:7" ht="13.8" customHeight="1">
      <c r="D154" s="1269"/>
      <c r="E154" s="1269"/>
      <c r="F154" s="1269"/>
    </row>
    <row r="155" spans="1:7" ht="13.8" customHeight="1">
      <c r="D155" s="218"/>
      <c r="E155" s="35"/>
      <c r="F155" s="35"/>
    </row>
    <row r="156" spans="1:7" ht="13.8" customHeight="1">
      <c r="A156" s="256"/>
      <c r="B156" s="468" t="s">
        <v>308</v>
      </c>
      <c r="C156" s="218"/>
      <c r="D156" s="1272" t="s">
        <v>1176</v>
      </c>
      <c r="E156" s="1272"/>
      <c r="F156" s="1272"/>
      <c r="G156" s="218"/>
    </row>
    <row r="157" spans="1:7" ht="13.8" customHeight="1">
      <c r="A157" s="256"/>
      <c r="B157" s="256"/>
      <c r="C157" s="218"/>
      <c r="D157" s="1272"/>
      <c r="E157" s="1272"/>
      <c r="F157" s="1272"/>
      <c r="G157" s="218"/>
    </row>
    <row r="158" spans="1:7" ht="13.8" customHeight="1">
      <c r="A158" s="256"/>
      <c r="B158" s="256"/>
      <c r="C158" s="218"/>
      <c r="D158" s="218"/>
      <c r="E158" s="218"/>
      <c r="F158" s="218"/>
      <c r="G158" s="218"/>
    </row>
    <row r="159" spans="1:7" ht="13.8" customHeight="1">
      <c r="A159" s="256"/>
      <c r="B159" s="468" t="s">
        <v>308</v>
      </c>
      <c r="C159" s="218"/>
      <c r="D159" s="1272" t="s">
        <v>1177</v>
      </c>
      <c r="E159" s="1272"/>
      <c r="F159" s="1272"/>
      <c r="G159" s="218"/>
    </row>
    <row r="160" spans="1:7" ht="13.8" customHeight="1">
      <c r="A160" s="256"/>
      <c r="B160" s="256"/>
      <c r="C160" s="218"/>
      <c r="D160" s="1272"/>
      <c r="E160" s="1272"/>
      <c r="F160" s="1272"/>
      <c r="G160" s="218"/>
    </row>
    <row r="161" spans="1:7" ht="13.8" customHeight="1">
      <c r="A161" s="256"/>
      <c r="B161" s="256"/>
      <c r="C161" s="218"/>
      <c r="D161" s="1272"/>
      <c r="E161" s="1272"/>
      <c r="F161" s="1272"/>
      <c r="G161" s="218"/>
    </row>
    <row r="162" spans="1:7" ht="13.8" customHeight="1">
      <c r="A162" s="256"/>
      <c r="B162" s="256"/>
      <c r="C162" s="218"/>
      <c r="D162" s="1272"/>
      <c r="E162" s="1272"/>
      <c r="F162" s="1272"/>
      <c r="G162" s="218"/>
    </row>
    <row r="163" spans="1:7" ht="13.8" customHeight="1">
      <c r="D163" s="35"/>
      <c r="E163" s="35"/>
      <c r="F163" s="35"/>
    </row>
    <row r="164" spans="1:7" ht="13.8" customHeight="1">
      <c r="B164" s="468" t="s">
        <v>308</v>
      </c>
      <c r="D164" s="1306" t="s">
        <v>1178</v>
      </c>
      <c r="E164" s="1306"/>
      <c r="F164" s="1306"/>
    </row>
    <row r="165" spans="1:7" ht="13.8" customHeight="1">
      <c r="D165" s="1306"/>
      <c r="E165" s="1306"/>
      <c r="F165" s="1306"/>
    </row>
    <row r="166" spans="1:7" ht="13.8" customHeight="1">
      <c r="D166" s="1306"/>
      <c r="E166" s="1306"/>
      <c r="F166" s="1306"/>
    </row>
    <row r="167" spans="1:7" ht="13.8" customHeight="1">
      <c r="A167" s="13"/>
      <c r="B167" s="13"/>
      <c r="E167" s="35"/>
      <c r="F167" s="35"/>
    </row>
    <row r="168" spans="1:7">
      <c r="A168" s="1290" t="s">
        <v>1072</v>
      </c>
      <c r="B168" s="1290"/>
      <c r="C168" s="1290"/>
      <c r="D168" s="1290"/>
      <c r="E168" s="1290"/>
      <c r="F168" s="1290"/>
      <c r="G168" s="1290"/>
    </row>
    <row r="169" spans="1:7" ht="12" customHeight="1">
      <c r="D169" s="35"/>
      <c r="E169" s="35"/>
      <c r="F169" s="35"/>
    </row>
    <row r="170" spans="1:7">
      <c r="B170" s="1287" t="s">
        <v>448</v>
      </c>
      <c r="C170" s="1287"/>
      <c r="D170" s="1287"/>
      <c r="E170" s="1287"/>
      <c r="F170" s="1287"/>
    </row>
    <row r="171" spans="1:7" ht="12" customHeight="1">
      <c r="A171" s="172"/>
      <c r="B171" s="172"/>
      <c r="C171" s="172"/>
    </row>
    <row r="172" spans="1:7">
      <c r="A172" s="1290" t="s">
        <v>1073</v>
      </c>
      <c r="B172" s="1290"/>
      <c r="C172" s="1290"/>
      <c r="D172" s="1290"/>
      <c r="E172" s="1290"/>
      <c r="F172" s="1290"/>
      <c r="G172" s="1290"/>
    </row>
    <row r="173" spans="1:7" ht="12" customHeight="1">
      <c r="A173" s="2"/>
      <c r="B173" s="2"/>
      <c r="E173" s="2"/>
    </row>
    <row r="174" spans="1:7" ht="13.2" customHeight="1">
      <c r="A174" s="2"/>
      <c r="B174" s="2"/>
      <c r="D174" s="1312" t="s">
        <v>1181</v>
      </c>
      <c r="E174" s="1312"/>
      <c r="F174" s="1312"/>
    </row>
    <row r="175" spans="1:7">
      <c r="A175" s="2"/>
      <c r="B175" s="2"/>
      <c r="D175" s="1312"/>
      <c r="E175" s="1312"/>
      <c r="F175" s="1312"/>
    </row>
    <row r="176" spans="1:7">
      <c r="A176" s="2"/>
      <c r="B176" s="2"/>
      <c r="D176" s="1299" t="s">
        <v>1182</v>
      </c>
      <c r="E176" s="1299"/>
      <c r="F176" s="1299"/>
    </row>
    <row r="177" spans="1:7" ht="12" customHeight="1">
      <c r="A177" s="2"/>
      <c r="B177" s="2"/>
      <c r="E177" s="2"/>
    </row>
    <row r="178" spans="1:7" ht="14.4">
      <c r="A178" s="176"/>
      <c r="B178" s="468" t="s">
        <v>308</v>
      </c>
      <c r="D178" s="1284" t="s">
        <v>1180</v>
      </c>
      <c r="E178" s="1284"/>
      <c r="F178" s="1284"/>
    </row>
    <row r="179" spans="1:7" ht="14.4">
      <c r="A179" s="176"/>
      <c r="B179" s="176"/>
      <c r="D179" s="1284"/>
      <c r="E179" s="1284"/>
      <c r="F179" s="1284"/>
    </row>
    <row r="180" spans="1:7" ht="14.4">
      <c r="A180" s="176"/>
      <c r="B180" s="176"/>
      <c r="D180" s="1284"/>
      <c r="E180" s="1284"/>
      <c r="F180" s="1284"/>
    </row>
    <row r="181" spans="1:7">
      <c r="D181" s="1284"/>
      <c r="E181" s="1284"/>
      <c r="F181" s="1284"/>
    </row>
    <row r="182" spans="1:7">
      <c r="D182" s="220"/>
    </row>
    <row r="183" spans="1:7">
      <c r="D183" s="1305" t="s">
        <v>1089</v>
      </c>
      <c r="E183" s="1305"/>
      <c r="F183" s="1305"/>
    </row>
    <row r="184" spans="1:7">
      <c r="D184" s="1305"/>
      <c r="E184" s="1305"/>
      <c r="F184" s="1305"/>
    </row>
    <row r="185" spans="1:7">
      <c r="D185" s="475"/>
      <c r="E185" s="475"/>
      <c r="F185" s="475"/>
    </row>
    <row r="186" spans="1:7" ht="14.4">
      <c r="A186" s="176"/>
      <c r="B186" s="468" t="s">
        <v>308</v>
      </c>
      <c r="C186" s="385"/>
      <c r="D186" s="1269" t="s">
        <v>1179</v>
      </c>
      <c r="E186" s="1269"/>
      <c r="F186" s="1269"/>
      <c r="G186" s="3"/>
    </row>
    <row r="187" spans="1:7" ht="14.55" customHeight="1">
      <c r="A187" s="176"/>
      <c r="B187"/>
      <c r="C187" s="385"/>
      <c r="D187" s="1269"/>
      <c r="E187" s="1269"/>
      <c r="F187" s="1269"/>
      <c r="G187" s="3"/>
    </row>
    <row r="188" spans="1:7" ht="14.4">
      <c r="A188" s="176"/>
      <c r="B188" s="385"/>
      <c r="C188" s="385"/>
      <c r="D188" s="1269"/>
      <c r="E188" s="1269"/>
      <c r="F188" s="1269"/>
      <c r="G188" s="3"/>
    </row>
    <row r="189" spans="1:7" ht="14.4">
      <c r="A189" s="176"/>
      <c r="B189" s="385"/>
      <c r="C189" s="385"/>
      <c r="D189" s="1269"/>
      <c r="E189" s="1269"/>
      <c r="F189" s="1269"/>
      <c r="G189" s="3"/>
    </row>
    <row r="190" spans="1:7">
      <c r="D190" s="475"/>
      <c r="E190" s="475"/>
      <c r="F190" s="475"/>
    </row>
    <row r="191" spans="1:7">
      <c r="A191" s="1290" t="s">
        <v>1074</v>
      </c>
      <c r="B191" s="1290"/>
      <c r="C191" s="1290"/>
      <c r="D191" s="1290"/>
      <c r="E191" s="1290"/>
      <c r="F191" s="1290"/>
      <c r="G191" s="1290"/>
    </row>
    <row r="192" spans="1:7" ht="12" customHeight="1">
      <c r="D192" s="35"/>
      <c r="E192" s="35"/>
      <c r="F192" s="35"/>
    </row>
    <row r="193" spans="1:6">
      <c r="C193" s="177"/>
      <c r="D193" s="1288" t="s">
        <v>209</v>
      </c>
      <c r="E193" s="1288"/>
      <c r="F193" s="1288"/>
    </row>
    <row r="194" spans="1:6">
      <c r="A194" s="172"/>
      <c r="B194" s="172"/>
      <c r="C194" s="172"/>
      <c r="D194" s="1289" t="s">
        <v>1203</v>
      </c>
      <c r="E194" s="1295"/>
      <c r="F194" s="1295"/>
    </row>
    <row r="195" spans="1:6" ht="12" customHeight="1">
      <c r="A195" s="13"/>
      <c r="B195" s="13"/>
      <c r="C195" s="13"/>
    </row>
    <row r="196" spans="1:6" ht="13.2" customHeight="1">
      <c r="A196" s="13"/>
      <c r="C196" s="13"/>
      <c r="D196" s="1288" t="s">
        <v>554</v>
      </c>
      <c r="E196" s="1288"/>
      <c r="F196" s="1288"/>
    </row>
    <row r="197" spans="1:6" ht="14.4">
      <c r="A197" s="176"/>
      <c r="B197" s="468" t="s">
        <v>308</v>
      </c>
      <c r="D197" s="1269" t="s">
        <v>1197</v>
      </c>
      <c r="E197" s="1269"/>
      <c r="F197" s="1269"/>
    </row>
    <row r="198" spans="1:6" ht="14.4">
      <c r="A198" s="176"/>
      <c r="B198" s="176"/>
      <c r="D198" s="1269"/>
      <c r="E198" s="1269"/>
      <c r="F198" s="1269"/>
    </row>
    <row r="199" spans="1:6"/>
    <row r="200" spans="1:6" ht="14.4">
      <c r="A200" s="176"/>
      <c r="B200" s="468" t="s">
        <v>308</v>
      </c>
      <c r="D200" s="1269" t="s">
        <v>1198</v>
      </c>
      <c r="E200" s="1269"/>
      <c r="F200" s="1269"/>
    </row>
    <row r="201" spans="1:6" ht="14.4">
      <c r="A201" s="176"/>
      <c r="B201" s="176"/>
      <c r="D201" s="1269"/>
      <c r="E201" s="1269"/>
      <c r="F201" s="1269"/>
    </row>
    <row r="202" spans="1:6" ht="14.4">
      <c r="A202" s="176"/>
      <c r="B202" s="176"/>
      <c r="D202" s="1269"/>
      <c r="E202" s="1269"/>
      <c r="F202" s="1269"/>
    </row>
    <row r="203" spans="1:6" ht="4.95" customHeight="1">
      <c r="A203" s="176"/>
      <c r="B203" s="176"/>
      <c r="D203" s="35"/>
      <c r="E203" s="35"/>
      <c r="F203" s="35"/>
    </row>
    <row r="204" spans="1:6" ht="14.4">
      <c r="A204" s="176"/>
      <c r="B204" s="176"/>
      <c r="D204" s="1269" t="s">
        <v>1199</v>
      </c>
      <c r="E204" s="1269"/>
      <c r="F204" s="1269"/>
    </row>
    <row r="205" spans="1:6" ht="14.4">
      <c r="A205" s="176"/>
      <c r="B205" s="176"/>
      <c r="D205" s="1269"/>
      <c r="E205" s="1269"/>
      <c r="F205" s="1269"/>
    </row>
    <row r="206" spans="1:6" ht="14.4">
      <c r="A206" s="176"/>
      <c r="B206" s="176"/>
      <c r="D206" s="1269"/>
      <c r="E206" s="1269"/>
      <c r="F206" s="1269"/>
    </row>
    <row r="207" spans="1:6" ht="14.4">
      <c r="A207" s="176"/>
      <c r="B207" s="176"/>
      <c r="D207" s="1269"/>
      <c r="E207" s="1269"/>
      <c r="F207" s="1269"/>
    </row>
    <row r="208" spans="1:6" ht="14.4">
      <c r="A208" s="176"/>
      <c r="B208" s="176"/>
      <c r="D208" s="1269"/>
      <c r="E208" s="1269"/>
      <c r="F208" s="1269"/>
    </row>
    <row r="209" spans="1:7" ht="14.4">
      <c r="A209" s="176"/>
      <c r="B209" s="176"/>
      <c r="D209" s="35"/>
      <c r="E209" s="35"/>
      <c r="F209" s="35"/>
    </row>
    <row r="210" spans="1:7" ht="14.4">
      <c r="A210" s="176"/>
      <c r="B210" s="468" t="s">
        <v>308</v>
      </c>
      <c r="D210" s="1269" t="s">
        <v>1200</v>
      </c>
      <c r="E210" s="1269"/>
      <c r="F210" s="1269"/>
    </row>
    <row r="211" spans="1:7" ht="14.4">
      <c r="A211" s="176"/>
      <c r="B211" s="176"/>
      <c r="D211" s="1269"/>
      <c r="E211" s="1269"/>
      <c r="F211" s="1269"/>
    </row>
    <row r="212" spans="1:7" ht="14.4">
      <c r="A212" s="176"/>
      <c r="B212" s="176"/>
      <c r="D212" s="1287" t="s">
        <v>909</v>
      </c>
      <c r="E212" s="1287"/>
      <c r="F212" s="1287"/>
    </row>
    <row r="213" spans="1:7" ht="14.4">
      <c r="A213" s="176"/>
      <c r="B213" s="176"/>
      <c r="D213" s="35"/>
      <c r="E213" s="35"/>
      <c r="F213" s="35"/>
    </row>
    <row r="214" spans="1:7" ht="14.55" customHeight="1">
      <c r="A214" s="176"/>
      <c r="B214" s="468" t="s">
        <v>308</v>
      </c>
      <c r="D214" s="1269" t="s">
        <v>1202</v>
      </c>
      <c r="E214" s="1269"/>
      <c r="F214" s="1269"/>
    </row>
    <row r="215" spans="1:7" ht="14.4">
      <c r="A215" s="176"/>
      <c r="B215" s="176"/>
      <c r="D215" s="1269"/>
      <c r="E215" s="1269"/>
      <c r="F215" s="1269"/>
    </row>
    <row r="216" spans="1:7" ht="14.4">
      <c r="A216" s="176"/>
      <c r="B216" s="176"/>
      <c r="D216" s="1269"/>
      <c r="E216" s="1269"/>
      <c r="F216" s="1269"/>
    </row>
    <row r="217" spans="1:7" ht="14.4">
      <c r="A217" s="176"/>
      <c r="B217" s="176"/>
      <c r="D217" s="1269"/>
      <c r="E217" s="1269"/>
      <c r="F217" s="1269"/>
    </row>
    <row r="218" spans="1:7" ht="14.4">
      <c r="A218" s="176"/>
      <c r="B218" s="176"/>
      <c r="D218" s="1269"/>
      <c r="E218" s="1269"/>
      <c r="F218" s="1269"/>
    </row>
    <row r="219" spans="1:7">
      <c r="D219" s="35"/>
      <c r="E219" s="35"/>
      <c r="F219" s="35"/>
    </row>
    <row r="220" spans="1:7" ht="14.4">
      <c r="A220" s="176"/>
      <c r="B220" s="468" t="s">
        <v>308</v>
      </c>
      <c r="D220" s="1269" t="s">
        <v>1201</v>
      </c>
      <c r="E220" s="1269"/>
      <c r="F220" s="1269"/>
    </row>
    <row r="221" spans="1:7" ht="14.4">
      <c r="A221" s="176"/>
      <c r="B221" s="176"/>
      <c r="D221" s="1269"/>
      <c r="E221" s="1269"/>
      <c r="F221" s="1269"/>
    </row>
    <row r="222" spans="1:7">
      <c r="D222" s="19"/>
    </row>
    <row r="223" spans="1:7">
      <c r="A223" s="1290" t="s">
        <v>1075</v>
      </c>
      <c r="B223" s="1290"/>
      <c r="C223" s="1290"/>
      <c r="D223" s="1290"/>
      <c r="E223" s="1290"/>
      <c r="F223" s="1290"/>
      <c r="G223" s="1290"/>
    </row>
    <row r="224" spans="1:7">
      <c r="D224" s="19"/>
    </row>
    <row r="225" spans="1:6">
      <c r="C225" s="177"/>
      <c r="D225" s="1288" t="s">
        <v>1204</v>
      </c>
      <c r="E225" s="1288"/>
      <c r="F225" s="1288"/>
    </row>
    <row r="226" spans="1:6">
      <c r="A226" s="172"/>
      <c r="B226" s="172"/>
      <c r="C226" s="172"/>
      <c r="D226" s="35"/>
      <c r="E226" s="35"/>
      <c r="F226" s="35"/>
    </row>
    <row r="227" spans="1:6">
      <c r="A227" s="175"/>
      <c r="B227" s="175"/>
      <c r="C227" s="175"/>
      <c r="D227" s="1288" t="s">
        <v>270</v>
      </c>
      <c r="E227" s="1288"/>
      <c r="F227" s="1288"/>
    </row>
    <row r="228" spans="1:6" ht="14.4">
      <c r="A228" s="176"/>
      <c r="B228" s="468" t="s">
        <v>308</v>
      </c>
      <c r="D228" s="1318" t="s">
        <v>1205</v>
      </c>
      <c r="E228" s="1318"/>
      <c r="F228" s="1318"/>
    </row>
    <row r="229" spans="1:6" ht="14.4">
      <c r="A229" s="176"/>
      <c r="B229" s="176"/>
      <c r="D229" s="1318"/>
      <c r="E229" s="1318"/>
      <c r="F229" s="1318"/>
    </row>
    <row r="230" spans="1:6">
      <c r="D230" s="35"/>
      <c r="E230" s="35"/>
      <c r="F230" s="35"/>
    </row>
    <row r="231" spans="1:6" ht="14.55" customHeight="1">
      <c r="A231" s="176"/>
      <c r="B231" s="468" t="s">
        <v>308</v>
      </c>
      <c r="D231" s="1269" t="s">
        <v>1206</v>
      </c>
      <c r="E231" s="1269"/>
      <c r="F231" s="1269"/>
    </row>
    <row r="232" spans="1:6">
      <c r="D232" s="1269"/>
      <c r="E232" s="1269"/>
      <c r="F232" s="1269"/>
    </row>
    <row r="233" spans="1:6">
      <c r="D233" s="1295" t="s">
        <v>901</v>
      </c>
      <c r="E233" s="1295"/>
      <c r="F233" s="1295"/>
    </row>
    <row r="234" spans="1:6">
      <c r="D234" s="35"/>
      <c r="E234" s="35"/>
      <c r="F234" s="35"/>
    </row>
    <row r="235" spans="1:6" ht="14.55" customHeight="1">
      <c r="A235" s="176"/>
      <c r="B235" s="468" t="s">
        <v>308</v>
      </c>
      <c r="D235" s="1269" t="s">
        <v>1208</v>
      </c>
      <c r="E235" s="1269"/>
      <c r="F235" s="1269"/>
    </row>
    <row r="236" spans="1:6">
      <c r="D236" s="1269"/>
      <c r="E236" s="1269"/>
      <c r="F236" s="1269"/>
    </row>
    <row r="237" spans="1:6">
      <c r="D237" s="1269"/>
      <c r="E237" s="1269"/>
      <c r="F237" s="1269"/>
    </row>
    <row r="238" spans="1:6">
      <c r="D238" s="1269"/>
      <c r="E238" s="1269"/>
      <c r="F238" s="1269"/>
    </row>
    <row r="239" spans="1:6">
      <c r="D239" s="1269"/>
      <c r="E239" s="1269"/>
      <c r="F239" s="1269"/>
    </row>
    <row r="240" spans="1:6">
      <c r="D240" s="35"/>
      <c r="E240" s="35"/>
      <c r="F240" s="35"/>
    </row>
    <row r="241" spans="1:7" ht="14.4">
      <c r="A241" s="176"/>
      <c r="B241" s="468" t="s">
        <v>308</v>
      </c>
      <c r="D241" s="1269" t="s">
        <v>1207</v>
      </c>
      <c r="E241" s="1269"/>
      <c r="F241" s="1269"/>
    </row>
    <row r="242" spans="1:7">
      <c r="D242" s="1269"/>
      <c r="E242" s="1269"/>
      <c r="F242" s="1269"/>
    </row>
    <row r="243" spans="1:7">
      <c r="D243" s="1269"/>
      <c r="E243" s="1269"/>
      <c r="F243" s="1269"/>
    </row>
    <row r="244" spans="1:7">
      <c r="D244" s="178"/>
      <c r="E244" s="35"/>
      <c r="F244" s="35"/>
    </row>
    <row r="245" spans="1:7">
      <c r="A245" s="1290" t="s">
        <v>1076</v>
      </c>
      <c r="B245" s="1290"/>
      <c r="C245" s="1290"/>
      <c r="D245" s="1290"/>
      <c r="E245" s="1290"/>
      <c r="F245" s="1290"/>
      <c r="G245" s="1290"/>
    </row>
    <row r="246" spans="1:7">
      <c r="D246" s="178"/>
      <c r="E246" s="35"/>
      <c r="F246" s="35"/>
    </row>
    <row r="247" spans="1:7">
      <c r="C247" s="172"/>
      <c r="D247" s="1301" t="s">
        <v>1209</v>
      </c>
      <c r="E247" s="1301"/>
      <c r="F247" s="1301"/>
    </row>
    <row r="248" spans="1:7">
      <c r="C248" s="172"/>
      <c r="D248" s="1301"/>
      <c r="E248" s="1301"/>
      <c r="F248" s="1301"/>
    </row>
    <row r="249" spans="1:7">
      <c r="A249" s="175"/>
      <c r="B249" s="175"/>
      <c r="C249" s="175"/>
      <c r="D249" s="2"/>
      <c r="E249" s="3"/>
      <c r="F249" s="3"/>
    </row>
    <row r="250" spans="1:7">
      <c r="C250" s="175"/>
      <c r="D250" s="1288" t="s">
        <v>210</v>
      </c>
      <c r="E250" s="1288"/>
      <c r="F250" s="1288"/>
    </row>
    <row r="251" spans="1:7" ht="15.75" customHeight="1">
      <c r="A251" s="176"/>
      <c r="B251" s="176"/>
      <c r="D251" s="1294" t="s">
        <v>1210</v>
      </c>
      <c r="E251" s="1294"/>
      <c r="F251" s="1294"/>
    </row>
    <row r="252" spans="1:7">
      <c r="E252" s="35"/>
      <c r="F252" s="35"/>
    </row>
    <row r="253" spans="1:7" ht="14.4">
      <c r="A253" s="176"/>
      <c r="B253" s="468" t="s">
        <v>308</v>
      </c>
      <c r="D253" s="1269" t="s">
        <v>1211</v>
      </c>
      <c r="E253" s="1269"/>
      <c r="F253" s="1269"/>
    </row>
    <row r="254" spans="1:7" ht="14.4">
      <c r="A254" s="176"/>
      <c r="B254" s="176"/>
      <c r="D254" s="1269"/>
      <c r="E254" s="1269"/>
      <c r="F254" s="1269"/>
    </row>
    <row r="255" spans="1:7">
      <c r="D255" s="35"/>
      <c r="E255" s="35"/>
      <c r="F255" s="35"/>
    </row>
    <row r="256" spans="1:7" ht="14.4">
      <c r="A256" s="176"/>
      <c r="B256" s="468" t="s">
        <v>308</v>
      </c>
      <c r="D256" s="1269" t="s">
        <v>1212</v>
      </c>
      <c r="E256" s="1269"/>
      <c r="F256" s="1269"/>
    </row>
    <row r="257" spans="1:7" ht="14.4">
      <c r="A257" s="176"/>
      <c r="B257" s="176"/>
      <c r="D257" s="1269"/>
      <c r="E257" s="1269"/>
      <c r="F257" s="1269"/>
    </row>
    <row r="258" spans="1:7" ht="14.4">
      <c r="A258" s="176"/>
      <c r="B258" s="176"/>
      <c r="D258" s="1269"/>
      <c r="E258" s="1269"/>
      <c r="F258" s="1269"/>
    </row>
    <row r="259" spans="1:7">
      <c r="D259" s="35"/>
      <c r="E259" s="35"/>
      <c r="F259" s="35"/>
    </row>
    <row r="260" spans="1:7" ht="14.4">
      <c r="A260" s="176"/>
      <c r="B260" s="468" t="s">
        <v>308</v>
      </c>
      <c r="D260" s="1269" t="s">
        <v>1213</v>
      </c>
      <c r="E260" s="1269"/>
      <c r="F260" s="1269"/>
    </row>
    <row r="261" spans="1:7" ht="14.4">
      <c r="A261" s="176"/>
      <c r="B261" s="176"/>
      <c r="D261" s="1269"/>
      <c r="E261" s="1269"/>
      <c r="F261" s="1269"/>
    </row>
    <row r="262" spans="1:7">
      <c r="A262" s="13"/>
      <c r="B262" s="13"/>
      <c r="E262" s="35"/>
      <c r="F262" s="35"/>
    </row>
    <row r="263" spans="1:7">
      <c r="A263" s="1290" t="s">
        <v>1077</v>
      </c>
      <c r="B263" s="1290"/>
      <c r="C263" s="1290"/>
      <c r="D263" s="1290"/>
      <c r="E263" s="1290"/>
      <c r="F263" s="1290"/>
      <c r="G263" s="1290"/>
    </row>
    <row r="264" spans="1:7">
      <c r="A264" s="13"/>
      <c r="B264" s="13"/>
      <c r="D264" s="35"/>
      <c r="E264" s="35"/>
      <c r="F264" s="35"/>
    </row>
    <row r="265" spans="1:7">
      <c r="C265" s="13"/>
      <c r="D265" s="1288" t="s">
        <v>690</v>
      </c>
      <c r="E265" s="1288"/>
      <c r="F265" s="1288"/>
    </row>
    <row r="266" spans="1:7">
      <c r="C266" s="13"/>
      <c r="D266" s="1289" t="s">
        <v>1214</v>
      </c>
      <c r="E266" s="1289"/>
      <c r="F266" s="1289"/>
    </row>
    <row r="267" spans="1:7">
      <c r="C267" s="13"/>
      <c r="D267" s="173"/>
    </row>
    <row r="268" spans="1:7">
      <c r="B268" s="468" t="s">
        <v>308</v>
      </c>
      <c r="D268" s="1289" t="s">
        <v>1215</v>
      </c>
      <c r="E268" s="1289"/>
      <c r="F268" s="1289"/>
    </row>
    <row r="269" spans="1:7" ht="14.4">
      <c r="A269" s="176"/>
      <c r="B269" s="176"/>
      <c r="D269" s="341"/>
      <c r="E269" s="342"/>
      <c r="F269" s="342"/>
    </row>
    <row r="270" spans="1:7" ht="13.2" customHeight="1">
      <c r="B270" s="468" t="s">
        <v>308</v>
      </c>
      <c r="D270" s="1319" t="s">
        <v>1216</v>
      </c>
      <c r="E270" s="1319"/>
      <c r="F270" s="1319"/>
    </row>
    <row r="271" spans="1:7" ht="14.4">
      <c r="A271" s="176"/>
      <c r="B271" s="176"/>
      <c r="D271" s="1319"/>
      <c r="E271" s="1319"/>
      <c r="F271" s="1319"/>
    </row>
    <row r="272" spans="1:7" ht="14.4">
      <c r="A272" s="176"/>
      <c r="B272" s="176"/>
      <c r="D272" s="1319"/>
      <c r="E272" s="1319"/>
      <c r="F272" s="1319"/>
    </row>
    <row r="273" spans="1:6" ht="14.4">
      <c r="A273" s="176"/>
      <c r="B273" s="176"/>
      <c r="D273" s="1319"/>
      <c r="E273" s="1319"/>
      <c r="F273" s="1319"/>
    </row>
    <row r="274" spans="1:6" ht="14.4">
      <c r="A274" s="176"/>
      <c r="B274" s="176"/>
      <c r="D274" s="1319"/>
      <c r="E274" s="1319"/>
      <c r="F274" s="1319"/>
    </row>
    <row r="275" spans="1:6" ht="14.4">
      <c r="A275" s="176"/>
      <c r="B275" s="176"/>
      <c r="D275" s="341"/>
      <c r="E275" s="342"/>
      <c r="F275" s="342"/>
    </row>
    <row r="276" spans="1:6" ht="13.2" customHeight="1">
      <c r="B276" s="468" t="s">
        <v>308</v>
      </c>
      <c r="D276" s="1319" t="s">
        <v>1217</v>
      </c>
      <c r="E276" s="1319"/>
      <c r="F276" s="1319"/>
    </row>
    <row r="277" spans="1:6">
      <c r="D277" s="1319"/>
      <c r="E277" s="1319"/>
      <c r="F277" s="1319"/>
    </row>
    <row r="278" spans="1:6" ht="14.4">
      <c r="A278" s="176"/>
      <c r="B278" s="176"/>
      <c r="D278" s="341"/>
      <c r="E278" s="342"/>
      <c r="F278" s="342"/>
    </row>
    <row r="279" spans="1:6">
      <c r="B279" s="468" t="s">
        <v>308</v>
      </c>
      <c r="D279" s="1289" t="s">
        <v>1218</v>
      </c>
      <c r="E279" s="1289"/>
      <c r="F279" s="1289"/>
    </row>
    <row r="280" spans="1:6">
      <c r="E280" s="35"/>
      <c r="F280" s="35"/>
    </row>
    <row r="281" spans="1:6" ht="14.4">
      <c r="A281" s="176"/>
      <c r="B281" s="468" t="s">
        <v>308</v>
      </c>
      <c r="D281" s="1269" t="s">
        <v>1219</v>
      </c>
      <c r="E281" s="1269"/>
      <c r="F281" s="1269"/>
    </row>
    <row r="282" spans="1:6" ht="14.4">
      <c r="A282" s="176"/>
      <c r="B282" s="176"/>
      <c r="D282" s="1269"/>
      <c r="E282" s="1269"/>
      <c r="F282" s="1269"/>
    </row>
    <row r="283" spans="1:6" ht="14.4">
      <c r="A283" s="176"/>
      <c r="B283" s="176"/>
      <c r="D283" s="1269"/>
      <c r="E283" s="1269"/>
      <c r="F283" s="1269"/>
    </row>
    <row r="284" spans="1:6" ht="14.4">
      <c r="A284" s="176"/>
      <c r="B284" s="176"/>
      <c r="D284" s="1269"/>
      <c r="E284" s="1269"/>
      <c r="F284" s="1269"/>
    </row>
    <row r="285" spans="1:6" ht="14.4">
      <c r="A285" s="176"/>
      <c r="B285" s="176"/>
      <c r="D285" s="1269"/>
      <c r="E285" s="1269"/>
      <c r="F285" s="1269"/>
    </row>
    <row r="286" spans="1:6" ht="14.4">
      <c r="A286" s="176"/>
      <c r="B286" s="176"/>
      <c r="D286" s="1269"/>
      <c r="E286" s="1269"/>
      <c r="F286" s="1269"/>
    </row>
    <row r="287" spans="1:6" ht="14.4">
      <c r="A287" s="176"/>
      <c r="B287" s="176"/>
      <c r="D287" s="1269"/>
      <c r="E287" s="1269"/>
      <c r="F287" s="1269"/>
    </row>
    <row r="288" spans="1:6" ht="14.4">
      <c r="A288" s="176"/>
      <c r="B288" s="176"/>
      <c r="D288" s="1269"/>
      <c r="E288" s="1269"/>
      <c r="F288" s="1269"/>
    </row>
    <row r="289" spans="1:6" ht="14.4">
      <c r="A289" s="176"/>
      <c r="B289" s="176"/>
      <c r="D289" s="1269"/>
      <c r="E289" s="1269"/>
      <c r="F289" s="1269"/>
    </row>
    <row r="290" spans="1:6" ht="14.4">
      <c r="A290" s="176"/>
      <c r="B290" s="176"/>
      <c r="D290" s="1269"/>
      <c r="E290" s="1269"/>
      <c r="F290" s="1269"/>
    </row>
    <row r="291" spans="1:6" ht="14.4">
      <c r="A291" s="176"/>
      <c r="B291" s="176"/>
      <c r="D291" s="1269"/>
      <c r="E291" s="1269"/>
      <c r="F291" s="1269"/>
    </row>
    <row r="292" spans="1:6" ht="14.4">
      <c r="A292" s="176"/>
      <c r="B292" s="176"/>
      <c r="D292" s="1269"/>
      <c r="E292" s="1269"/>
      <c r="F292" s="1269"/>
    </row>
    <row r="293" spans="1:6" ht="14.4">
      <c r="A293" s="176"/>
      <c r="B293" s="176"/>
      <c r="D293" s="1269"/>
      <c r="E293" s="1269"/>
      <c r="F293" s="1269"/>
    </row>
    <row r="294" spans="1:6" ht="14.4">
      <c r="A294" s="176"/>
      <c r="B294" s="176"/>
      <c r="D294" s="1269"/>
      <c r="E294" s="1269"/>
      <c r="F294" s="1269"/>
    </row>
    <row r="295" spans="1:6" ht="14.4">
      <c r="A295" s="176"/>
      <c r="B295" s="176"/>
      <c r="D295" s="1269"/>
      <c r="E295" s="1269"/>
      <c r="F295" s="1269"/>
    </row>
    <row r="296" spans="1:6">
      <c r="D296" s="35"/>
      <c r="E296" s="35"/>
      <c r="F296" s="35"/>
    </row>
    <row r="297" spans="1:6" ht="14.4">
      <c r="A297" s="176"/>
      <c r="B297" s="468" t="s">
        <v>308</v>
      </c>
      <c r="D297" s="1269" t="s">
        <v>1220</v>
      </c>
      <c r="E297" s="1269"/>
      <c r="F297" s="1269"/>
    </row>
    <row r="298" spans="1:6">
      <c r="D298" s="1269"/>
      <c r="E298" s="1269"/>
      <c r="F298" s="1269"/>
    </row>
    <row r="299" spans="1:6">
      <c r="D299" s="1269"/>
      <c r="E299" s="1269"/>
      <c r="F299" s="1269"/>
    </row>
    <row r="300" spans="1:6">
      <c r="D300" s="1269"/>
      <c r="E300" s="1269"/>
      <c r="F300" s="1269"/>
    </row>
    <row r="301" spans="1:6">
      <c r="D301" s="1269"/>
      <c r="E301" s="1269"/>
      <c r="F301" s="1269"/>
    </row>
    <row r="302" spans="1:6">
      <c r="D302" s="1269"/>
      <c r="E302" s="1269"/>
      <c r="F302" s="1269"/>
    </row>
    <row r="303" spans="1:6">
      <c r="D303" s="1269"/>
      <c r="E303" s="1269"/>
      <c r="F303" s="1269"/>
    </row>
    <row r="304" spans="1:6">
      <c r="D304" s="1269"/>
      <c r="E304" s="1269"/>
      <c r="F304" s="1269"/>
    </row>
    <row r="305" spans="1:7">
      <c r="D305" s="1269"/>
      <c r="E305" s="1269"/>
      <c r="F305" s="1269"/>
    </row>
    <row r="306" spans="1:7">
      <c r="D306" s="35"/>
      <c r="E306" s="35"/>
      <c r="F306" s="35"/>
    </row>
    <row r="307" spans="1:7" ht="14.4">
      <c r="A307" s="176"/>
      <c r="B307" s="468" t="s">
        <v>308</v>
      </c>
      <c r="D307" s="1269" t="s">
        <v>1221</v>
      </c>
      <c r="E307" s="1269"/>
      <c r="F307" s="1269"/>
    </row>
    <row r="308" spans="1:7">
      <c r="D308" s="1269"/>
      <c r="E308" s="1269"/>
      <c r="F308" s="1269"/>
      <c r="G308"/>
    </row>
    <row r="309" spans="1:7">
      <c r="D309" s="1269"/>
      <c r="E309" s="1269"/>
      <c r="F309" s="1269"/>
      <c r="G309"/>
    </row>
    <row r="310" spans="1:7">
      <c r="D310" s="1269"/>
      <c r="E310" s="1269"/>
      <c r="F310" s="1269"/>
      <c r="G310"/>
    </row>
    <row r="311" spans="1:7">
      <c r="D311" s="1269"/>
      <c r="E311" s="1269"/>
      <c r="F311" s="1269"/>
      <c r="G311"/>
    </row>
    <row r="312" spans="1:7">
      <c r="D312" s="1269"/>
      <c r="E312" s="1269"/>
      <c r="F312" s="1269"/>
      <c r="G312"/>
    </row>
    <row r="313" spans="1:7">
      <c r="D313" s="474"/>
      <c r="E313" s="474"/>
      <c r="F313" s="474"/>
      <c r="G313"/>
    </row>
    <row r="314" spans="1:7" ht="13.8" thickBot="1">
      <c r="D314" s="1315" t="s">
        <v>998</v>
      </c>
      <c r="E314" s="1315"/>
      <c r="F314" s="1315"/>
      <c r="G314"/>
    </row>
    <row r="315" spans="1:7" ht="13.8" thickTop="1">
      <c r="D315" s="1316" t="s">
        <v>1222</v>
      </c>
      <c r="E315" s="1316"/>
      <c r="F315" s="1316"/>
      <c r="G315"/>
    </row>
    <row r="316" spans="1:7">
      <c r="A316" s="218"/>
      <c r="B316" s="218"/>
      <c r="C316" s="218"/>
      <c r="D316" s="220"/>
      <c r="E316" s="220"/>
      <c r="F316" s="35"/>
      <c r="G316"/>
    </row>
    <row r="317" spans="1:7" ht="14.4">
      <c r="A317" s="176"/>
      <c r="B317" s="468" t="s">
        <v>308</v>
      </c>
      <c r="C317" s="218"/>
      <c r="D317" s="1317" t="s">
        <v>1223</v>
      </c>
      <c r="E317" s="1317"/>
      <c r="F317" s="1317"/>
      <c r="G317"/>
    </row>
    <row r="318" spans="1:7">
      <c r="A318" s="218"/>
      <c r="B318" s="218"/>
      <c r="C318" s="218"/>
      <c r="D318" s="220"/>
      <c r="E318" s="220"/>
      <c r="F318" s="35"/>
      <c r="G318"/>
    </row>
    <row r="319" spans="1:7">
      <c r="A319" s="218"/>
      <c r="B319" s="468" t="s">
        <v>308</v>
      </c>
      <c r="C319" s="218"/>
      <c r="D319" s="1272" t="s">
        <v>1224</v>
      </c>
      <c r="E319" s="1272"/>
      <c r="F319" s="1272"/>
      <c r="G319"/>
    </row>
    <row r="320" spans="1:7">
      <c r="A320" s="218"/>
      <c r="B320" s="218"/>
      <c r="C320" s="218"/>
      <c r="D320" s="1272"/>
      <c r="E320" s="1272"/>
      <c r="F320" s="1272"/>
      <c r="G320"/>
    </row>
    <row r="321" spans="1:7">
      <c r="A321" s="218"/>
      <c r="B321" s="218"/>
      <c r="C321" s="218"/>
      <c r="D321" s="1272"/>
      <c r="E321" s="1272"/>
      <c r="F321" s="1272"/>
      <c r="G321"/>
    </row>
    <row r="322" spans="1:7">
      <c r="A322" s="218"/>
      <c r="B322" s="218"/>
      <c r="C322" s="218"/>
      <c r="D322" s="1272"/>
      <c r="E322" s="1272"/>
      <c r="F322" s="1272"/>
      <c r="G322"/>
    </row>
    <row r="323" spans="1:7">
      <c r="A323" s="218"/>
      <c r="B323" s="218"/>
      <c r="C323" s="218"/>
      <c r="D323" s="1272"/>
      <c r="E323" s="1272"/>
      <c r="F323" s="1272"/>
      <c r="G323"/>
    </row>
    <row r="324" spans="1:7">
      <c r="A324" s="218"/>
      <c r="B324" s="218"/>
      <c r="C324" s="218"/>
      <c r="D324" s="1272"/>
      <c r="E324" s="1272"/>
      <c r="F324" s="1272"/>
      <c r="G324"/>
    </row>
    <row r="325" spans="1:7">
      <c r="A325" s="218"/>
      <c r="B325" s="218"/>
      <c r="C325" s="218"/>
      <c r="D325" s="1272"/>
      <c r="E325" s="1272"/>
      <c r="F325" s="1272"/>
      <c r="G325"/>
    </row>
    <row r="326" spans="1:7">
      <c r="A326" s="218"/>
      <c r="B326" s="218"/>
      <c r="C326" s="218"/>
      <c r="D326" s="1272"/>
      <c r="E326" s="1272"/>
      <c r="F326" s="1272"/>
      <c r="G326"/>
    </row>
    <row r="327" spans="1:7">
      <c r="A327" s="218"/>
      <c r="B327" s="218"/>
      <c r="C327" s="218"/>
      <c r="D327" s="1272"/>
      <c r="E327" s="1272"/>
      <c r="F327" s="1272"/>
      <c r="G327"/>
    </row>
    <row r="328" spans="1:7">
      <c r="A328" s="218"/>
      <c r="B328" s="218"/>
      <c r="C328" s="218"/>
      <c r="D328" s="1272"/>
      <c r="E328" s="1272"/>
      <c r="F328" s="1272"/>
      <c r="G328"/>
    </row>
    <row r="329" spans="1:7">
      <c r="A329" s="218"/>
      <c r="B329" s="218"/>
      <c r="C329" s="218"/>
      <c r="D329" s="1272"/>
      <c r="E329" s="1272"/>
      <c r="F329" s="1272"/>
      <c r="G329"/>
    </row>
    <row r="330" spans="1:7">
      <c r="A330" s="218"/>
      <c r="B330" s="218"/>
      <c r="C330" s="218"/>
      <c r="D330"/>
      <c r="E330" s="220"/>
      <c r="F330" s="35"/>
      <c r="G330"/>
    </row>
    <row r="331" spans="1:7" ht="14.4">
      <c r="A331" s="176"/>
      <c r="B331" s="468" t="s">
        <v>308</v>
      </c>
      <c r="C331" s="218"/>
      <c r="D331" s="1272" t="s">
        <v>1225</v>
      </c>
      <c r="E331" s="1272"/>
      <c r="F331" s="1272"/>
      <c r="G331"/>
    </row>
    <row r="332" spans="1:7">
      <c r="A332" s="218"/>
      <c r="B332" s="218"/>
      <c r="C332" s="218"/>
      <c r="D332" s="1272"/>
      <c r="E332" s="1272"/>
      <c r="F332" s="1272"/>
      <c r="G332"/>
    </row>
    <row r="333" spans="1:7">
      <c r="A333" s="218"/>
      <c r="B333" s="218"/>
      <c r="C333" s="218"/>
      <c r="D333" s="1272"/>
      <c r="E333" s="1272"/>
      <c r="F333" s="1272"/>
      <c r="G333"/>
    </row>
    <row r="334" spans="1:7">
      <c r="A334" s="218"/>
      <c r="B334" s="218"/>
      <c r="C334" s="218"/>
      <c r="D334" s="1272"/>
      <c r="E334" s="1272"/>
      <c r="F334" s="1272"/>
      <c r="G334"/>
    </row>
    <row r="335" spans="1:7">
      <c r="A335" s="218"/>
      <c r="B335" s="218"/>
      <c r="C335" s="218"/>
      <c r="D335" s="220"/>
      <c r="E335" s="220"/>
      <c r="F335" s="35"/>
      <c r="G335"/>
    </row>
    <row r="336" spans="1:7">
      <c r="A336" s="218"/>
      <c r="B336" s="218"/>
      <c r="C336" s="218"/>
      <c r="D336" s="1272" t="s">
        <v>1226</v>
      </c>
      <c r="E336" s="1272"/>
      <c r="F336" s="1272"/>
      <c r="G336"/>
    </row>
    <row r="337" spans="1:7">
      <c r="A337" s="218"/>
      <c r="B337" s="218"/>
      <c r="C337" s="218"/>
      <c r="D337" s="1272"/>
      <c r="E337" s="1272"/>
      <c r="F337" s="1272"/>
      <c r="G337"/>
    </row>
    <row r="338" spans="1:7">
      <c r="A338" s="218"/>
      <c r="B338" s="218"/>
      <c r="C338" s="218"/>
      <c r="D338" s="1272"/>
      <c r="E338" s="1272"/>
      <c r="F338" s="1272"/>
      <c r="G338"/>
    </row>
    <row r="339" spans="1:7">
      <c r="A339" s="218"/>
      <c r="B339" s="218"/>
      <c r="C339" s="218"/>
      <c r="D339" s="1272"/>
      <c r="E339" s="1272"/>
      <c r="F339" s="1272"/>
      <c r="G339"/>
    </row>
    <row r="340" spans="1:7" ht="18" customHeight="1">
      <c r="A340" s="218"/>
      <c r="B340" s="218"/>
      <c r="C340" s="218"/>
      <c r="D340" s="1272"/>
      <c r="E340" s="1272"/>
      <c r="F340" s="1272"/>
      <c r="G340"/>
    </row>
    <row r="341" spans="1:7">
      <c r="A341" s="218"/>
      <c r="B341" s="218"/>
      <c r="C341" s="218"/>
      <c r="D341" s="1272"/>
      <c r="E341" s="1272"/>
      <c r="F341" s="1272"/>
      <c r="G341"/>
    </row>
    <row r="342" spans="1:7">
      <c r="A342" s="218"/>
      <c r="B342" s="218"/>
      <c r="C342" s="218"/>
      <c r="D342" s="1272"/>
      <c r="E342" s="1272"/>
      <c r="F342" s="1272"/>
      <c r="G342"/>
    </row>
    <row r="343" spans="1:7">
      <c r="A343" s="218"/>
      <c r="B343" s="218"/>
      <c r="C343" s="218"/>
      <c r="D343" s="1272"/>
      <c r="E343" s="1272"/>
      <c r="F343" s="1272"/>
      <c r="G343"/>
    </row>
    <row r="344" spans="1:7" ht="8.25" customHeight="1">
      <c r="A344" s="218"/>
      <c r="B344" s="218"/>
      <c r="C344" s="218"/>
      <c r="D344" s="1272"/>
      <c r="E344" s="1272"/>
      <c r="F344" s="1272"/>
      <c r="G344"/>
    </row>
    <row r="345" spans="1:7" ht="13.2" customHeight="1">
      <c r="A345" s="218"/>
      <c r="B345" s="218"/>
      <c r="C345" s="218"/>
      <c r="D345" s="1272" t="s">
        <v>1227</v>
      </c>
      <c r="E345" s="1272"/>
      <c r="F345" s="1272"/>
      <c r="G345"/>
    </row>
    <row r="346" spans="1:7">
      <c r="A346" s="218"/>
      <c r="B346" s="218"/>
      <c r="C346" s="218"/>
      <c r="D346" s="1272"/>
      <c r="E346" s="1272"/>
      <c r="F346" s="1272"/>
      <c r="G346"/>
    </row>
    <row r="347" spans="1:7">
      <c r="A347" s="218"/>
      <c r="B347" s="218"/>
      <c r="C347" s="218"/>
      <c r="D347" s="1272"/>
      <c r="E347" s="1272"/>
      <c r="F347" s="1272"/>
      <c r="G347"/>
    </row>
    <row r="348" spans="1:7">
      <c r="A348" s="218"/>
      <c r="B348" s="218"/>
      <c r="C348" s="218"/>
      <c r="D348" s="1272"/>
      <c r="E348" s="1272"/>
      <c r="F348" s="1272"/>
      <c r="G348"/>
    </row>
    <row r="349" spans="1:7">
      <c r="A349" s="218"/>
      <c r="B349" s="218"/>
      <c r="C349" s="218"/>
      <c r="D349" s="1272"/>
      <c r="E349" s="1272"/>
      <c r="F349" s="1272"/>
      <c r="G349"/>
    </row>
    <row r="350" spans="1:7">
      <c r="A350" s="218"/>
      <c r="B350" s="218"/>
      <c r="C350" s="218"/>
      <c r="D350" s="1272"/>
      <c r="E350" s="1272"/>
      <c r="F350" s="1272"/>
      <c r="G350"/>
    </row>
    <row r="351" spans="1:7">
      <c r="A351" s="218"/>
      <c r="B351" s="218"/>
      <c r="C351" s="218"/>
      <c r="D351" s="1272"/>
      <c r="E351" s="1272"/>
      <c r="F351" s="1272"/>
      <c r="G351"/>
    </row>
    <row r="352" spans="1:7">
      <c r="A352" s="218"/>
      <c r="B352" s="218"/>
      <c r="C352" s="218"/>
      <c r="D352" s="1272"/>
      <c r="E352" s="1272"/>
      <c r="F352" s="1272"/>
      <c r="G352"/>
    </row>
    <row r="353" spans="1:7">
      <c r="A353" s="218"/>
      <c r="B353" s="218"/>
      <c r="C353" s="218"/>
      <c r="D353" s="1272"/>
      <c r="E353" s="1272"/>
      <c r="F353" s="1272"/>
      <c r="G353"/>
    </row>
    <row r="354" spans="1:7">
      <c r="A354" s="218"/>
      <c r="B354" s="218"/>
      <c r="C354" s="218"/>
      <c r="D354" s="1272"/>
      <c r="E354" s="1272"/>
      <c r="F354" s="1272"/>
      <c r="G354"/>
    </row>
    <row r="355" spans="1:7">
      <c r="A355" s="218"/>
      <c r="B355" s="218"/>
      <c r="C355" s="218"/>
      <c r="D355" s="1272"/>
      <c r="E355" s="1272"/>
      <c r="F355" s="1272"/>
      <c r="G355"/>
    </row>
    <row r="356" spans="1:7">
      <c r="A356" s="218"/>
      <c r="B356" s="218"/>
      <c r="C356" s="218"/>
      <c r="D356" s="1272"/>
      <c r="E356" s="1272"/>
      <c r="F356" s="1272"/>
      <c r="G356"/>
    </row>
    <row r="357" spans="1:7">
      <c r="A357" s="218"/>
      <c r="B357" s="218"/>
      <c r="C357" s="347"/>
      <c r="D357" s="1272"/>
      <c r="E357" s="1272"/>
      <c r="F357" s="1272"/>
      <c r="G357"/>
    </row>
    <row r="358" spans="1:7">
      <c r="A358" s="218"/>
      <c r="B358" s="218"/>
      <c r="C358" s="347"/>
      <c r="D358" s="1272"/>
      <c r="E358" s="1272"/>
      <c r="F358" s="1272"/>
      <c r="G358"/>
    </row>
    <row r="359" spans="1:7">
      <c r="A359" s="218"/>
      <c r="B359" s="218"/>
      <c r="C359" s="218"/>
      <c r="D359" s="1272"/>
      <c r="E359" s="1272"/>
      <c r="F359" s="1272"/>
      <c r="G359"/>
    </row>
    <row r="360" spans="1:7">
      <c r="A360" s="218"/>
      <c r="B360" s="218"/>
      <c r="C360" s="347"/>
      <c r="D360" s="1272"/>
      <c r="E360" s="1272"/>
      <c r="F360" s="1272"/>
      <c r="G360"/>
    </row>
    <row r="361" spans="1:7">
      <c r="A361" s="218"/>
      <c r="B361" s="218"/>
      <c r="C361" s="347"/>
      <c r="D361" s="1272"/>
      <c r="E361" s="1272"/>
      <c r="F361" s="1272"/>
      <c r="G361"/>
    </row>
    <row r="362" spans="1:7">
      <c r="A362" s="218"/>
      <c r="B362" s="218"/>
      <c r="C362" s="347"/>
      <c r="D362" s="1272"/>
      <c r="E362" s="1272"/>
      <c r="F362" s="1272"/>
      <c r="G362"/>
    </row>
    <row r="363" spans="1:7">
      <c r="A363" s="218"/>
      <c r="B363" s="218"/>
      <c r="C363" s="218"/>
      <c r="D363" s="220"/>
      <c r="E363" s="220"/>
      <c r="F363" s="35"/>
      <c r="G363"/>
    </row>
    <row r="364" spans="1:7">
      <c r="A364" s="218"/>
      <c r="B364" s="468" t="s">
        <v>308</v>
      </c>
      <c r="C364" s="218"/>
      <c r="D364" s="1272" t="s">
        <v>1228</v>
      </c>
      <c r="E364" s="1272"/>
      <c r="F364" s="1272"/>
      <c r="G364"/>
    </row>
    <row r="365" spans="1:7">
      <c r="A365" s="218"/>
      <c r="B365" s="218"/>
      <c r="C365" s="218"/>
      <c r="D365" s="1272"/>
      <c r="E365" s="1272"/>
      <c r="F365" s="1272"/>
      <c r="G365"/>
    </row>
    <row r="366" spans="1:7">
      <c r="A366" s="218"/>
      <c r="B366" s="218"/>
      <c r="C366" s="218"/>
      <c r="D366" s="220"/>
      <c r="E366" s="220"/>
      <c r="F366" s="35"/>
      <c r="G366"/>
    </row>
    <row r="367" spans="1:7" ht="14.4">
      <c r="A367" s="176"/>
      <c r="B367" s="468" t="s">
        <v>308</v>
      </c>
      <c r="C367" s="218"/>
      <c r="D367" s="1272" t="s">
        <v>1229</v>
      </c>
      <c r="E367" s="1272"/>
      <c r="F367" s="1272"/>
      <c r="G367"/>
    </row>
    <row r="368" spans="1:7" ht="14.4">
      <c r="A368" s="346"/>
      <c r="B368" s="346"/>
      <c r="C368" s="218"/>
      <c r="D368" s="1272"/>
      <c r="E368" s="1272"/>
      <c r="F368" s="1272"/>
      <c r="G368"/>
    </row>
    <row r="369" spans="1:7" ht="14.4">
      <c r="A369" s="346"/>
      <c r="B369" s="346"/>
      <c r="C369" s="218"/>
      <c r="D369" s="1272"/>
      <c r="E369" s="1272"/>
      <c r="F369" s="1272"/>
      <c r="G369"/>
    </row>
    <row r="370" spans="1:7" ht="14.4">
      <c r="A370" s="346"/>
      <c r="B370" s="346"/>
      <c r="C370" s="218"/>
      <c r="D370" s="1272"/>
      <c r="E370" s="1272"/>
      <c r="F370" s="1272"/>
      <c r="G370"/>
    </row>
    <row r="371" spans="1:7" ht="14.4">
      <c r="A371" s="346"/>
      <c r="B371" s="346"/>
      <c r="C371" s="218"/>
      <c r="D371" s="1272"/>
      <c r="E371" s="1272"/>
      <c r="F371" s="1272"/>
      <c r="G371"/>
    </row>
    <row r="372" spans="1:7">
      <c r="D372" s="35"/>
      <c r="E372" s="35"/>
      <c r="F372" s="35"/>
      <c r="G372"/>
    </row>
    <row r="373" spans="1:7" ht="14.4">
      <c r="A373" s="176"/>
      <c r="B373" s="468" t="s">
        <v>308</v>
      </c>
      <c r="C373" s="179"/>
      <c r="D373" s="1269" t="s">
        <v>1230</v>
      </c>
      <c r="E373" s="1269"/>
      <c r="F373" s="1269"/>
      <c r="G373"/>
    </row>
    <row r="374" spans="1:7" ht="14.4">
      <c r="A374" s="176"/>
      <c r="B374" s="176"/>
      <c r="D374" s="1269"/>
      <c r="E374" s="1269"/>
      <c r="F374" s="1269"/>
      <c r="G374"/>
    </row>
    <row r="375" spans="1:7">
      <c r="D375" s="1269"/>
      <c r="E375" s="1269"/>
      <c r="F375" s="1269"/>
      <c r="G375"/>
    </row>
    <row r="376" spans="1:7">
      <c r="D376" s="1269"/>
      <c r="E376" s="1269"/>
      <c r="F376" s="1269"/>
      <c r="G376"/>
    </row>
    <row r="377" spans="1:7">
      <c r="D377" s="1269"/>
      <c r="E377" s="1269"/>
      <c r="F377" s="1269"/>
      <c r="G377"/>
    </row>
    <row r="378" spans="1:7">
      <c r="D378" s="1269"/>
      <c r="E378" s="1269"/>
      <c r="F378" s="1269"/>
      <c r="G378"/>
    </row>
    <row r="379" spans="1:7">
      <c r="D379" s="1269"/>
      <c r="E379" s="1269"/>
      <c r="F379" s="1269"/>
      <c r="G379"/>
    </row>
    <row r="380" spans="1:7">
      <c r="D380" s="1269"/>
      <c r="E380" s="1269"/>
      <c r="F380" s="1269"/>
      <c r="G380"/>
    </row>
    <row r="381" spans="1:7">
      <c r="D381" s="1269"/>
      <c r="E381" s="1269"/>
      <c r="F381" s="1269"/>
      <c r="G381"/>
    </row>
    <row r="382" spans="1:7">
      <c r="D382" s="1269"/>
      <c r="E382" s="1269"/>
      <c r="F382" s="1269"/>
      <c r="G382"/>
    </row>
    <row r="383" spans="1:7">
      <c r="D383" s="1269"/>
      <c r="E383" s="1269"/>
      <c r="F383" s="1269"/>
      <c r="G383"/>
    </row>
    <row r="384" spans="1:7">
      <c r="D384" s="1269"/>
      <c r="E384" s="1269"/>
      <c r="F384" s="1269"/>
      <c r="G384"/>
    </row>
    <row r="385" spans="1:7">
      <c r="D385" s="1269"/>
      <c r="E385" s="1269"/>
      <c r="F385" s="1269"/>
      <c r="G385"/>
    </row>
    <row r="386" spans="1:7">
      <c r="A386"/>
      <c r="B386"/>
      <c r="C386"/>
      <c r="D386" s="1269"/>
      <c r="E386" s="1269"/>
      <c r="F386" s="1269"/>
      <c r="G386"/>
    </row>
    <row r="387" spans="1:7">
      <c r="A387"/>
      <c r="B387"/>
      <c r="C387"/>
      <c r="D387" s="1269"/>
      <c r="E387" s="1269"/>
      <c r="F387" s="1269"/>
      <c r="G387"/>
    </row>
    <row r="388" spans="1:7">
      <c r="A388"/>
      <c r="B388"/>
      <c r="C388"/>
      <c r="D388" s="1269"/>
      <c r="E388" s="1269"/>
      <c r="F388" s="1269"/>
      <c r="G388"/>
    </row>
    <row r="389" spans="1:7">
      <c r="A389"/>
      <c r="B389"/>
      <c r="C389"/>
      <c r="D389" s="1269"/>
      <c r="E389" s="1269"/>
      <c r="F389" s="1269"/>
      <c r="G389"/>
    </row>
    <row r="390" spans="1:7">
      <c r="A390"/>
      <c r="B390"/>
      <c r="C390"/>
      <c r="D390" s="1269"/>
      <c r="E390" s="1269"/>
      <c r="F390" s="1269"/>
      <c r="G390"/>
    </row>
    <row r="391" spans="1:7">
      <c r="A391"/>
      <c r="B391"/>
      <c r="C391"/>
      <c r="D391" s="1269"/>
      <c r="E391" s="1269"/>
      <c r="F391" s="1269"/>
      <c r="G391"/>
    </row>
    <row r="392" spans="1:7">
      <c r="A392"/>
      <c r="B392"/>
      <c r="C392"/>
      <c r="D392" s="1269"/>
      <c r="E392" s="1269"/>
      <c r="F392" s="1269"/>
      <c r="G392"/>
    </row>
    <row r="393" spans="1:7">
      <c r="A393"/>
      <c r="B393"/>
      <c r="C393"/>
      <c r="D393" s="1269"/>
      <c r="E393" s="1269"/>
      <c r="F393" s="1269"/>
      <c r="G393"/>
    </row>
    <row r="394" spans="1:7">
      <c r="A394"/>
      <c r="B394"/>
      <c r="C394"/>
      <c r="D394" s="1269"/>
      <c r="E394" s="1269"/>
      <c r="F394" s="1269"/>
      <c r="G394"/>
    </row>
    <row r="395" spans="1:7">
      <c r="A395"/>
      <c r="B395"/>
      <c r="C395"/>
      <c r="D395" s="1269"/>
      <c r="E395" s="1269"/>
      <c r="F395" s="1269"/>
      <c r="G395"/>
    </row>
    <row r="396" spans="1:7">
      <c r="A396"/>
      <c r="B396"/>
      <c r="C396"/>
      <c r="D396" s="1269"/>
      <c r="E396" s="1269"/>
      <c r="F396" s="1269"/>
      <c r="G396"/>
    </row>
    <row r="397" spans="1:7">
      <c r="A397"/>
      <c r="B397"/>
      <c r="C397"/>
      <c r="D397" s="1269"/>
      <c r="E397" s="1269"/>
      <c r="F397" s="1269"/>
      <c r="G397"/>
    </row>
    <row r="398" spans="1:7">
      <c r="A398"/>
      <c r="B398"/>
      <c r="C398"/>
      <c r="D398" s="1269"/>
      <c r="E398" s="1269"/>
      <c r="F398" s="1269"/>
      <c r="G398"/>
    </row>
    <row r="399" spans="1:7">
      <c r="A399"/>
      <c r="B399"/>
      <c r="C399"/>
      <c r="D399" s="1269"/>
      <c r="E399" s="1269"/>
      <c r="F399" s="1269"/>
      <c r="G399"/>
    </row>
    <row r="400" spans="1:7">
      <c r="A400"/>
      <c r="B400"/>
      <c r="C400"/>
      <c r="D400" s="1269"/>
      <c r="E400" s="1269"/>
      <c r="F400" s="1269"/>
      <c r="G400"/>
    </row>
    <row r="401" spans="1:7">
      <c r="A401"/>
      <c r="B401"/>
      <c r="C401"/>
      <c r="D401" s="1269"/>
      <c r="E401" s="1269"/>
      <c r="F401" s="1269"/>
      <c r="G401"/>
    </row>
    <row r="402" spans="1:7">
      <c r="D402" s="1269"/>
      <c r="E402" s="1269"/>
      <c r="F402" s="1269"/>
    </row>
    <row r="403" spans="1:7" ht="40.799999999999997" customHeight="1">
      <c r="D403" s="1269"/>
      <c r="E403" s="1269"/>
      <c r="F403" s="1269"/>
    </row>
    <row r="404" spans="1:7">
      <c r="D404" s="35"/>
      <c r="E404" s="35"/>
      <c r="F404" s="35"/>
    </row>
    <row r="405" spans="1:7" ht="14.4">
      <c r="A405" s="176"/>
      <c r="B405" s="468" t="s">
        <v>308</v>
      </c>
      <c r="C405" s="179"/>
      <c r="D405" s="1289" t="s">
        <v>1231</v>
      </c>
      <c r="E405" s="1289"/>
      <c r="F405" s="1289"/>
    </row>
    <row r="406" spans="1:7">
      <c r="D406" s="1314" t="s">
        <v>1006</v>
      </c>
      <c r="E406" s="1314"/>
      <c r="F406" s="1314"/>
    </row>
    <row r="407" spans="1:7">
      <c r="D407" s="1269" t="s">
        <v>1232</v>
      </c>
      <c r="E407" s="1269"/>
      <c r="F407" s="1269"/>
    </row>
    <row r="408" spans="1:7">
      <c r="D408" s="1269"/>
      <c r="E408" s="1269"/>
      <c r="F408" s="1269"/>
    </row>
    <row r="409" spans="1:7">
      <c r="D409" s="1269"/>
      <c r="E409" s="1269"/>
      <c r="F409" s="1269"/>
    </row>
    <row r="410" spans="1:7">
      <c r="D410" s="1269"/>
      <c r="E410" s="1269"/>
      <c r="F410" s="1269"/>
    </row>
    <row r="411" spans="1:7">
      <c r="D411" s="35"/>
      <c r="E411" s="35"/>
      <c r="F411" s="35"/>
      <c r="G411"/>
    </row>
    <row r="412" spans="1:7" ht="14.4">
      <c r="A412" s="176"/>
      <c r="B412" s="468" t="s">
        <v>308</v>
      </c>
      <c r="C412" s="179"/>
      <c r="D412" s="1269" t="s">
        <v>1233</v>
      </c>
      <c r="E412" s="1269"/>
      <c r="F412" s="1269"/>
      <c r="G412"/>
    </row>
    <row r="413" spans="1:7">
      <c r="D413" s="1269"/>
      <c r="E413" s="1269"/>
      <c r="F413" s="1269"/>
      <c r="G413"/>
    </row>
    <row r="414" spans="1:7">
      <c r="D414" s="1269"/>
      <c r="E414" s="1269"/>
      <c r="F414" s="1269"/>
      <c r="G414"/>
    </row>
    <row r="415" spans="1:7">
      <c r="D415" s="474"/>
      <c r="E415" s="474"/>
      <c r="F415" s="474"/>
      <c r="G415"/>
    </row>
    <row r="416" spans="1:7" ht="14.4">
      <c r="B416" s="468" t="s">
        <v>308</v>
      </c>
      <c r="C416" s="176"/>
      <c r="D416" s="1269" t="s">
        <v>1234</v>
      </c>
      <c r="E416" s="1269"/>
      <c r="F416" s="1269"/>
      <c r="G416"/>
    </row>
    <row r="417" spans="1:7">
      <c r="D417" s="1269"/>
      <c r="E417" s="1269"/>
      <c r="F417" s="1269"/>
      <c r="G417"/>
    </row>
    <row r="418" spans="1:7">
      <c r="D418" s="35"/>
      <c r="E418" s="35"/>
      <c r="F418" s="35"/>
      <c r="G418"/>
    </row>
    <row r="419" spans="1:7" ht="14.4">
      <c r="B419" s="468" t="s">
        <v>308</v>
      </c>
      <c r="C419" s="176"/>
      <c r="D419" s="1269" t="s">
        <v>1235</v>
      </c>
      <c r="E419" s="1269"/>
      <c r="F419" s="1269"/>
      <c r="G419"/>
    </row>
    <row r="420" spans="1:7">
      <c r="D420" s="1269"/>
      <c r="E420" s="1269"/>
      <c r="F420" s="1269"/>
      <c r="G420"/>
    </row>
    <row r="421" spans="1:7">
      <c r="D421" s="1269"/>
      <c r="E421" s="1269"/>
      <c r="F421" s="1269"/>
      <c r="G421"/>
    </row>
    <row r="422" spans="1:7">
      <c r="D422" s="1269"/>
      <c r="E422" s="1269"/>
      <c r="F422" s="1269"/>
      <c r="G422"/>
    </row>
    <row r="423" spans="1:7">
      <c r="B423" s="468" t="s">
        <v>308</v>
      </c>
      <c r="D423" s="1269"/>
      <c r="E423" s="1269"/>
      <c r="F423" s="1269"/>
      <c r="G423"/>
    </row>
    <row r="424" spans="1:7">
      <c r="A424"/>
      <c r="B424"/>
      <c r="C424"/>
      <c r="D424" s="1269"/>
      <c r="E424" s="1269"/>
      <c r="F424" s="1269"/>
      <c r="G424"/>
    </row>
    <row r="425" spans="1:7">
      <c r="A425"/>
      <c r="C425"/>
      <c r="D425" s="1269"/>
      <c r="E425" s="1269"/>
      <c r="F425" s="1269"/>
      <c r="G425"/>
    </row>
    <row r="426" spans="1:7">
      <c r="A426"/>
      <c r="B426" s="468" t="s">
        <v>308</v>
      </c>
      <c r="C426"/>
      <c r="D426" s="1269"/>
      <c r="E426" s="1269"/>
      <c r="F426" s="1269"/>
      <c r="G426"/>
    </row>
    <row r="427" spans="1:7">
      <c r="A427"/>
      <c r="B427"/>
      <c r="C427"/>
      <c r="D427" s="1269"/>
      <c r="E427" s="1269"/>
      <c r="F427" s="1269"/>
      <c r="G427"/>
    </row>
    <row r="428" spans="1:7">
      <c r="A428"/>
      <c r="C428"/>
      <c r="D428" s="1269"/>
      <c r="E428" s="1269"/>
      <c r="F428" s="1269"/>
      <c r="G428"/>
    </row>
    <row r="429" spans="1:7">
      <c r="A429"/>
      <c r="C429"/>
      <c r="D429" s="1269"/>
      <c r="E429" s="1269"/>
      <c r="F429" s="1269"/>
      <c r="G429"/>
    </row>
    <row r="430" spans="1:7">
      <c r="A430"/>
      <c r="B430" s="468" t="s">
        <v>308</v>
      </c>
      <c r="C430"/>
      <c r="D430" s="1269"/>
      <c r="E430" s="1269"/>
      <c r="F430" s="1269"/>
      <c r="G430"/>
    </row>
    <row r="431" spans="1:7">
      <c r="A431"/>
      <c r="B431"/>
      <c r="C431"/>
      <c r="D431" s="1269"/>
      <c r="E431" s="1269"/>
      <c r="F431" s="1269"/>
      <c r="G431"/>
    </row>
    <row r="432" spans="1:7">
      <c r="A432"/>
      <c r="B432" s="468" t="s">
        <v>308</v>
      </c>
      <c r="C432"/>
      <c r="D432" s="1269"/>
      <c r="E432" s="1269"/>
      <c r="F432" s="1269"/>
      <c r="G432"/>
    </row>
    <row r="433" spans="1:7">
      <c r="A433"/>
      <c r="B433"/>
      <c r="C433"/>
      <c r="D433" s="474"/>
      <c r="E433" s="474"/>
      <c r="F433" s="474"/>
      <c r="G433"/>
    </row>
    <row r="434" spans="1:7">
      <c r="A434"/>
      <c r="B434" s="468" t="s">
        <v>308</v>
      </c>
      <c r="C434"/>
      <c r="D434" s="1269" t="s">
        <v>1236</v>
      </c>
      <c r="E434" s="1269"/>
      <c r="F434" s="1269"/>
      <c r="G434"/>
    </row>
    <row r="435" spans="1:7">
      <c r="A435"/>
      <c r="B435"/>
      <c r="C435"/>
      <c r="D435" s="1269"/>
      <c r="E435" s="1269"/>
      <c r="F435" s="1269"/>
      <c r="G435"/>
    </row>
    <row r="436" spans="1:7">
      <c r="A436"/>
      <c r="B436"/>
      <c r="C436"/>
      <c r="D436" s="1269"/>
      <c r="E436" s="1269"/>
      <c r="F436" s="1269"/>
      <c r="G436"/>
    </row>
    <row r="437" spans="1:7">
      <c r="A437"/>
      <c r="B437"/>
      <c r="C437"/>
      <c r="D437" s="1269"/>
      <c r="E437" s="1269"/>
      <c r="F437" s="1269"/>
      <c r="G437"/>
    </row>
    <row r="438" spans="1:7">
      <c r="D438" s="1269"/>
      <c r="E438" s="1269"/>
      <c r="F438" s="1269"/>
    </row>
    <row r="439" spans="1:7">
      <c r="D439" s="35"/>
      <c r="E439" s="35"/>
      <c r="F439" s="35"/>
    </row>
    <row r="440" spans="1:7">
      <c r="B440" s="468" t="s">
        <v>308</v>
      </c>
      <c r="D440" s="1289" t="s">
        <v>1237</v>
      </c>
      <c r="E440" s="1289"/>
      <c r="F440" s="1289"/>
    </row>
    <row r="441" spans="1:7">
      <c r="A441" s="35"/>
      <c r="B441" s="35"/>
    </row>
    <row r="442" spans="1:7">
      <c r="A442" s="1290" t="s">
        <v>1078</v>
      </c>
      <c r="B442" s="1290"/>
      <c r="C442" s="1290"/>
      <c r="D442" s="1290"/>
      <c r="E442" s="1290"/>
      <c r="F442" s="1290"/>
      <c r="G442" s="1290"/>
    </row>
    <row r="443" spans="1:7">
      <c r="A443" s="35"/>
      <c r="B443" s="35"/>
    </row>
    <row r="444" spans="1:7">
      <c r="D444" s="1320" t="s">
        <v>895</v>
      </c>
      <c r="E444" s="1320"/>
      <c r="F444" s="1320"/>
    </row>
    <row r="445" spans="1:7" ht="14.4">
      <c r="A445" s="176"/>
      <c r="B445" s="176"/>
      <c r="D445" s="1317" t="s">
        <v>1238</v>
      </c>
      <c r="E445" s="1317"/>
      <c r="F445" s="1317"/>
    </row>
    <row r="446" spans="1:7" ht="14.4">
      <c r="A446" s="176"/>
      <c r="B446" s="176"/>
      <c r="D446" s="481"/>
      <c r="E446" s="3"/>
      <c r="F446" s="3"/>
    </row>
    <row r="447" spans="1:7" ht="14.4">
      <c r="A447" s="176"/>
      <c r="B447" s="468" t="s">
        <v>308</v>
      </c>
      <c r="D447" s="1272" t="s">
        <v>1239</v>
      </c>
      <c r="E447" s="1272"/>
      <c r="F447" s="1272"/>
    </row>
    <row r="448" spans="1:7" ht="14.4">
      <c r="A448" s="176"/>
      <c r="B448" s="176"/>
      <c r="D448" s="1272"/>
      <c r="E448" s="1272"/>
      <c r="F448" s="1272"/>
    </row>
    <row r="449" spans="1:7" ht="14.4">
      <c r="A449" s="176"/>
      <c r="B449" s="176"/>
      <c r="D449" s="118"/>
      <c r="E449" s="3"/>
      <c r="F449" s="3"/>
    </row>
    <row r="450" spans="1:7">
      <c r="B450" s="468" t="s">
        <v>308</v>
      </c>
      <c r="D450" s="1306" t="s">
        <v>1240</v>
      </c>
      <c r="E450" s="1306"/>
      <c r="F450" s="1306"/>
    </row>
    <row r="451" spans="1:7" ht="14.4">
      <c r="A451" s="176"/>
      <c r="D451" s="1306"/>
      <c r="E451" s="1306"/>
      <c r="F451" s="1306"/>
    </row>
    <row r="452" spans="1:7" ht="14.4">
      <c r="A452" s="176"/>
      <c r="B452" s="176"/>
      <c r="D452" s="1306"/>
      <c r="E452" s="1306"/>
      <c r="F452" s="1306"/>
    </row>
    <row r="453" spans="1:7" ht="14.4">
      <c r="A453" s="176"/>
      <c r="B453" s="176"/>
      <c r="D453" s="1306"/>
      <c r="E453" s="1306"/>
      <c r="F453" s="1306"/>
    </row>
    <row r="454" spans="1:7">
      <c r="D454" s="3"/>
      <c r="E454" s="3"/>
      <c r="F454" s="3"/>
      <c r="G454"/>
    </row>
    <row r="455" spans="1:7" ht="14.4">
      <c r="A455" s="176"/>
      <c r="B455" s="468" t="s">
        <v>308</v>
      </c>
      <c r="D455" s="1269" t="s">
        <v>1241</v>
      </c>
      <c r="E455" s="1269"/>
      <c r="F455" s="1269"/>
      <c r="G455"/>
    </row>
    <row r="456" spans="1:7" ht="14.4">
      <c r="A456" s="176"/>
      <c r="B456" s="176"/>
      <c r="D456" s="1269"/>
      <c r="E456" s="1269"/>
      <c r="F456" s="1269"/>
      <c r="G456"/>
    </row>
    <row r="457" spans="1:7" ht="14.4">
      <c r="A457" s="176"/>
      <c r="D457" s="1269"/>
      <c r="E457" s="1269"/>
      <c r="F457" s="1269"/>
      <c r="G457"/>
    </row>
    <row r="458" spans="1:7" ht="14.4">
      <c r="A458" s="176"/>
      <c r="B458" s="176"/>
      <c r="D458" s="3"/>
      <c r="E458" s="3"/>
      <c r="F458" s="3"/>
      <c r="G458"/>
    </row>
    <row r="459" spans="1:7" ht="14.4">
      <c r="A459" s="176"/>
      <c r="B459" s="468" t="s">
        <v>308</v>
      </c>
      <c r="D459" s="1289" t="s">
        <v>1242</v>
      </c>
      <c r="E459" s="1289"/>
      <c r="F459" s="1289"/>
      <c r="G459"/>
    </row>
    <row r="460" spans="1:7" ht="14.4">
      <c r="A460" s="176"/>
      <c r="B460" s="176"/>
      <c r="D460" s="118"/>
      <c r="E460" s="3"/>
      <c r="F460" s="3"/>
      <c r="G460"/>
    </row>
    <row r="461" spans="1:7" ht="14.4">
      <c r="A461" s="176"/>
      <c r="B461" s="468" t="s">
        <v>308</v>
      </c>
      <c r="D461" s="1269" t="s">
        <v>1243</v>
      </c>
      <c r="E461" s="1269"/>
      <c r="F461" s="1269"/>
      <c r="G461"/>
    </row>
    <row r="462" spans="1:7" ht="14.4">
      <c r="A462" s="176"/>
      <c r="D462" s="1269"/>
      <c r="E462" s="1269"/>
      <c r="F462" s="1269"/>
      <c r="G462"/>
    </row>
    <row r="463" spans="1:7">
      <c r="A463" s="13"/>
      <c r="B463" s="13"/>
      <c r="D463" s="481"/>
      <c r="E463" s="3"/>
      <c r="F463" s="3"/>
      <c r="G463"/>
    </row>
    <row r="464" spans="1:7">
      <c r="A464" s="13"/>
      <c r="B464" s="468" t="s">
        <v>308</v>
      </c>
      <c r="D464" s="1289" t="s">
        <v>1244</v>
      </c>
      <c r="E464" s="1289"/>
      <c r="F464" s="1289"/>
      <c r="G464"/>
    </row>
    <row r="465" spans="1:7" ht="14.4">
      <c r="A465" s="176"/>
      <c r="B465" s="176"/>
      <c r="D465" s="35"/>
    </row>
    <row r="466" spans="1:7">
      <c r="A466" s="1290" t="s">
        <v>1079</v>
      </c>
      <c r="B466" s="1290"/>
      <c r="C466" s="1290"/>
      <c r="D466" s="1290"/>
      <c r="E466" s="1290"/>
      <c r="F466" s="1290"/>
      <c r="G466" s="1290"/>
    </row>
    <row r="467" spans="1:7" ht="12" customHeight="1">
      <c r="A467" s="176"/>
      <c r="B467" s="176"/>
      <c r="D467" s="35"/>
    </row>
    <row r="468" spans="1:7">
      <c r="C468" s="172"/>
      <c r="D468" s="1288" t="s">
        <v>802</v>
      </c>
      <c r="E468" s="1288"/>
      <c r="F468" s="1288"/>
    </row>
    <row r="469" spans="1:7" ht="13.2" customHeight="1">
      <c r="A469" s="175"/>
      <c r="B469" s="175"/>
      <c r="C469" s="175"/>
      <c r="D469" s="1321" t="s">
        <v>1122</v>
      </c>
      <c r="E469" s="1321"/>
      <c r="F469" s="1321"/>
    </row>
    <row r="470" spans="1:7">
      <c r="A470" s="175"/>
      <c r="B470" s="175"/>
      <c r="C470" s="175"/>
      <c r="D470" s="1321"/>
      <c r="E470" s="1321"/>
      <c r="F470" s="1321"/>
    </row>
    <row r="471" spans="1:7">
      <c r="A471" s="175"/>
      <c r="B471" s="175"/>
      <c r="C471" s="175"/>
      <c r="D471" s="1321"/>
      <c r="E471" s="1321"/>
      <c r="F471" s="1321"/>
    </row>
    <row r="472" spans="1:7">
      <c r="A472" s="175"/>
      <c r="B472" s="175"/>
      <c r="C472" s="175"/>
      <c r="D472" s="1321"/>
      <c r="E472" s="1321"/>
      <c r="F472" s="1321"/>
    </row>
    <row r="473" spans="1:7">
      <c r="A473" s="175"/>
      <c r="B473" s="175"/>
      <c r="C473" s="175"/>
      <c r="D473" s="1321"/>
      <c r="E473" s="1321"/>
      <c r="F473" s="1321"/>
    </row>
    <row r="474" spans="1:7">
      <c r="A474" s="175"/>
      <c r="B474" s="175"/>
      <c r="C474" s="175"/>
      <c r="D474" s="326"/>
      <c r="F474" s="35"/>
    </row>
    <row r="475" spans="1:7" ht="14.55" customHeight="1">
      <c r="A475" s="176"/>
      <c r="B475" s="468" t="s">
        <v>308</v>
      </c>
      <c r="C475" s="175"/>
      <c r="D475" s="1305" t="s">
        <v>1113</v>
      </c>
      <c r="E475" s="1305"/>
      <c r="F475" s="1305"/>
    </row>
    <row r="476" spans="1:7">
      <c r="A476" s="175"/>
      <c r="B476" s="175"/>
      <c r="C476" s="175"/>
      <c r="D476" s="1305"/>
      <c r="E476" s="1305"/>
      <c r="F476" s="1305"/>
    </row>
    <row r="477" spans="1:7">
      <c r="A477" s="175"/>
      <c r="B477" s="175"/>
      <c r="C477" s="175"/>
      <c r="D477" s="1305"/>
      <c r="E477" s="1305"/>
      <c r="F477" s="1305"/>
    </row>
    <row r="478" spans="1:7">
      <c r="A478" s="175"/>
      <c r="B478" s="175"/>
      <c r="C478" s="175"/>
      <c r="D478" s="1305"/>
      <c r="E478" s="1305"/>
      <c r="F478" s="1305"/>
    </row>
    <row r="479" spans="1:7">
      <c r="A479" s="175"/>
      <c r="B479" s="175"/>
      <c r="C479" s="175"/>
      <c r="D479" s="1305"/>
      <c r="E479" s="1305"/>
      <c r="F479" s="1305"/>
    </row>
    <row r="480" spans="1:7">
      <c r="A480" s="175"/>
      <c r="B480" s="175"/>
      <c r="C480" s="175"/>
      <c r="D480" s="220"/>
      <c r="F480" s="35"/>
    </row>
    <row r="481" spans="1:6" ht="14.55" customHeight="1">
      <c r="A481" s="176"/>
      <c r="B481" s="468" t="s">
        <v>308</v>
      </c>
      <c r="C481" s="175"/>
      <c r="D481" s="1305" t="s">
        <v>1116</v>
      </c>
      <c r="E481" s="1305"/>
      <c r="F481" s="1305"/>
    </row>
    <row r="482" spans="1:6">
      <c r="A482" s="175"/>
      <c r="B482" s="175"/>
      <c r="C482" s="175"/>
      <c r="D482" s="1305"/>
      <c r="E482" s="1305"/>
      <c r="F482" s="1305"/>
    </row>
    <row r="483" spans="1:6">
      <c r="A483" s="175"/>
      <c r="B483" s="175"/>
      <c r="C483" s="175"/>
      <c r="D483" s="1305"/>
      <c r="E483" s="1305"/>
      <c r="F483" s="1305"/>
    </row>
    <row r="484" spans="1:6">
      <c r="A484" s="175"/>
      <c r="B484" s="175"/>
      <c r="C484" s="175"/>
      <c r="D484" s="1305"/>
      <c r="E484" s="1305"/>
      <c r="F484" s="1305"/>
    </row>
    <row r="485" spans="1:6" ht="10.050000000000001" customHeight="1">
      <c r="A485" s="175"/>
      <c r="B485" s="175"/>
      <c r="C485" s="175"/>
      <c r="D485" s="220"/>
      <c r="F485" s="35"/>
    </row>
    <row r="486" spans="1:6" ht="14.55" customHeight="1">
      <c r="A486" s="176"/>
      <c r="B486" s="468" t="s">
        <v>308</v>
      </c>
      <c r="C486" s="175"/>
      <c r="D486" s="1305" t="s">
        <v>1114</v>
      </c>
      <c r="E486" s="1305"/>
      <c r="F486" s="1305"/>
    </row>
    <row r="487" spans="1:6">
      <c r="A487" s="175"/>
      <c r="B487" s="175"/>
      <c r="C487" s="175"/>
      <c r="D487" s="1305"/>
      <c r="E487" s="1305"/>
      <c r="F487" s="1305"/>
    </row>
    <row r="488" spans="1:6">
      <c r="A488" s="175"/>
      <c r="B488" s="175"/>
      <c r="C488" s="175"/>
      <c r="D488" s="1305"/>
      <c r="E488" s="1305"/>
      <c r="F488" s="1305"/>
    </row>
    <row r="489" spans="1:6">
      <c r="A489" s="175"/>
      <c r="B489" s="175"/>
      <c r="C489" s="175"/>
      <c r="D489" s="475"/>
      <c r="E489" s="475"/>
      <c r="F489" s="475"/>
    </row>
    <row r="490" spans="1:6" ht="14.55" customHeight="1">
      <c r="A490" s="176"/>
      <c r="B490" s="468" t="s">
        <v>308</v>
      </c>
      <c r="C490" s="175"/>
      <c r="D490" s="1305" t="s">
        <v>1115</v>
      </c>
      <c r="E490" s="1305"/>
      <c r="F490" s="1305"/>
    </row>
    <row r="491" spans="1:6">
      <c r="A491" s="175"/>
      <c r="B491" s="175"/>
      <c r="C491" s="175"/>
      <c r="D491" s="1305"/>
      <c r="E491" s="1305"/>
      <c r="F491" s="1305"/>
    </row>
    <row r="492" spans="1:6">
      <c r="A492" s="175"/>
      <c r="B492" s="175"/>
      <c r="C492" s="175"/>
      <c r="D492" s="1305"/>
      <c r="E492" s="1305"/>
      <c r="F492" s="1305"/>
    </row>
    <row r="493" spans="1:6">
      <c r="A493" s="175"/>
      <c r="B493" s="175"/>
      <c r="C493" s="175"/>
      <c r="D493" s="1305"/>
      <c r="E493" s="1305"/>
      <c r="F493" s="1305"/>
    </row>
    <row r="494" spans="1:6">
      <c r="A494" s="175"/>
      <c r="B494" s="175"/>
      <c r="C494" s="175"/>
      <c r="D494" s="1305"/>
      <c r="E494" s="1305"/>
      <c r="F494" s="1305"/>
    </row>
    <row r="495" spans="1:6">
      <c r="A495" s="175"/>
      <c r="B495" s="175"/>
      <c r="C495" s="175"/>
      <c r="D495" s="1305"/>
      <c r="E495" s="1305"/>
      <c r="F495" s="1305"/>
    </row>
    <row r="496" spans="1:6">
      <c r="A496" s="175"/>
      <c r="B496" s="175"/>
      <c r="C496" s="175"/>
      <c r="D496" s="1305"/>
      <c r="E496" s="1305"/>
      <c r="F496" s="1305"/>
    </row>
    <row r="497" spans="1:7">
      <c r="A497" s="175"/>
      <c r="B497" s="175"/>
      <c r="C497" s="175"/>
      <c r="D497" s="1305"/>
      <c r="E497" s="1305"/>
      <c r="F497" s="1305"/>
    </row>
    <row r="498" spans="1:7">
      <c r="A498" s="175"/>
      <c r="B498" s="175"/>
      <c r="C498" s="175"/>
      <c r="D498" s="1305"/>
      <c r="E498" s="1305"/>
      <c r="F498" s="1305"/>
    </row>
    <row r="499" spans="1:7">
      <c r="A499" s="175"/>
      <c r="B499" s="175"/>
      <c r="C499" s="175"/>
      <c r="D499" s="220"/>
      <c r="F499" s="35"/>
    </row>
    <row r="500" spans="1:7" ht="13.2" customHeight="1">
      <c r="A500" s="175"/>
      <c r="B500" s="468" t="s">
        <v>308</v>
      </c>
      <c r="C500" s="175"/>
      <c r="D500" s="1272" t="s">
        <v>1259</v>
      </c>
      <c r="E500" s="1272"/>
      <c r="F500" s="1272"/>
    </row>
    <row r="501" spans="1:7">
      <c r="A501" s="175"/>
      <c r="B501" s="175"/>
      <c r="C501" s="175"/>
      <c r="D501" s="1272"/>
      <c r="E501" s="1272"/>
      <c r="F501" s="1272"/>
    </row>
    <row r="502" spans="1:7">
      <c r="A502" s="175"/>
      <c r="B502" s="175"/>
      <c r="C502" s="175"/>
      <c r="D502" s="1272"/>
      <c r="E502" s="1272"/>
      <c r="F502" s="1272"/>
    </row>
    <row r="503" spans="1:7">
      <c r="A503" s="175"/>
      <c r="B503" s="175"/>
      <c r="C503" s="175"/>
      <c r="D503" s="1272"/>
      <c r="E503" s="1272"/>
      <c r="F503" s="1272"/>
    </row>
    <row r="504" spans="1:7">
      <c r="A504" s="175"/>
      <c r="B504" s="175"/>
      <c r="C504" s="175"/>
      <c r="D504" s="1272"/>
      <c r="E504" s="1272"/>
      <c r="F504" s="1272"/>
    </row>
    <row r="505" spans="1:7">
      <c r="A505" s="175"/>
      <c r="B505" s="175"/>
      <c r="C505" s="175"/>
      <c r="D505" s="485"/>
      <c r="E505" s="485"/>
      <c r="F505" s="485"/>
    </row>
    <row r="506" spans="1:7" ht="14.55" customHeight="1">
      <c r="A506" s="176"/>
      <c r="B506" s="468" t="s">
        <v>308</v>
      </c>
      <c r="D506" s="1305" t="s">
        <v>1117</v>
      </c>
      <c r="E506" s="1305"/>
      <c r="F506" s="1305"/>
    </row>
    <row r="507" spans="1:7">
      <c r="D507" s="1305"/>
      <c r="E507" s="1305"/>
      <c r="F507" s="1305"/>
    </row>
    <row r="508" spans="1:7">
      <c r="D508" s="1305"/>
      <c r="E508" s="1305"/>
      <c r="F508" s="1305"/>
    </row>
    <row r="509" spans="1:7" ht="12" customHeight="1">
      <c r="A509" s="35"/>
      <c r="B509" s="35"/>
      <c r="C509" s="179"/>
      <c r="D509" s="35"/>
      <c r="F509" s="57"/>
    </row>
    <row r="510" spans="1:7">
      <c r="A510" s="1290" t="s">
        <v>1080</v>
      </c>
      <c r="B510" s="1290"/>
      <c r="C510" s="1290"/>
      <c r="D510" s="1290"/>
      <c r="E510" s="1290"/>
      <c r="F510" s="1290"/>
      <c r="G510" s="1290"/>
    </row>
    <row r="511" spans="1:7">
      <c r="A511" s="35"/>
      <c r="B511" s="35"/>
      <c r="C511" s="179"/>
      <c r="F511" s="57"/>
    </row>
    <row r="512" spans="1:7">
      <c r="B512" s="1287" t="s">
        <v>448</v>
      </c>
      <c r="C512" s="1287"/>
      <c r="D512" s="1287"/>
      <c r="E512" s="1287"/>
      <c r="F512" s="1287"/>
    </row>
    <row r="513" spans="1:7">
      <c r="A513" s="35"/>
      <c r="B513" s="35"/>
      <c r="C513" s="179"/>
      <c r="D513" s="35"/>
      <c r="F513" s="35"/>
    </row>
    <row r="514" spans="1:7">
      <c r="A514" s="1291" t="s">
        <v>1081</v>
      </c>
      <c r="B514" s="1291"/>
      <c r="C514" s="1291"/>
      <c r="D514" s="1291"/>
      <c r="E514" s="1291"/>
      <c r="F514" s="1291"/>
      <c r="G514" s="1291"/>
    </row>
    <row r="515" spans="1:7">
      <c r="A515" s="35"/>
      <c r="B515" s="35"/>
      <c r="C515" s="179"/>
      <c r="D515" s="35"/>
      <c r="F515" s="35"/>
    </row>
    <row r="516" spans="1:7">
      <c r="C516" s="179"/>
      <c r="D516" s="1288" t="s">
        <v>691</v>
      </c>
      <c r="E516" s="1288"/>
      <c r="F516" s="1288"/>
    </row>
    <row r="517" spans="1:7">
      <c r="C517" s="179"/>
      <c r="D517" s="1289" t="s">
        <v>1138</v>
      </c>
      <c r="E517" s="1289"/>
      <c r="F517" s="1289"/>
    </row>
    <row r="518" spans="1:7">
      <c r="C518" s="179"/>
      <c r="D518" s="118"/>
      <c r="E518" s="118"/>
      <c r="F518" s="118"/>
    </row>
    <row r="519" spans="1:7" ht="13.2" customHeight="1">
      <c r="A519" s="176"/>
      <c r="B519" s="468" t="s">
        <v>308</v>
      </c>
      <c r="C519" s="179"/>
      <c r="D519" s="1289" t="s">
        <v>896</v>
      </c>
      <c r="E519" s="1289"/>
      <c r="F519" s="1289"/>
      <c r="G519"/>
    </row>
    <row r="520" spans="1:7" ht="13.2" customHeight="1">
      <c r="A520" s="179"/>
      <c r="B520" s="179"/>
      <c r="C520" s="179"/>
      <c r="D520" s="118"/>
      <c r="E520"/>
      <c r="F520"/>
      <c r="G520"/>
    </row>
    <row r="521" spans="1:7" ht="14.4">
      <c r="A521" s="176"/>
      <c r="B521" s="468" t="s">
        <v>308</v>
      </c>
      <c r="C521" s="179"/>
      <c r="D521" s="1269" t="s">
        <v>1139</v>
      </c>
      <c r="E521" s="1269"/>
      <c r="F521" s="1269"/>
      <c r="G521"/>
    </row>
    <row r="522" spans="1:7">
      <c r="A522" s="179"/>
      <c r="B522" s="179"/>
      <c r="C522" s="179"/>
      <c r="D522" s="1269"/>
      <c r="E522" s="1269"/>
      <c r="F522" s="1269"/>
      <c r="G522"/>
    </row>
    <row r="523" spans="1:7">
      <c r="A523" s="179"/>
      <c r="B523" s="179"/>
      <c r="C523" s="179"/>
      <c r="D523" s="35"/>
      <c r="E523" s="35"/>
      <c r="F523" s="35"/>
      <c r="G523"/>
    </row>
    <row r="524" spans="1:7" ht="14.4">
      <c r="A524" s="176"/>
      <c r="B524" s="468" t="s">
        <v>308</v>
      </c>
      <c r="C524" s="179"/>
      <c r="D524" s="1269" t="s">
        <v>1140</v>
      </c>
      <c r="E524" s="1269"/>
      <c r="F524" s="1269"/>
      <c r="G524"/>
    </row>
    <row r="525" spans="1:7">
      <c r="A525" s="179"/>
      <c r="B525" s="179"/>
      <c r="C525" s="179"/>
      <c r="D525" s="1269"/>
      <c r="E525" s="1269"/>
      <c r="F525" s="1269"/>
      <c r="G525"/>
    </row>
    <row r="526" spans="1:7">
      <c r="A526" s="179"/>
      <c r="B526" s="179"/>
      <c r="C526" s="179"/>
      <c r="D526" s="35"/>
      <c r="E526" s="35"/>
      <c r="F526" s="35"/>
      <c r="G526"/>
    </row>
    <row r="527" spans="1:7" ht="14.4">
      <c r="A527" s="176"/>
      <c r="B527" s="468" t="s">
        <v>308</v>
      </c>
      <c r="C527" s="179"/>
      <c r="D527" s="1269" t="s">
        <v>1141</v>
      </c>
      <c r="E527" s="1269"/>
      <c r="F527" s="1269"/>
      <c r="G527"/>
    </row>
    <row r="528" spans="1:7">
      <c r="A528" s="179"/>
      <c r="B528" s="179"/>
      <c r="C528" s="179"/>
      <c r="D528" s="1269"/>
      <c r="E528" s="1269"/>
      <c r="F528" s="1269"/>
      <c r="G528"/>
    </row>
    <row r="529" spans="1:7">
      <c r="A529" s="179"/>
      <c r="B529" s="179"/>
      <c r="C529" s="179"/>
      <c r="D529" s="35"/>
      <c r="E529" s="35"/>
      <c r="F529" s="35"/>
      <c r="G529"/>
    </row>
    <row r="530" spans="1:7" ht="14.4">
      <c r="A530" s="176"/>
      <c r="B530" s="468" t="s">
        <v>308</v>
      </c>
      <c r="C530" s="179"/>
      <c r="D530" s="1269" t="s">
        <v>1142</v>
      </c>
      <c r="E530" s="1269"/>
      <c r="F530" s="1269"/>
      <c r="G530"/>
    </row>
    <row r="531" spans="1:7">
      <c r="A531" s="179"/>
      <c r="B531" s="179"/>
      <c r="C531" s="179"/>
      <c r="D531" s="1269"/>
      <c r="E531" s="1269"/>
      <c r="F531" s="1269"/>
      <c r="G531"/>
    </row>
    <row r="532" spans="1:7">
      <c r="A532" s="179"/>
      <c r="B532" s="179"/>
      <c r="C532" s="179"/>
      <c r="D532" s="1269"/>
      <c r="E532" s="1269"/>
      <c r="F532" s="1269"/>
      <c r="G532"/>
    </row>
    <row r="533" spans="1:7">
      <c r="A533" s="179"/>
      <c r="B533" s="179"/>
      <c r="C533" s="179"/>
      <c r="D533" s="35"/>
      <c r="E533" s="35"/>
      <c r="F533" s="35"/>
    </row>
    <row r="534" spans="1:7" ht="14.4">
      <c r="A534" s="176"/>
      <c r="B534" s="468" t="s">
        <v>308</v>
      </c>
      <c r="C534" s="179"/>
      <c r="D534" s="1269" t="s">
        <v>1260</v>
      </c>
      <c r="E534" s="1269"/>
      <c r="F534" s="1269"/>
    </row>
    <row r="535" spans="1:7">
      <c r="A535" s="179"/>
      <c r="B535" s="179"/>
      <c r="C535" s="179"/>
      <c r="D535" s="1269"/>
      <c r="E535" s="1269"/>
      <c r="F535" s="1269"/>
    </row>
    <row r="536" spans="1:7">
      <c r="A536" s="179"/>
      <c r="B536" s="179"/>
      <c r="C536" s="179"/>
      <c r="D536" s="35"/>
      <c r="E536" s="35"/>
      <c r="F536" s="35"/>
    </row>
    <row r="537" spans="1:7" ht="14.4">
      <c r="A537" s="176"/>
      <c r="B537" s="468" t="s">
        <v>308</v>
      </c>
      <c r="C537" s="179"/>
      <c r="D537" s="1269" t="s">
        <v>1143</v>
      </c>
      <c r="E537" s="1269"/>
      <c r="F537" s="1269"/>
    </row>
    <row r="538" spans="1:7">
      <c r="A538" s="179"/>
      <c r="B538" s="179"/>
      <c r="C538" s="179"/>
      <c r="D538" s="1269"/>
      <c r="E538" s="1269"/>
      <c r="F538" s="1269"/>
    </row>
    <row r="539" spans="1:7">
      <c r="A539" s="179"/>
      <c r="B539" s="179"/>
      <c r="C539" s="179"/>
      <c r="D539" s="35"/>
      <c r="E539" s="35"/>
      <c r="F539" s="35"/>
    </row>
    <row r="540" spans="1:7" ht="14.4">
      <c r="A540" s="176"/>
      <c r="B540" s="468" t="s">
        <v>308</v>
      </c>
      <c r="C540" s="179"/>
      <c r="D540" s="1269" t="s">
        <v>1144</v>
      </c>
      <c r="E540" s="1269"/>
      <c r="F540" s="1269"/>
    </row>
    <row r="541" spans="1:7">
      <c r="A541" s="179"/>
      <c r="B541" s="179"/>
      <c r="C541" s="179"/>
      <c r="D541" s="1269"/>
      <c r="E541" s="1269"/>
      <c r="F541" s="1269"/>
    </row>
    <row r="542" spans="1:7">
      <c r="A542" s="179"/>
      <c r="B542" s="179"/>
      <c r="C542" s="179"/>
      <c r="D542" s="35"/>
      <c r="E542" s="35"/>
      <c r="F542" s="35"/>
    </row>
    <row r="543" spans="1:7" ht="14.4">
      <c r="A543" s="176"/>
      <c r="B543" s="468" t="s">
        <v>308</v>
      </c>
      <c r="C543" s="179"/>
      <c r="D543" s="1289" t="s">
        <v>1145</v>
      </c>
      <c r="E543" s="1289"/>
      <c r="F543" s="1289"/>
    </row>
    <row r="544" spans="1:7">
      <c r="A544" s="13"/>
      <c r="B544" s="13"/>
      <c r="C544" s="179"/>
      <c r="D544" s="1289" t="s">
        <v>829</v>
      </c>
      <c r="E544" s="1289"/>
      <c r="F544" s="1289"/>
    </row>
    <row r="545" spans="1:7">
      <c r="A545" s="13"/>
      <c r="B545" s="13"/>
      <c r="C545" s="179"/>
      <c r="D545" s="3"/>
      <c r="E545" s="1294" t="s">
        <v>1146</v>
      </c>
      <c r="F545" s="1294"/>
    </row>
    <row r="546" spans="1:7" ht="14.4">
      <c r="A546" s="176"/>
      <c r="B546" s="176"/>
      <c r="C546" s="179"/>
      <c r="E546" s="35"/>
      <c r="F546" s="35"/>
    </row>
    <row r="547" spans="1:7" ht="14.4">
      <c r="A547" s="176"/>
      <c r="B547" s="468" t="s">
        <v>308</v>
      </c>
      <c r="C547" s="179"/>
      <c r="D547" s="1289" t="s">
        <v>1147</v>
      </c>
      <c r="E547" s="1289"/>
      <c r="F547" s="1289"/>
    </row>
    <row r="548" spans="1:7">
      <c r="C548" s="179"/>
      <c r="D548" s="1269" t="s">
        <v>1148</v>
      </c>
      <c r="E548" s="1269"/>
      <c r="F548" s="1269"/>
    </row>
    <row r="549" spans="1:7">
      <c r="A549" s="179"/>
      <c r="B549" s="179"/>
      <c r="C549" s="179"/>
      <c r="D549" s="1269"/>
      <c r="E549" s="1269"/>
      <c r="F549" s="1269"/>
    </row>
    <row r="550" spans="1:7">
      <c r="A550" s="179"/>
      <c r="B550" s="179"/>
      <c r="C550" s="179"/>
      <c r="D550" s="1269"/>
      <c r="E550" s="1269"/>
      <c r="F550" s="1269"/>
    </row>
    <row r="551" spans="1:7">
      <c r="A551" s="179"/>
      <c r="B551" s="179"/>
      <c r="C551" s="179"/>
      <c r="D551" s="35"/>
      <c r="E551" s="35"/>
      <c r="F551" s="35"/>
    </row>
    <row r="552" spans="1:7" ht="14.4">
      <c r="A552" s="176"/>
      <c r="B552" s="468" t="s">
        <v>308</v>
      </c>
      <c r="C552" s="179"/>
      <c r="D552" s="1269" t="s">
        <v>1149</v>
      </c>
      <c r="E552" s="1269"/>
      <c r="F552" s="1269"/>
    </row>
    <row r="553" spans="1:7" ht="14.4">
      <c r="A553" s="176"/>
      <c r="B553" s="176"/>
      <c r="C553" s="179"/>
      <c r="D553" s="1269"/>
      <c r="E553" s="1269"/>
      <c r="F553" s="1269"/>
    </row>
    <row r="554" spans="1:7" ht="14.4">
      <c r="A554" s="176"/>
      <c r="B554" s="176"/>
      <c r="C554" s="179"/>
      <c r="D554" s="1269"/>
      <c r="E554" s="1269"/>
      <c r="F554" s="1269"/>
    </row>
    <row r="555" spans="1:7" ht="14.4">
      <c r="A555" s="176"/>
      <c r="B555" s="176"/>
      <c r="C555" s="179"/>
      <c r="D555" s="1269"/>
      <c r="E555" s="1269"/>
      <c r="F555" s="1269"/>
    </row>
    <row r="556" spans="1:7" ht="14.4">
      <c r="A556" s="176"/>
      <c r="B556" s="176"/>
      <c r="C556" s="179"/>
      <c r="D556" s="35"/>
      <c r="E556" s="35"/>
      <c r="F556" s="35"/>
    </row>
    <row r="557" spans="1:7">
      <c r="A557" s="1290" t="s">
        <v>1082</v>
      </c>
      <c r="B557" s="1290"/>
      <c r="C557" s="1290"/>
      <c r="D557" s="1290"/>
      <c r="E557" s="1290"/>
      <c r="F557" s="1290"/>
      <c r="G557" s="1290"/>
    </row>
    <row r="558" spans="1:7">
      <c r="A558" s="179"/>
      <c r="B558" s="179"/>
      <c r="C558" s="179"/>
      <c r="E558" s="35"/>
      <c r="F558" s="35"/>
    </row>
    <row r="559" spans="1:7" ht="12.75" customHeight="1">
      <c r="C559" s="172"/>
      <c r="D559" s="1301" t="s">
        <v>211</v>
      </c>
      <c r="E559" s="1301"/>
      <c r="F559" s="1301"/>
    </row>
    <row r="560" spans="1:7">
      <c r="A560" s="175"/>
      <c r="B560" s="175"/>
      <c r="C560" s="175"/>
      <c r="D560" s="1306" t="s">
        <v>1098</v>
      </c>
      <c r="E560" s="1306"/>
      <c r="F560" s="1306"/>
    </row>
    <row r="561" spans="1:6">
      <c r="A561"/>
      <c r="B561"/>
      <c r="C561" s="175"/>
      <c r="D561" s="255"/>
    </row>
    <row r="562" spans="1:6">
      <c r="A562" s="175"/>
      <c r="B562" s="468" t="s">
        <v>308</v>
      </c>
      <c r="D562" s="1306" t="s">
        <v>902</v>
      </c>
      <c r="E562" s="1306"/>
      <c r="F562" s="1306"/>
    </row>
    <row r="563" spans="1:6">
      <c r="A563" s="13"/>
      <c r="B563" s="13"/>
      <c r="D563" s="218"/>
    </row>
    <row r="564" spans="1:6">
      <c r="A564" s="13"/>
      <c r="B564" s="468" t="s">
        <v>308</v>
      </c>
      <c r="D564" s="1306" t="s">
        <v>1099</v>
      </c>
      <c r="E564" s="1306"/>
      <c r="F564" s="1306"/>
    </row>
    <row r="565" spans="1:6">
      <c r="A565" s="13"/>
      <c r="B565" s="13"/>
      <c r="D565" s="1306"/>
      <c r="E565" s="1306"/>
      <c r="F565" s="1306"/>
    </row>
    <row r="566" spans="1:6">
      <c r="A566" s="13"/>
      <c r="B566" s="13"/>
      <c r="D566" s="1306"/>
      <c r="E566" s="1306"/>
      <c r="F566" s="1306"/>
    </row>
    <row r="567" spans="1:6">
      <c r="A567" s="13"/>
      <c r="B567" s="13"/>
      <c r="D567" s="255"/>
    </row>
    <row r="568" spans="1:6">
      <c r="A568" s="13"/>
      <c r="B568" s="468" t="s">
        <v>308</v>
      </c>
      <c r="D568" s="1306" t="s">
        <v>1100</v>
      </c>
      <c r="E568" s="1306"/>
      <c r="F568" s="1306"/>
    </row>
    <row r="569" spans="1:6">
      <c r="A569" s="13"/>
      <c r="B569" s="13"/>
      <c r="D569" s="1306"/>
      <c r="E569" s="1306"/>
      <c r="F569" s="1306"/>
    </row>
    <row r="570" spans="1:6">
      <c r="A570" s="13"/>
      <c r="B570" s="13"/>
      <c r="D570" s="1306"/>
      <c r="E570" s="1306"/>
      <c r="F570" s="1306"/>
    </row>
    <row r="571" spans="1:6">
      <c r="A571" s="13"/>
      <c r="B571" s="13"/>
      <c r="D571" s="1306"/>
      <c r="E571" s="1306"/>
      <c r="F571" s="1306"/>
    </row>
    <row r="572" spans="1:6">
      <c r="A572" s="13"/>
      <c r="B572" s="13"/>
      <c r="D572" s="473"/>
      <c r="E572" s="473"/>
      <c r="F572" s="473"/>
    </row>
    <row r="573" spans="1:6">
      <c r="A573" s="13"/>
      <c r="B573" s="468" t="s">
        <v>308</v>
      </c>
      <c r="D573" s="1306" t="s">
        <v>1101</v>
      </c>
      <c r="E573" s="1306"/>
      <c r="F573" s="1306"/>
    </row>
    <row r="574" spans="1:6">
      <c r="A574" s="13"/>
      <c r="B574" s="13"/>
      <c r="D574" s="1306"/>
      <c r="E574" s="1306"/>
      <c r="F574" s="1306"/>
    </row>
    <row r="575" spans="1:6">
      <c r="A575" s="13"/>
      <c r="B575" s="13"/>
      <c r="D575" s="255"/>
    </row>
    <row r="576" spans="1:6">
      <c r="A576" s="13"/>
      <c r="B576" s="468" t="s">
        <v>308</v>
      </c>
      <c r="D576" s="1306" t="s">
        <v>1102</v>
      </c>
      <c r="E576" s="1306"/>
      <c r="F576" s="1306"/>
    </row>
    <row r="577" spans="1:7">
      <c r="A577" s="13"/>
      <c r="B577" s="13"/>
      <c r="D577" s="1306"/>
      <c r="E577" s="1306"/>
      <c r="F577" s="1306"/>
    </row>
    <row r="578" spans="1:7">
      <c r="A578" s="13"/>
      <c r="B578" s="13"/>
      <c r="D578" s="255"/>
    </row>
    <row r="579" spans="1:7" ht="14.4">
      <c r="A579" s="176"/>
      <c r="B579" s="468" t="s">
        <v>308</v>
      </c>
      <c r="D579" s="1306" t="s">
        <v>897</v>
      </c>
      <c r="E579" s="1306"/>
      <c r="F579" s="1306"/>
    </row>
    <row r="580" spans="1:7" ht="14.4">
      <c r="A580" s="176"/>
      <c r="B580" s="176"/>
      <c r="D580" s="255"/>
    </row>
    <row r="581" spans="1:7" ht="14.4">
      <c r="A581" s="176"/>
      <c r="B581" s="468" t="s">
        <v>308</v>
      </c>
      <c r="D581" s="1306" t="s">
        <v>1103</v>
      </c>
      <c r="E581" s="1306"/>
      <c r="F581" s="1306"/>
    </row>
    <row r="582" spans="1:7" ht="14.4">
      <c r="A582" s="176"/>
      <c r="B582" s="176"/>
      <c r="D582" s="1306"/>
      <c r="E582" s="1306"/>
      <c r="F582" s="1306"/>
    </row>
    <row r="583" spans="1:7">
      <c r="D583" s="1306"/>
      <c r="E583" s="1306"/>
      <c r="F583" s="1306"/>
    </row>
    <row r="584" spans="1:7">
      <c r="D584" s="1306"/>
      <c r="E584" s="1306"/>
      <c r="F584" s="1306"/>
    </row>
    <row r="585" spans="1:7">
      <c r="D585" s="1306"/>
      <c r="E585" s="1306"/>
      <c r="F585" s="1306"/>
    </row>
    <row r="586" spans="1:7">
      <c r="D586" s="1306"/>
      <c r="E586" s="1306"/>
      <c r="F586" s="1306"/>
    </row>
    <row r="587" spans="1:7"/>
    <row r="588" spans="1:7">
      <c r="A588" s="1290" t="s">
        <v>1083</v>
      </c>
      <c r="B588" s="1290"/>
      <c r="C588" s="1290"/>
      <c r="D588" s="1290"/>
      <c r="E588" s="1290"/>
      <c r="F588" s="1290"/>
      <c r="G588" s="1290"/>
    </row>
    <row r="589" spans="1:7"/>
    <row r="590" spans="1:7">
      <c r="D590" s="1282" t="s">
        <v>1183</v>
      </c>
      <c r="E590" s="1282"/>
      <c r="F590" s="1282"/>
    </row>
    <row r="591" spans="1:7">
      <c r="D591" s="1283" t="s">
        <v>1184</v>
      </c>
      <c r="E591" s="1283"/>
      <c r="F591" s="1283"/>
    </row>
    <row r="592" spans="1:7">
      <c r="D592" s="478"/>
      <c r="E592" s="433"/>
      <c r="F592" s="433"/>
    </row>
    <row r="593" spans="1:7" ht="14.4">
      <c r="A593" s="176"/>
      <c r="B593" s="468" t="s">
        <v>308</v>
      </c>
      <c r="D593" s="1284" t="s">
        <v>1185</v>
      </c>
      <c r="E593" s="1284"/>
      <c r="F593" s="1284"/>
    </row>
    <row r="594" spans="1:7">
      <c r="D594" s="1284"/>
      <c r="E594" s="1284"/>
      <c r="F594" s="1284"/>
    </row>
    <row r="595" spans="1:7">
      <c r="D595" s="1284"/>
      <c r="E595" s="1284"/>
      <c r="F595" s="1284"/>
    </row>
    <row r="596" spans="1:7"/>
    <row r="597" spans="1:7">
      <c r="A597" s="1290" t="s">
        <v>1084</v>
      </c>
      <c r="B597" s="1290"/>
      <c r="C597" s="1290"/>
      <c r="D597" s="1290"/>
      <c r="E597" s="1290"/>
      <c r="F597" s="1290"/>
      <c r="G597" s="1290"/>
    </row>
    <row r="598" spans="1:7">
      <c r="A598" s="35"/>
      <c r="B598" s="35"/>
    </row>
    <row r="599" spans="1:7">
      <c r="A599" s="172"/>
      <c r="B599" s="172"/>
      <c r="C599" s="172"/>
      <c r="D599" s="1285" t="s">
        <v>1186</v>
      </c>
      <c r="E599" s="1285"/>
      <c r="F599" s="1285"/>
    </row>
    <row r="600" spans="1:7">
      <c r="A600" s="172"/>
      <c r="B600" s="172"/>
      <c r="C600" s="172"/>
      <c r="D600" s="1285"/>
      <c r="E600" s="1285"/>
      <c r="F600" s="1285"/>
    </row>
    <row r="601" spans="1:7">
      <c r="C601" s="175"/>
      <c r="D601" s="1283" t="s">
        <v>1187</v>
      </c>
      <c r="E601" s="1283"/>
      <c r="F601" s="1283"/>
    </row>
    <row r="602" spans="1:7">
      <c r="C602" s="175"/>
      <c r="D602" s="478"/>
      <c r="E602" s="478"/>
      <c r="F602" s="478"/>
    </row>
    <row r="603" spans="1:7">
      <c r="A603" s="13"/>
      <c r="B603" s="468" t="s">
        <v>308</v>
      </c>
      <c r="D603" s="1283" t="s">
        <v>433</v>
      </c>
      <c r="E603" s="1283"/>
      <c r="F603" s="1283"/>
    </row>
    <row r="604" spans="1:7">
      <c r="C604" s="180"/>
      <c r="E604"/>
    </row>
    <row r="605" spans="1:7">
      <c r="A605" s="13"/>
      <c r="B605" s="468" t="s">
        <v>308</v>
      </c>
      <c r="D605" s="1286" t="s">
        <v>1188</v>
      </c>
      <c r="E605" s="1286"/>
      <c r="F605" s="1286"/>
    </row>
    <row r="606" spans="1:7">
      <c r="D606" s="1286"/>
      <c r="E606" s="1286"/>
      <c r="F606" s="1286"/>
    </row>
    <row r="607" spans="1:7">
      <c r="D607"/>
    </row>
    <row r="608" spans="1:7">
      <c r="B608" s="468" t="s">
        <v>308</v>
      </c>
      <c r="D608" s="1286" t="s">
        <v>1189</v>
      </c>
      <c r="E608" s="1286"/>
      <c r="F608" s="1286"/>
    </row>
    <row r="609" spans="1:7">
      <c r="C609" s="180"/>
      <c r="D609" s="1286"/>
      <c r="E609" s="1286"/>
      <c r="F609" s="1286"/>
    </row>
    <row r="610" spans="1:7">
      <c r="C610" s="180"/>
    </row>
    <row r="611" spans="1:7">
      <c r="B611" s="468" t="s">
        <v>308</v>
      </c>
      <c r="C611" s="180"/>
      <c r="D611" s="1286" t="s">
        <v>1190</v>
      </c>
      <c r="E611" s="1286"/>
      <c r="F611" s="1286"/>
    </row>
    <row r="612" spans="1:7">
      <c r="C612" s="180"/>
      <c r="D612" s="1286"/>
      <c r="E612" s="1286"/>
      <c r="F612" s="1286"/>
    </row>
    <row r="613" spans="1:7">
      <c r="C613" s="180"/>
    </row>
    <row r="614" spans="1:7">
      <c r="A614" s="1290" t="s">
        <v>1085</v>
      </c>
      <c r="B614" s="1290"/>
      <c r="C614" s="1290"/>
      <c r="D614" s="1290"/>
      <c r="E614" s="1290"/>
      <c r="F614" s="1290"/>
      <c r="G614" s="1290"/>
    </row>
    <row r="615" spans="1:7">
      <c r="A615" s="172"/>
      <c r="B615" s="172"/>
      <c r="C615" s="172"/>
    </row>
    <row r="616" spans="1:7">
      <c r="C616" s="13"/>
      <c r="D616" s="1282" t="s">
        <v>1191</v>
      </c>
      <c r="E616" s="1282"/>
      <c r="F616" s="1282"/>
    </row>
    <row r="617" spans="1:7">
      <c r="A617" s="13"/>
      <c r="B617" s="13"/>
      <c r="D617" s="2"/>
    </row>
    <row r="618" spans="1:7" ht="14.4">
      <c r="A618" s="176"/>
      <c r="B618" s="468" t="s">
        <v>308</v>
      </c>
      <c r="D618" s="1284" t="s">
        <v>1192</v>
      </c>
      <c r="E618" s="1284"/>
      <c r="F618" s="1284"/>
    </row>
    <row r="619" spans="1:7">
      <c r="D619" s="1284"/>
      <c r="E619" s="1284"/>
      <c r="F619" s="1284"/>
    </row>
    <row r="620" spans="1:7">
      <c r="D620" s="1284"/>
      <c r="E620" s="1284"/>
      <c r="F620" s="1284"/>
    </row>
    <row r="621" spans="1:7">
      <c r="D621" s="1284"/>
      <c r="E621" s="1284"/>
      <c r="F621" s="1284"/>
    </row>
    <row r="622" spans="1:7">
      <c r="D622" s="1284"/>
      <c r="E622" s="1284"/>
      <c r="F622" s="1284"/>
    </row>
    <row r="623" spans="1:7">
      <c r="D623" s="1284"/>
      <c r="E623" s="1284"/>
      <c r="F623" s="1284"/>
    </row>
    <row r="624" spans="1:7">
      <c r="D624" s="479"/>
      <c r="E624" s="479"/>
      <c r="F624" s="479"/>
    </row>
    <row r="625" spans="1:7" ht="14.4">
      <c r="A625" s="176"/>
      <c r="B625" s="468" t="s">
        <v>308</v>
      </c>
      <c r="D625" s="1284" t="s">
        <v>1193</v>
      </c>
      <c r="E625" s="1284"/>
      <c r="F625" s="1284"/>
    </row>
    <row r="626" spans="1:7">
      <c r="A626" s="179"/>
      <c r="B626" s="179"/>
      <c r="C626" s="179"/>
      <c r="D626" s="1284"/>
      <c r="E626" s="1284"/>
      <c r="F626" s="1284"/>
    </row>
    <row r="627" spans="1:7">
      <c r="A627" s="179"/>
      <c r="B627" s="179"/>
      <c r="C627" s="179"/>
      <c r="D627" s="35"/>
      <c r="E627" s="35"/>
      <c r="F627" s="35"/>
    </row>
    <row r="628" spans="1:7" ht="14.4">
      <c r="A628" s="176"/>
      <c r="B628" s="468" t="s">
        <v>308</v>
      </c>
      <c r="C628" s="179"/>
      <c r="D628" s="1284" t="s">
        <v>1194</v>
      </c>
      <c r="E628" s="1284"/>
      <c r="F628" s="1284"/>
    </row>
    <row r="629" spans="1:7" ht="14.4">
      <c r="A629" s="176"/>
      <c r="B629" s="176"/>
      <c r="C629" s="179"/>
      <c r="D629" s="1284"/>
      <c r="E629" s="1284"/>
      <c r="F629" s="1284"/>
    </row>
    <row r="630" spans="1:7" ht="14.4">
      <c r="A630" s="176"/>
      <c r="B630" s="176"/>
      <c r="C630" s="179"/>
      <c r="D630" s="1284"/>
      <c r="E630" s="1284"/>
      <c r="F630" s="1284"/>
    </row>
    <row r="631" spans="1:7">
      <c r="A631" s="179"/>
      <c r="B631" s="179"/>
      <c r="C631" s="179"/>
      <c r="D631" s="1284"/>
      <c r="E631" s="1284"/>
      <c r="F631" s="1284"/>
    </row>
    <row r="632" spans="1:7">
      <c r="A632" s="179"/>
      <c r="B632" s="179"/>
      <c r="C632" s="179"/>
      <c r="D632" s="479"/>
      <c r="E632" s="479"/>
      <c r="F632" s="479"/>
    </row>
    <row r="633" spans="1:7">
      <c r="A633" s="179"/>
      <c r="B633" s="468" t="s">
        <v>308</v>
      </c>
      <c r="C633" s="179"/>
      <c r="D633" s="1313" t="s">
        <v>1195</v>
      </c>
      <c r="E633" s="1313"/>
      <c r="F633" s="1313"/>
    </row>
    <row r="634" spans="1:7">
      <c r="A634" s="179"/>
      <c r="B634" s="179"/>
      <c r="C634" s="179"/>
      <c r="D634" s="480"/>
      <c r="E634" s="480"/>
      <c r="F634" s="480"/>
    </row>
    <row r="635" spans="1:7">
      <c r="A635" s="1290" t="s">
        <v>1086</v>
      </c>
      <c r="B635" s="1290"/>
      <c r="C635" s="1290"/>
      <c r="D635" s="1290"/>
      <c r="E635" s="1290"/>
      <c r="F635" s="1290"/>
      <c r="G635" s="1290"/>
    </row>
    <row r="636" spans="1:7">
      <c r="A636" s="35"/>
      <c r="B636" s="35"/>
      <c r="C636" s="179"/>
      <c r="D636" s="35"/>
      <c r="E636" s="35"/>
      <c r="F636" s="35"/>
    </row>
    <row r="637" spans="1:7">
      <c r="C637" s="172"/>
      <c r="D637" s="1288" t="s">
        <v>1245</v>
      </c>
      <c r="E637" s="1288"/>
      <c r="F637" s="1288"/>
    </row>
    <row r="638" spans="1:7">
      <c r="A638" s="175"/>
      <c r="B638" s="175"/>
      <c r="C638" s="175"/>
      <c r="D638" s="1289" t="s">
        <v>1246</v>
      </c>
      <c r="E638" s="1289"/>
      <c r="F638" s="1289"/>
    </row>
    <row r="639" spans="1:7">
      <c r="A639" s="175"/>
      <c r="B639" s="175"/>
      <c r="C639" s="175"/>
      <c r="D639" s="118"/>
      <c r="E639" s="118"/>
      <c r="F639" s="118"/>
    </row>
    <row r="640" spans="1:7" ht="14.55" customHeight="1">
      <c r="A640" s="176"/>
      <c r="B640" s="468" t="s">
        <v>308</v>
      </c>
      <c r="C640" s="179"/>
      <c r="D640" s="1269" t="s">
        <v>1247</v>
      </c>
      <c r="E640" s="1269"/>
      <c r="F640" s="1269"/>
    </row>
    <row r="641" spans="1:11" ht="14.4">
      <c r="A641" s="176"/>
      <c r="B641" s="176"/>
      <c r="C641" s="179"/>
      <c r="D641" s="1269"/>
      <c r="E641" s="1269"/>
      <c r="F641" s="1269"/>
    </row>
    <row r="642" spans="1:11" ht="14.4">
      <c r="A642" s="176"/>
      <c r="B642" s="176"/>
      <c r="C642" s="179"/>
      <c r="D642" s="1269"/>
      <c r="E642" s="1269"/>
      <c r="F642" s="1269"/>
    </row>
    <row r="643" spans="1:11" ht="14.4">
      <c r="A643" s="176"/>
      <c r="B643" s="176"/>
      <c r="C643" s="179"/>
      <c r="D643" s="1269"/>
      <c r="E643" s="1269"/>
      <c r="F643" s="1269"/>
    </row>
    <row r="644" spans="1:11" ht="14.4">
      <c r="A644" s="176"/>
      <c r="B644" s="176"/>
      <c r="C644" s="179"/>
      <c r="D644" s="1269"/>
      <c r="E644" s="1269"/>
      <c r="F644" s="1269"/>
    </row>
    <row r="645" spans="1:11" ht="14.4">
      <c r="A645" s="176"/>
      <c r="B645" s="176"/>
      <c r="C645" s="179"/>
      <c r="D645" s="474"/>
      <c r="E645" s="474"/>
      <c r="F645" s="474"/>
    </row>
    <row r="646" spans="1:11" ht="14.4">
      <c r="A646" s="176"/>
      <c r="B646" s="468" t="s">
        <v>308</v>
      </c>
      <c r="C646" s="179"/>
      <c r="D646" s="1303" t="s">
        <v>1097</v>
      </c>
      <c r="E646" s="1303"/>
      <c r="F646" s="1303"/>
    </row>
    <row r="647" spans="1:11" ht="14.4">
      <c r="A647" s="176"/>
      <c r="B647" s="176"/>
      <c r="C647" s="179"/>
      <c r="D647" s="1302" t="s">
        <v>1248</v>
      </c>
      <c r="E647" s="1302"/>
      <c r="F647" s="1302"/>
    </row>
    <row r="648" spans="1:11" ht="14.4">
      <c r="A648" s="176"/>
      <c r="B648" s="176"/>
      <c r="C648" s="179"/>
      <c r="D648" s="1302"/>
      <c r="E648" s="1302"/>
      <c r="F648" s="1302"/>
    </row>
    <row r="649" spans="1:11" ht="14.4">
      <c r="A649" s="176"/>
      <c r="B649" s="176"/>
      <c r="C649" s="179"/>
      <c r="D649" s="1302"/>
      <c r="E649" s="1302"/>
      <c r="F649" s="1302"/>
    </row>
    <row r="650" spans="1:11" ht="14.4">
      <c r="A650" s="176"/>
      <c r="B650" s="176"/>
      <c r="C650" s="179"/>
      <c r="D650" s="1302"/>
      <c r="E650" s="1302"/>
      <c r="F650" s="1302"/>
    </row>
    <row r="651" spans="1:11" ht="14.4">
      <c r="A651" s="176"/>
      <c r="B651" s="176"/>
      <c r="C651" s="179"/>
      <c r="D651" s="1302"/>
      <c r="E651" s="1302"/>
      <c r="F651" s="1302"/>
    </row>
    <row r="652" spans="1:11" ht="14.4">
      <c r="A652" s="176"/>
      <c r="B652" s="176"/>
      <c r="C652" s="179"/>
      <c r="D652" s="1304" t="s">
        <v>1249</v>
      </c>
      <c r="E652" s="1304"/>
      <c r="F652" s="1304"/>
    </row>
    <row r="653" spans="1:11">
      <c r="A653" s="179"/>
      <c r="B653" s="179"/>
      <c r="C653" s="179"/>
      <c r="D653" s="35"/>
      <c r="E653" s="35"/>
      <c r="F653" s="35"/>
    </row>
    <row r="654" spans="1:11">
      <c r="A654" s="1290" t="s">
        <v>1087</v>
      </c>
      <c r="B654" s="1290"/>
      <c r="C654" s="1290"/>
      <c r="D654" s="1290"/>
      <c r="E654" s="1290"/>
      <c r="F654" s="1290"/>
      <c r="G654" s="1290"/>
      <c r="H654" s="181"/>
      <c r="I654" s="181"/>
      <c r="J654" s="181"/>
      <c r="K654" s="181"/>
    </row>
    <row r="655" spans="1:11">
      <c r="A655" s="482"/>
      <c r="B655" s="482"/>
      <c r="C655" s="482"/>
      <c r="D655" s="482"/>
      <c r="E655" s="482"/>
      <c r="F655" s="482"/>
      <c r="G655" s="482"/>
      <c r="H655" s="181"/>
      <c r="I655" s="181"/>
      <c r="J655" s="181"/>
      <c r="K655" s="181"/>
    </row>
    <row r="656" spans="1:11">
      <c r="C656" s="172"/>
      <c r="D656" s="1288" t="s">
        <v>99</v>
      </c>
      <c r="E656" s="1288"/>
      <c r="F656" s="1288"/>
      <c r="H656" s="181"/>
      <c r="I656" s="181"/>
      <c r="J656" s="181"/>
      <c r="K656" s="181"/>
    </row>
    <row r="657" spans="1:11">
      <c r="A657" s="172"/>
      <c r="B657" s="172"/>
      <c r="C657" s="172"/>
      <c r="D657" s="1288" t="s">
        <v>123</v>
      </c>
      <c r="E657" s="1288"/>
      <c r="F657" s="1288"/>
      <c r="H657" s="181"/>
      <c r="I657" s="181"/>
      <c r="J657" s="181"/>
      <c r="K657" s="181"/>
    </row>
    <row r="658" spans="1:11">
      <c r="A658" s="175"/>
      <c r="B658" s="175"/>
      <c r="C658" s="175"/>
      <c r="D658" s="1289" t="s">
        <v>1123</v>
      </c>
      <c r="E658" s="1289"/>
      <c r="F658" s="1289"/>
      <c r="H658" s="181"/>
      <c r="I658" s="181"/>
      <c r="J658" s="181"/>
      <c r="K658" s="181"/>
    </row>
    <row r="659" spans="1:11">
      <c r="A659" s="175"/>
      <c r="B659" s="175"/>
      <c r="C659" s="175"/>
      <c r="H659" s="181"/>
      <c r="I659" s="181"/>
      <c r="J659" s="181"/>
      <c r="K659" s="181"/>
    </row>
    <row r="660" spans="1:11" ht="14.4">
      <c r="A660" s="176"/>
      <c r="B660" s="468" t="s">
        <v>308</v>
      </c>
      <c r="C660" s="175"/>
      <c r="D660" s="1289" t="s">
        <v>898</v>
      </c>
      <c r="E660" s="1289"/>
      <c r="F660" s="1289"/>
      <c r="H660" s="181"/>
      <c r="I660" s="181"/>
      <c r="J660" s="181"/>
      <c r="K660" s="181"/>
    </row>
    <row r="661" spans="1:11">
      <c r="A661" s="175"/>
      <c r="B661" s="175"/>
      <c r="C661" s="175"/>
      <c r="D661" s="1289" t="s">
        <v>908</v>
      </c>
      <c r="E661" s="1289"/>
      <c r="F661" s="1289"/>
      <c r="H661" s="181"/>
      <c r="I661" s="181"/>
      <c r="J661" s="181"/>
      <c r="K661" s="181"/>
    </row>
    <row r="662" spans="1:11">
      <c r="A662" s="175"/>
      <c r="B662" s="175"/>
      <c r="C662" s="175"/>
      <c r="D662" s="3"/>
      <c r="E662" s="1273" t="s">
        <v>1124</v>
      </c>
      <c r="F662" s="1273"/>
      <c r="H662" s="181"/>
      <c r="I662" s="181"/>
      <c r="J662" s="181"/>
      <c r="K662" s="181"/>
    </row>
    <row r="663" spans="1:11">
      <c r="A663" s="175"/>
      <c r="B663" s="175"/>
      <c r="C663" s="175"/>
      <c r="D663" s="3"/>
      <c r="E663" s="1273"/>
      <c r="F663" s="1273"/>
      <c r="H663" s="181"/>
      <c r="I663" s="181"/>
      <c r="J663" s="181"/>
      <c r="K663" s="181"/>
    </row>
    <row r="664" spans="1:11">
      <c r="A664" s="175"/>
      <c r="B664" s="175"/>
      <c r="C664" s="175"/>
      <c r="D664" s="182"/>
      <c r="E664" s="35"/>
      <c r="H664" s="181"/>
      <c r="I664" s="181"/>
      <c r="J664" s="181"/>
      <c r="K664" s="181"/>
    </row>
    <row r="665" spans="1:11" ht="14.4">
      <c r="A665" s="176"/>
      <c r="B665" s="468" t="s">
        <v>308</v>
      </c>
      <c r="C665" s="175"/>
      <c r="D665" s="1269" t="s">
        <v>1125</v>
      </c>
      <c r="E665" s="1269"/>
      <c r="F665" s="1269"/>
      <c r="H665" s="181"/>
      <c r="I665" s="181"/>
      <c r="J665" s="181"/>
      <c r="K665" s="181"/>
    </row>
    <row r="666" spans="1:11">
      <c r="A666" s="13"/>
      <c r="B666" s="13"/>
      <c r="C666" s="175"/>
      <c r="D666" s="1269"/>
      <c r="E666" s="1269"/>
      <c r="F666" s="1269"/>
      <c r="H666" s="181"/>
      <c r="I666" s="181"/>
      <c r="J666" s="181"/>
      <c r="K666" s="181"/>
    </row>
    <row r="667" spans="1:11">
      <c r="A667" s="175"/>
      <c r="B667" s="175"/>
      <c r="C667" s="175"/>
      <c r="D667" s="1269"/>
      <c r="E667" s="1269"/>
      <c r="F667" s="1269"/>
      <c r="H667" s="181"/>
      <c r="I667" s="181"/>
      <c r="J667" s="181"/>
      <c r="K667" s="181"/>
    </row>
    <row r="668" spans="1:11">
      <c r="A668" s="175"/>
      <c r="B668" s="175"/>
      <c r="C668" s="175"/>
      <c r="H668" s="181"/>
      <c r="I668" s="181"/>
      <c r="J668" s="181"/>
      <c r="K668" s="181"/>
    </row>
    <row r="669" spans="1:11" ht="14.4">
      <c r="A669" s="176"/>
      <c r="B669" s="468" t="s">
        <v>308</v>
      </c>
      <c r="C669" s="175"/>
      <c r="D669" s="1289" t="s">
        <v>936</v>
      </c>
      <c r="E669" s="1289"/>
      <c r="F669" s="1289"/>
      <c r="H669" s="181"/>
      <c r="I669" s="181"/>
      <c r="J669" s="181"/>
      <c r="K669" s="181"/>
    </row>
    <row r="670" spans="1:11" ht="14.4">
      <c r="A670" s="176"/>
      <c r="B670" s="176"/>
      <c r="C670" s="175"/>
      <c r="D670" s="1289" t="s">
        <v>908</v>
      </c>
      <c r="E670" s="1289"/>
      <c r="F670" s="1289"/>
      <c r="H670" s="181"/>
      <c r="I670" s="181"/>
      <c r="J670" s="181"/>
      <c r="K670" s="181"/>
    </row>
    <row r="671" spans="1:11">
      <c r="A671" s="175"/>
      <c r="B671" s="175"/>
      <c r="C671" s="175"/>
      <c r="D671" s="3"/>
      <c r="E671" s="1294" t="s">
        <v>1126</v>
      </c>
      <c r="F671" s="1294"/>
      <c r="H671" s="181"/>
      <c r="I671" s="181"/>
      <c r="J671" s="181"/>
      <c r="K671" s="181"/>
    </row>
    <row r="672" spans="1:11">
      <c r="A672" s="175"/>
      <c r="B672" s="175"/>
      <c r="C672" s="175"/>
      <c r="D672" s="2"/>
      <c r="H672" s="181"/>
      <c r="I672" s="181"/>
      <c r="J672" s="181"/>
      <c r="K672" s="181"/>
    </row>
    <row r="673" spans="1:11" ht="14.4">
      <c r="A673" s="176"/>
      <c r="B673" s="468" t="s">
        <v>308</v>
      </c>
      <c r="C673" s="175"/>
      <c r="D673" s="1269" t="s">
        <v>1136</v>
      </c>
      <c r="E673" s="1269"/>
      <c r="F673" s="1269"/>
      <c r="H673" s="181"/>
      <c r="I673" s="181"/>
      <c r="J673" s="181"/>
      <c r="K673" s="181"/>
    </row>
    <row r="674" spans="1:11">
      <c r="A674" s="175"/>
      <c r="B674" s="175"/>
      <c r="C674" s="175"/>
      <c r="D674" s="1269"/>
      <c r="E674" s="1269"/>
      <c r="F674" s="1269"/>
      <c r="H674" s="181"/>
      <c r="I674" s="181"/>
      <c r="J674" s="181"/>
      <c r="K674" s="181"/>
    </row>
    <row r="675" spans="1:11">
      <c r="A675" s="175"/>
      <c r="B675" s="175"/>
      <c r="C675" s="175"/>
      <c r="D675" s="1269"/>
      <c r="E675" s="1269"/>
      <c r="F675" s="1269"/>
      <c r="H675" s="181"/>
      <c r="I675" s="181"/>
      <c r="J675" s="181"/>
      <c r="K675" s="181"/>
    </row>
    <row r="676" spans="1:11">
      <c r="A676" s="175"/>
      <c r="B676" s="175"/>
      <c r="C676" s="175"/>
      <c r="D676" s="1269"/>
      <c r="E676" s="1269"/>
      <c r="F676" s="1269"/>
      <c r="H676" s="181"/>
      <c r="I676" s="181"/>
      <c r="J676" s="181"/>
      <c r="K676" s="181"/>
    </row>
    <row r="677" spans="1:11">
      <c r="A677" s="175"/>
      <c r="B677" s="175"/>
      <c r="C677" s="175"/>
      <c r="D677" s="1269"/>
      <c r="E677" s="1269"/>
      <c r="F677" s="1269"/>
      <c r="H677" s="181"/>
      <c r="I677" s="181"/>
      <c r="J677" s="181"/>
      <c r="K677" s="181"/>
    </row>
    <row r="678" spans="1:11">
      <c r="A678" s="175"/>
      <c r="B678" s="175"/>
      <c r="C678" s="175"/>
      <c r="D678" s="1269"/>
      <c r="E678" s="1269"/>
      <c r="F678" s="1269"/>
      <c r="H678" s="181"/>
      <c r="I678" s="181"/>
      <c r="J678" s="181"/>
      <c r="K678" s="181"/>
    </row>
    <row r="679" spans="1:11">
      <c r="A679" s="175"/>
      <c r="B679" s="175"/>
      <c r="C679" s="175"/>
      <c r="D679" s="474"/>
      <c r="E679" s="474"/>
      <c r="F679" s="474"/>
      <c r="H679" s="181"/>
      <c r="I679" s="181"/>
      <c r="J679" s="181"/>
      <c r="K679" s="181"/>
    </row>
    <row r="680" spans="1:11" ht="14.4">
      <c r="A680" s="176"/>
      <c r="B680" s="468" t="s">
        <v>308</v>
      </c>
      <c r="C680" s="175"/>
      <c r="D680" s="1269" t="s">
        <v>1127</v>
      </c>
      <c r="E680" s="1269"/>
      <c r="F680" s="1269"/>
      <c r="H680" s="181"/>
      <c r="I680" s="181"/>
      <c r="J680" s="181"/>
      <c r="K680" s="181"/>
    </row>
    <row r="681" spans="1:11">
      <c r="A681" s="175"/>
      <c r="B681" s="175"/>
      <c r="C681" s="175"/>
      <c r="D681" s="1269"/>
      <c r="E681" s="1269"/>
      <c r="F681" s="1269"/>
      <c r="H681" s="181"/>
      <c r="I681" s="181"/>
      <c r="J681" s="181"/>
      <c r="K681" s="181"/>
    </row>
    <row r="682" spans="1:11">
      <c r="A682" s="175"/>
      <c r="B682" s="175"/>
      <c r="C682" s="175"/>
      <c r="D682" s="1269"/>
      <c r="E682" s="1269"/>
      <c r="F682" s="1269"/>
      <c r="H682" s="181"/>
      <c r="I682" s="181"/>
      <c r="J682" s="181"/>
      <c r="K682" s="181"/>
    </row>
    <row r="683" spans="1:11" ht="15" customHeight="1">
      <c r="A683" s="175"/>
      <c r="B683" s="175"/>
      <c r="C683" s="175"/>
      <c r="D683" s="1269"/>
      <c r="E683" s="1269"/>
      <c r="F683" s="1269"/>
      <c r="H683" s="181"/>
      <c r="I683" s="181"/>
      <c r="J683" s="181"/>
      <c r="K683" s="181"/>
    </row>
    <row r="684" spans="1:11" ht="15" customHeight="1">
      <c r="A684" s="175"/>
      <c r="B684" s="175"/>
      <c r="C684" s="175"/>
      <c r="D684" s="1269"/>
      <c r="E684" s="1269"/>
      <c r="F684" s="1269"/>
      <c r="H684" s="181"/>
      <c r="I684" s="181"/>
      <c r="J684" s="181"/>
      <c r="K684" s="181"/>
    </row>
    <row r="685" spans="1:11">
      <c r="A685" s="175"/>
      <c r="B685" s="175"/>
      <c r="C685" s="175"/>
      <c r="D685" s="1269"/>
      <c r="E685" s="1269"/>
      <c r="F685" s="1269"/>
      <c r="H685" s="181"/>
      <c r="I685" s="181"/>
      <c r="J685" s="181"/>
      <c r="K685" s="181"/>
    </row>
    <row r="686" spans="1:11">
      <c r="A686" s="175"/>
      <c r="B686" s="175"/>
      <c r="C686" s="175"/>
      <c r="D686" s="1269"/>
      <c r="E686" s="1269"/>
      <c r="F686" s="1269"/>
      <c r="H686" s="181"/>
      <c r="I686" s="181"/>
      <c r="J686" s="181"/>
      <c r="K686" s="181"/>
    </row>
    <row r="687" spans="1:11">
      <c r="A687" s="175"/>
      <c r="B687" s="175"/>
      <c r="C687" s="175"/>
      <c r="D687" s="1269"/>
      <c r="E687" s="1269"/>
      <c r="F687" s="1269"/>
      <c r="H687" s="181"/>
      <c r="I687" s="181"/>
      <c r="J687" s="181"/>
      <c r="K687" s="181"/>
    </row>
    <row r="688" spans="1:11" ht="15" customHeight="1">
      <c r="A688" s="175"/>
      <c r="B688" s="175"/>
      <c r="C688" s="175"/>
      <c r="D688" s="1269"/>
      <c r="E688" s="1269"/>
      <c r="F688" s="1269"/>
      <c r="H688" s="181"/>
      <c r="I688" s="181"/>
      <c r="J688" s="181"/>
      <c r="K688" s="181"/>
    </row>
    <row r="689" spans="1:11">
      <c r="A689" s="175"/>
      <c r="B689" s="175"/>
      <c r="C689" s="175"/>
      <c r="D689" s="1269"/>
      <c r="E689" s="1269"/>
      <c r="F689" s="1269"/>
      <c r="H689" s="181"/>
      <c r="I689" s="181"/>
      <c r="J689" s="181"/>
      <c r="K689" s="181"/>
    </row>
    <row r="690" spans="1:11">
      <c r="A690" s="175"/>
      <c r="B690" s="175"/>
      <c r="C690" s="175"/>
      <c r="D690" s="1269"/>
      <c r="E690" s="1269"/>
      <c r="F690" s="1269"/>
      <c r="H690" s="181"/>
      <c r="I690" s="181"/>
      <c r="J690" s="181"/>
      <c r="K690" s="181"/>
    </row>
    <row r="691" spans="1:11">
      <c r="A691" s="175"/>
      <c r="B691" s="175"/>
      <c r="C691" s="175"/>
      <c r="D691" s="1269"/>
      <c r="E691" s="1269"/>
      <c r="F691" s="1269"/>
      <c r="H691" s="181"/>
      <c r="I691" s="181"/>
      <c r="J691" s="181"/>
      <c r="K691" s="181"/>
    </row>
    <row r="692" spans="1:11">
      <c r="A692" s="175"/>
      <c r="B692" s="175"/>
      <c r="C692" s="175"/>
      <c r="D692" s="474"/>
      <c r="E692" s="474"/>
      <c r="F692" s="474"/>
      <c r="H692" s="181"/>
      <c r="I692" s="181"/>
      <c r="J692" s="181"/>
      <c r="K692" s="181"/>
    </row>
    <row r="693" spans="1:11" ht="14.4">
      <c r="A693" s="176"/>
      <c r="B693" s="468" t="s">
        <v>308</v>
      </c>
      <c r="C693" s="175"/>
      <c r="D693" s="1269" t="s">
        <v>1137</v>
      </c>
      <c r="E693" s="1269"/>
      <c r="F693" s="1269"/>
      <c r="H693" s="181"/>
      <c r="I693" s="181"/>
      <c r="J693" s="181"/>
      <c r="K693" s="181"/>
    </row>
    <row r="694" spans="1:11">
      <c r="A694" s="175"/>
      <c r="B694" s="175"/>
      <c r="C694" s="175"/>
      <c r="D694" s="1269"/>
      <c r="E694" s="1269"/>
      <c r="F694" s="1269"/>
      <c r="H694" s="181"/>
      <c r="I694" s="181"/>
      <c r="J694" s="181"/>
      <c r="K694" s="181"/>
    </row>
    <row r="695" spans="1:11">
      <c r="A695" s="175"/>
      <c r="B695" s="175"/>
      <c r="C695" s="175"/>
      <c r="D695" s="1269"/>
      <c r="E695" s="1269"/>
      <c r="F695" s="1269"/>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9" t="s">
        <v>1134</v>
      </c>
      <c r="E697" s="1269"/>
      <c r="F697" s="1269"/>
      <c r="H697" s="181"/>
      <c r="I697" s="181"/>
      <c r="J697" s="181"/>
      <c r="K697" s="181"/>
    </row>
    <row r="698" spans="1:11">
      <c r="A698" s="175"/>
      <c r="B698" s="175"/>
      <c r="C698" s="175"/>
      <c r="D698" s="1269"/>
      <c r="E698" s="1269"/>
      <c r="F698" s="1269"/>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9" t="s">
        <v>1135</v>
      </c>
      <c r="E700" s="1269"/>
      <c r="F700" s="1269"/>
      <c r="H700" s="181"/>
      <c r="I700" s="181"/>
      <c r="J700" s="181"/>
      <c r="K700" s="181"/>
    </row>
    <row r="701" spans="1:11">
      <c r="A701" s="175"/>
      <c r="B701" s="175"/>
      <c r="C701" s="175"/>
      <c r="D701" s="1269"/>
      <c r="E701" s="1269"/>
      <c r="F701" s="1269"/>
      <c r="H701" s="181"/>
      <c r="I701" s="181"/>
      <c r="J701" s="181"/>
      <c r="K701" s="181"/>
    </row>
    <row r="702" spans="1:11">
      <c r="A702" s="175"/>
      <c r="B702" s="175"/>
      <c r="C702" s="175"/>
      <c r="D702" s="1269"/>
      <c r="E702" s="1269"/>
      <c r="F702" s="1269"/>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9" t="s">
        <v>1128</v>
      </c>
      <c r="E704" s="1269"/>
      <c r="F704" s="1269"/>
      <c r="H704" s="181"/>
      <c r="I704" s="181"/>
      <c r="J704" s="181"/>
      <c r="K704" s="181"/>
    </row>
    <row r="705" spans="1:11">
      <c r="A705" s="175"/>
      <c r="B705" s="175"/>
      <c r="C705" s="175"/>
      <c r="D705" s="1269"/>
      <c r="E705" s="1269"/>
      <c r="F705" s="1269"/>
      <c r="H705" s="181"/>
      <c r="I705" s="181"/>
      <c r="J705" s="181"/>
      <c r="K705" s="181"/>
    </row>
    <row r="706" spans="1:11">
      <c r="A706" s="175"/>
      <c r="B706" s="175"/>
      <c r="C706" s="175"/>
      <c r="D706" s="1269"/>
      <c r="E706" s="1269"/>
      <c r="F706" s="1269"/>
      <c r="H706" s="181"/>
      <c r="I706" s="181"/>
      <c r="J706" s="181"/>
      <c r="K706" s="181"/>
    </row>
    <row r="707" spans="1:11">
      <c r="A707" s="175"/>
      <c r="B707" s="175"/>
      <c r="C707" s="175"/>
      <c r="H707" s="181"/>
      <c r="I707" s="181"/>
      <c r="J707" s="181"/>
      <c r="K707" s="181"/>
    </row>
    <row r="708" spans="1:11">
      <c r="A708" s="175"/>
      <c r="B708" s="468" t="s">
        <v>308</v>
      </c>
      <c r="C708" s="175"/>
      <c r="D708" s="1269" t="s">
        <v>1129</v>
      </c>
      <c r="E708" s="1269"/>
      <c r="F708" s="1269"/>
      <c r="H708" s="181"/>
      <c r="I708" s="181"/>
      <c r="J708" s="181"/>
      <c r="K708" s="181"/>
    </row>
    <row r="709" spans="1:11">
      <c r="A709" s="175"/>
      <c r="B709" s="175"/>
      <c r="C709" s="175"/>
      <c r="D709" s="1269"/>
      <c r="E709" s="1269"/>
      <c r="F709" s="1269"/>
      <c r="H709" s="181"/>
      <c r="I709" s="181"/>
      <c r="J709" s="181"/>
      <c r="K709" s="181"/>
    </row>
    <row r="710" spans="1:11">
      <c r="A710" s="175"/>
      <c r="B710" s="175"/>
      <c r="C710" s="175"/>
      <c r="D710" s="1269"/>
      <c r="E710" s="1269"/>
      <c r="F710" s="1269"/>
      <c r="H710" s="181"/>
      <c r="I710" s="181"/>
      <c r="J710" s="181"/>
      <c r="K710" s="181"/>
    </row>
    <row r="711" spans="1:11">
      <c r="A711" s="175"/>
      <c r="B711" s="175"/>
      <c r="C711" s="175"/>
      <c r="D711"/>
      <c r="H711" s="181"/>
      <c r="I711" s="181"/>
      <c r="J711" s="181"/>
      <c r="K711" s="181"/>
    </row>
    <row r="712" spans="1:11" ht="14.4">
      <c r="A712" s="176"/>
      <c r="B712" s="468" t="s">
        <v>308</v>
      </c>
      <c r="C712" s="175"/>
      <c r="D712" s="1269" t="s">
        <v>1130</v>
      </c>
      <c r="E712" s="1269"/>
      <c r="F712" s="1269"/>
      <c r="H712" s="181"/>
      <c r="I712" s="181"/>
      <c r="J712" s="181"/>
      <c r="K712" s="181"/>
    </row>
    <row r="713" spans="1:11">
      <c r="A713" s="175"/>
      <c r="B713" s="175"/>
      <c r="C713" s="175"/>
      <c r="D713" s="1269"/>
      <c r="E713" s="1269"/>
      <c r="F713" s="1269"/>
      <c r="H713" s="181"/>
      <c r="I713" s="181"/>
      <c r="J713" s="181"/>
      <c r="K713" s="181"/>
    </row>
    <row r="714" spans="1:11">
      <c r="A714" s="175"/>
      <c r="B714" s="175"/>
      <c r="C714" s="175"/>
      <c r="D714" s="1269"/>
      <c r="E714" s="1269"/>
      <c r="F714" s="1269"/>
      <c r="H714" s="181"/>
      <c r="I714" s="181"/>
      <c r="J714" s="181"/>
      <c r="K714" s="181"/>
    </row>
    <row r="715" spans="1:11">
      <c r="A715" s="175"/>
      <c r="B715" s="175"/>
      <c r="C715" s="175"/>
      <c r="D715" s="1269"/>
      <c r="E715" s="1269"/>
      <c r="F715" s="1269"/>
      <c r="H715" s="181"/>
      <c r="I715" s="181"/>
      <c r="J715" s="181"/>
      <c r="K715" s="181"/>
    </row>
    <row r="716" spans="1:11">
      <c r="A716" s="175"/>
      <c r="B716" s="175"/>
      <c r="C716" s="175"/>
      <c r="D716" s="178"/>
      <c r="H716" s="181"/>
      <c r="I716" s="181"/>
      <c r="J716" s="181"/>
      <c r="K716" s="181"/>
    </row>
    <row r="717" spans="1:11" ht="14.4">
      <c r="A717" s="176"/>
      <c r="B717" s="468" t="s">
        <v>308</v>
      </c>
      <c r="C717" s="175"/>
      <c r="D717" s="1269" t="s">
        <v>1263</v>
      </c>
      <c r="E717" s="1269"/>
      <c r="F717" s="1269"/>
      <c r="H717" s="181"/>
      <c r="I717" s="181"/>
      <c r="J717" s="181"/>
      <c r="K717" s="181"/>
    </row>
    <row r="718" spans="1:11">
      <c r="A718" s="175"/>
      <c r="B718" s="175"/>
      <c r="C718" s="175"/>
      <c r="D718" s="1269"/>
      <c r="E718" s="1269"/>
      <c r="F718" s="1269"/>
      <c r="H718" s="181"/>
      <c r="I718" s="181"/>
      <c r="J718" s="181"/>
      <c r="K718" s="181"/>
    </row>
    <row r="719" spans="1:11">
      <c r="A719" s="175"/>
      <c r="B719" s="175"/>
      <c r="C719" s="175"/>
      <c r="D719" s="1269"/>
      <c r="E719" s="1269"/>
      <c r="F719" s="1269"/>
      <c r="H719" s="181"/>
      <c r="I719" s="181"/>
      <c r="J719" s="181"/>
      <c r="K719" s="181"/>
    </row>
    <row r="720" spans="1:11">
      <c r="A720" s="175"/>
      <c r="B720" s="175"/>
      <c r="C720" s="175"/>
      <c r="D720" s="1269"/>
      <c r="E720" s="1269"/>
      <c r="F720" s="1269"/>
      <c r="H720" s="181"/>
      <c r="I720" s="181"/>
      <c r="J720" s="181"/>
      <c r="K720" s="181"/>
    </row>
    <row r="721" spans="1:11">
      <c r="A721" s="175"/>
      <c r="B721" s="175"/>
      <c r="C721" s="175"/>
      <c r="D721" s="1269"/>
      <c r="E721" s="1269"/>
      <c r="F721" s="1269"/>
      <c r="H721" s="181"/>
      <c r="I721" s="181"/>
      <c r="J721" s="181"/>
      <c r="K721" s="181"/>
    </row>
    <row r="722" spans="1:11">
      <c r="A722" s="175"/>
      <c r="B722" s="175"/>
      <c r="C722" s="175"/>
      <c r="D722" s="1269"/>
      <c r="E722" s="1269"/>
      <c r="F722" s="1269"/>
      <c r="H722" s="181"/>
      <c r="I722" s="181"/>
      <c r="J722" s="181"/>
      <c r="K722" s="181"/>
    </row>
    <row r="723" spans="1:11">
      <c r="A723" s="175"/>
      <c r="B723" s="175"/>
      <c r="C723" s="175"/>
      <c r="D723" s="1269"/>
      <c r="E723" s="1269"/>
      <c r="F723" s="1269"/>
      <c r="H723" s="181"/>
      <c r="I723" s="181"/>
      <c r="J723" s="181"/>
      <c r="K723" s="181"/>
    </row>
    <row r="724" spans="1:11">
      <c r="A724" s="175"/>
      <c r="B724" s="175"/>
      <c r="C724" s="175"/>
      <c r="D724" s="1296" t="s">
        <v>1131</v>
      </c>
      <c r="E724" s="1296"/>
      <c r="F724" s="1296"/>
      <c r="H724" s="181"/>
      <c r="I724" s="181"/>
      <c r="J724" s="181"/>
      <c r="K724" s="181"/>
    </row>
    <row r="725" spans="1:11">
      <c r="A725" s="175"/>
      <c r="B725" s="175"/>
      <c r="C725" s="175"/>
      <c r="D725" s="369"/>
      <c r="H725" s="181"/>
      <c r="I725" s="181"/>
      <c r="J725" s="181"/>
      <c r="K725" s="181"/>
    </row>
    <row r="726" spans="1:11">
      <c r="A726" s="1291" t="s">
        <v>1088</v>
      </c>
      <c r="B726" s="1291"/>
      <c r="C726" s="1291"/>
      <c r="D726" s="1291"/>
      <c r="E726" s="1291"/>
      <c r="F726" s="1291"/>
      <c r="G726" s="1291"/>
      <c r="H726" s="181"/>
      <c r="I726" s="181"/>
      <c r="J726" s="181"/>
      <c r="K726" s="181"/>
    </row>
    <row r="727" spans="1:11">
      <c r="A727" s="175"/>
      <c r="B727" s="175"/>
      <c r="C727" s="175"/>
      <c r="D727" s="178"/>
      <c r="G727" s="183"/>
      <c r="H727" s="181"/>
      <c r="I727" s="181"/>
      <c r="J727" s="181"/>
      <c r="K727" s="181"/>
    </row>
    <row r="728" spans="1:11" ht="13.2" customHeight="1">
      <c r="C728" s="175"/>
      <c r="D728" s="1301" t="s">
        <v>1104</v>
      </c>
      <c r="E728" s="1301"/>
      <c r="F728" s="1301"/>
      <c r="G728" s="183"/>
      <c r="H728" s="181"/>
      <c r="I728" s="181"/>
      <c r="J728" s="181"/>
      <c r="K728" s="181"/>
    </row>
    <row r="729" spans="1:11">
      <c r="A729" s="175"/>
      <c r="B729" s="175"/>
      <c r="C729" s="175"/>
      <c r="D729" s="1293" t="s">
        <v>1105</v>
      </c>
      <c r="E729" s="1293"/>
      <c r="F729" s="1293"/>
      <c r="G729" s="183"/>
      <c r="H729" s="181"/>
      <c r="I729" s="181"/>
      <c r="J729" s="181"/>
      <c r="K729" s="181"/>
    </row>
    <row r="730" spans="1:11">
      <c r="A730" s="175"/>
      <c r="B730" s="175"/>
      <c r="C730" s="175"/>
      <c r="G730" s="183"/>
      <c r="H730" s="181"/>
      <c r="I730" s="181"/>
      <c r="J730" s="181"/>
      <c r="K730" s="181"/>
    </row>
    <row r="731" spans="1:11" ht="14.4">
      <c r="A731" s="176"/>
      <c r="B731" s="468" t="s">
        <v>308</v>
      </c>
      <c r="D731" s="1269" t="s">
        <v>1106</v>
      </c>
      <c r="E731" s="1269"/>
      <c r="F731" s="1269"/>
      <c r="G731" s="183"/>
      <c r="H731" s="181"/>
      <c r="I731" s="181"/>
      <c r="J731" s="181"/>
      <c r="K731" s="181"/>
    </row>
    <row r="732" spans="1:11" ht="10.5" customHeight="1">
      <c r="D732" s="1269"/>
      <c r="E732" s="1269"/>
      <c r="F732" s="1269"/>
      <c r="G732" s="183"/>
      <c r="H732" s="181"/>
      <c r="I732" s="181"/>
      <c r="J732" s="181"/>
      <c r="K732" s="181"/>
    </row>
    <row r="733" spans="1:11">
      <c r="D733" s="1269"/>
      <c r="E733" s="1269"/>
      <c r="F733" s="1269"/>
      <c r="G733" s="183"/>
      <c r="H733" s="181"/>
      <c r="I733" s="181"/>
      <c r="J733" s="181"/>
      <c r="K733" s="181"/>
    </row>
    <row r="734" spans="1:11">
      <c r="D734" s="1269"/>
      <c r="E734" s="1269"/>
      <c r="F734" s="1269"/>
      <c r="G734" s="183"/>
      <c r="H734" s="181"/>
      <c r="I734" s="181"/>
      <c r="J734" s="181"/>
      <c r="K734" s="181"/>
    </row>
    <row r="735" spans="1:11">
      <c r="D735" s="1269"/>
      <c r="E735" s="1269"/>
      <c r="F735" s="1269"/>
      <c r="G735" s="183"/>
      <c r="H735" s="181"/>
      <c r="I735" s="181"/>
      <c r="J735" s="181"/>
      <c r="K735" s="181"/>
    </row>
    <row r="736" spans="1:11" ht="15.45" customHeight="1">
      <c r="D736" s="1269"/>
      <c r="E736" s="1269"/>
      <c r="F736" s="1269"/>
      <c r="G736" s="183"/>
      <c r="H736" s="181"/>
      <c r="I736" s="181"/>
      <c r="J736" s="181"/>
      <c r="K736" s="181"/>
    </row>
    <row r="737" spans="1:11">
      <c r="D737" s="255"/>
      <c r="E737" s="35"/>
      <c r="F737" s="35"/>
      <c r="G737" s="183"/>
      <c r="H737" s="181"/>
      <c r="I737" s="181"/>
      <c r="J737" s="181"/>
      <c r="K737" s="181"/>
    </row>
    <row r="738" spans="1:11" s="274" customFormat="1" ht="14.4">
      <c r="A738" s="272"/>
      <c r="B738" s="468" t="s">
        <v>308</v>
      </c>
      <c r="C738" s="273"/>
      <c r="D738" s="1269" t="s">
        <v>1107</v>
      </c>
      <c r="E738" s="1269"/>
      <c r="F738" s="1269"/>
      <c r="G738" s="210"/>
    </row>
    <row r="739" spans="1:11" s="274" customFormat="1">
      <c r="A739" s="273"/>
      <c r="B739" s="273"/>
      <c r="C739" s="273"/>
      <c r="D739" s="1269"/>
      <c r="E739" s="1269"/>
      <c r="F739" s="1269"/>
      <c r="G739" s="210"/>
    </row>
    <row r="740" spans="1:11" s="274" customFormat="1">
      <c r="A740" s="273"/>
      <c r="B740" s="273"/>
      <c r="C740" s="273"/>
      <c r="D740" s="1269"/>
      <c r="E740" s="1269"/>
      <c r="F740" s="1269"/>
      <c r="G740" s="210"/>
    </row>
    <row r="741" spans="1:11" s="274" customFormat="1">
      <c r="A741" s="273"/>
      <c r="B741" s="273"/>
      <c r="C741" s="273"/>
      <c r="D741" s="1269"/>
      <c r="E741" s="1269"/>
      <c r="F741" s="1269"/>
      <c r="G741" s="210"/>
    </row>
    <row r="742" spans="1:11" s="274" customFormat="1">
      <c r="A742" s="273"/>
      <c r="B742" s="273"/>
      <c r="C742" s="273"/>
      <c r="D742" s="255"/>
      <c r="E742" s="210"/>
      <c r="F742" s="210"/>
      <c r="G742" s="210"/>
    </row>
    <row r="743" spans="1:11" s="274" customFormat="1" ht="14.4">
      <c r="A743" s="176"/>
      <c r="B743" s="468" t="s">
        <v>308</v>
      </c>
      <c r="C743" s="273"/>
      <c r="D743" s="1302" t="s">
        <v>1108</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4.4">
      <c r="A747" s="176"/>
      <c r="B747" s="468" t="s">
        <v>308</v>
      </c>
      <c r="D747" s="1269" t="s">
        <v>1109</v>
      </c>
      <c r="E747" s="1269"/>
      <c r="F747" s="1269"/>
      <c r="G747" s="183"/>
      <c r="H747" s="181"/>
      <c r="I747" s="181"/>
      <c r="J747" s="181"/>
      <c r="K747" s="181"/>
    </row>
    <row r="748" spans="1:11">
      <c r="D748" s="1269"/>
      <c r="E748" s="1269"/>
      <c r="F748" s="1269"/>
      <c r="G748" s="183"/>
      <c r="H748" s="181"/>
      <c r="I748" s="181"/>
      <c r="J748" s="181"/>
      <c r="K748" s="181"/>
    </row>
    <row r="749" spans="1:11">
      <c r="D749" s="474"/>
      <c r="E749" s="474"/>
      <c r="F749" s="474"/>
      <c r="G749" s="183"/>
      <c r="H749" s="181"/>
      <c r="I749" s="181"/>
      <c r="J749" s="181"/>
      <c r="K749" s="181"/>
    </row>
    <row r="750" spans="1:11">
      <c r="B750" s="468" t="s">
        <v>308</v>
      </c>
      <c r="D750" s="1269" t="s">
        <v>1110</v>
      </c>
      <c r="E750" s="1269"/>
      <c r="F750" s="1269"/>
      <c r="G750" s="183"/>
      <c r="H750" s="181"/>
      <c r="I750" s="181"/>
      <c r="J750" s="181"/>
      <c r="K750" s="181"/>
    </row>
    <row r="751" spans="1:11">
      <c r="D751" s="1269"/>
      <c r="E751" s="1269"/>
      <c r="F751" s="1269"/>
      <c r="G751" s="183"/>
      <c r="H751" s="181"/>
      <c r="I751" s="181"/>
      <c r="J751" s="181"/>
      <c r="K751" s="181"/>
    </row>
    <row r="752" spans="1:11">
      <c r="D752" s="1269"/>
      <c r="E752" s="1269"/>
      <c r="F752" s="1269"/>
      <c r="G752" s="183"/>
      <c r="H752" s="181"/>
      <c r="I752" s="181"/>
      <c r="J752" s="181"/>
      <c r="K752" s="181"/>
    </row>
    <row r="753" spans="1:11">
      <c r="D753" s="474"/>
      <c r="E753" s="474"/>
      <c r="F753" s="474"/>
      <c r="G753" s="183"/>
      <c r="H753" s="181"/>
      <c r="I753" s="181"/>
      <c r="J753" s="181"/>
      <c r="K753" s="181"/>
    </row>
    <row r="754" spans="1:11">
      <c r="A754" s="1290" t="s">
        <v>1111</v>
      </c>
      <c r="B754" s="1290"/>
      <c r="C754" s="1290"/>
      <c r="D754" s="1290"/>
      <c r="E754" s="1290"/>
      <c r="F754" s="1290"/>
      <c r="G754" s="1290"/>
    </row>
    <row r="755" spans="1:11">
      <c r="A755" s="175"/>
      <c r="B755" s="175"/>
      <c r="C755" s="175"/>
      <c r="D755" s="184"/>
      <c r="F755" s="35"/>
      <c r="G755" s="183"/>
    </row>
    <row r="756" spans="1:11">
      <c r="D756" s="1298" t="s">
        <v>1095</v>
      </c>
      <c r="E756" s="1298"/>
      <c r="F756" s="1298"/>
      <c r="G756" s="183"/>
    </row>
    <row r="757" spans="1:11">
      <c r="A757" s="345"/>
      <c r="B757" s="345"/>
      <c r="C757" s="345"/>
      <c r="D757" s="1299" t="s">
        <v>1112</v>
      </c>
      <c r="E757" s="1299"/>
      <c r="F757" s="1299"/>
      <c r="G757" s="183"/>
    </row>
    <row r="758" spans="1:11">
      <c r="D758" s="433"/>
      <c r="E758" s="433"/>
      <c r="F758" s="433"/>
      <c r="G758" s="183"/>
    </row>
    <row r="759" spans="1:11" ht="14.4">
      <c r="A759" s="176"/>
      <c r="B759" s="468" t="s">
        <v>308</v>
      </c>
      <c r="D759" s="1299" t="s">
        <v>1005</v>
      </c>
      <c r="E759" s="1299"/>
      <c r="F759" s="1299"/>
      <c r="G759" s="183"/>
    </row>
    <row r="760" spans="1:11">
      <c r="D760" s="433"/>
      <c r="E760" s="1300" t="s">
        <v>1096</v>
      </c>
      <c r="F760" s="1300"/>
      <c r="G760" s="183"/>
    </row>
    <row r="761" spans="1:11">
      <c r="A761" s="172"/>
      <c r="B761" s="172"/>
      <c r="C761" s="172"/>
      <c r="D761" s="35"/>
      <c r="G761" s="183"/>
    </row>
    <row r="762" spans="1:11">
      <c r="A762" s="1297" t="s">
        <v>449</v>
      </c>
      <c r="B762" s="1297"/>
      <c r="C762" s="1297"/>
      <c r="D762" s="1297"/>
      <c r="E762" s="1297"/>
      <c r="F762" s="1297"/>
      <c r="G762" s="1297"/>
    </row>
    <row r="763" spans="1:11">
      <c r="A763" s="172"/>
      <c r="B763" s="172"/>
      <c r="C763" s="179"/>
      <c r="D763" s="183"/>
      <c r="E763" s="183"/>
      <c r="F763" s="183"/>
      <c r="G763" s="183"/>
    </row>
    <row r="764" spans="1:11">
      <c r="A764" s="35"/>
      <c r="B764" s="1293" t="s">
        <v>1004</v>
      </c>
      <c r="C764" s="1293"/>
      <c r="D764" s="1293"/>
      <c r="E764" s="1293"/>
      <c r="F764" s="1293"/>
      <c r="G764" s="183"/>
    </row>
    <row r="765" spans="1:11">
      <c r="A765" s="13"/>
      <c r="B765" s="13"/>
      <c r="G765" s="183"/>
    </row>
    <row r="766" spans="1:11">
      <c r="A766" s="1297" t="s">
        <v>450</v>
      </c>
      <c r="B766" s="1297"/>
      <c r="C766" s="1297"/>
      <c r="D766" s="1297"/>
      <c r="E766" s="1297"/>
      <c r="F766" s="1297"/>
      <c r="G766" s="1297"/>
    </row>
    <row r="767" spans="1:11">
      <c r="A767" s="172"/>
      <c r="B767" s="172"/>
      <c r="C767" s="172"/>
      <c r="D767" s="178"/>
      <c r="G767" s="183"/>
    </row>
    <row r="768" spans="1:11">
      <c r="A768" s="35"/>
      <c r="B768" s="1289" t="s">
        <v>448</v>
      </c>
      <c r="C768" s="1289"/>
      <c r="D768" s="1289"/>
      <c r="E768" s="1289"/>
      <c r="F768" s="1289"/>
      <c r="G768" s="183"/>
    </row>
    <row r="769" spans="1:7" ht="14.4">
      <c r="A769" s="176"/>
      <c r="B769" s="176"/>
      <c r="D769" s="35"/>
      <c r="E769" s="35"/>
      <c r="F769" s="183"/>
      <c r="G769" s="183"/>
    </row>
    <row r="770" spans="1:7">
      <c r="A770" s="1297" t="s">
        <v>451</v>
      </c>
      <c r="B770" s="1297"/>
      <c r="C770" s="1297"/>
      <c r="D770" s="1297"/>
      <c r="E770" s="1297"/>
      <c r="F770" s="1297"/>
      <c r="G770" s="1297"/>
    </row>
    <row r="771" spans="1:7">
      <c r="C771" s="175"/>
      <c r="D771" s="173"/>
      <c r="E771" s="35"/>
      <c r="F771" s="183"/>
      <c r="G771" s="183"/>
    </row>
    <row r="772" spans="1:7">
      <c r="A772" s="35"/>
      <c r="B772" s="1289" t="s">
        <v>448</v>
      </c>
      <c r="C772" s="1289"/>
      <c r="D772" s="1289"/>
      <c r="E772" s="1289"/>
      <c r="F772" s="1289"/>
      <c r="G772" s="183"/>
    </row>
    <row r="773" spans="1:7">
      <c r="A773" s="35"/>
      <c r="B773" s="35"/>
      <c r="C773" s="179"/>
      <c r="D773" s="183"/>
      <c r="E773" s="183"/>
      <c r="F773" s="183"/>
      <c r="G773" s="183"/>
    </row>
    <row r="774" spans="1:7">
      <c r="A774" s="1297" t="s">
        <v>452</v>
      </c>
      <c r="B774" s="1297"/>
      <c r="C774" s="1297"/>
      <c r="D774" s="1297"/>
      <c r="E774" s="1297"/>
      <c r="F774" s="1297"/>
      <c r="G774" s="1297"/>
    </row>
    <row r="775" spans="1:7">
      <c r="A775" s="35"/>
      <c r="B775" s="35"/>
    </row>
    <row r="776" spans="1:7">
      <c r="A776" s="35"/>
      <c r="B776" s="1289" t="s">
        <v>448</v>
      </c>
      <c r="C776" s="1289"/>
      <c r="D776" s="1289"/>
      <c r="E776" s="1289"/>
      <c r="F776" s="1289"/>
    </row>
    <row r="777" spans="1:7">
      <c r="A777" s="179"/>
      <c r="B777" s="179"/>
      <c r="C777" s="179"/>
      <c r="D777" s="174"/>
      <c r="F777" s="183"/>
    </row>
    <row r="778" spans="1:7">
      <c r="A778" s="1297" t="s">
        <v>453</v>
      </c>
      <c r="B778" s="1297"/>
      <c r="C778" s="1297"/>
      <c r="D778" s="1297"/>
      <c r="E778" s="1297"/>
      <c r="F778" s="1297"/>
      <c r="G778" s="1297"/>
    </row>
    <row r="779" spans="1:7">
      <c r="A779" s="35"/>
      <c r="B779" s="35"/>
    </row>
    <row r="780" spans="1:7">
      <c r="A780" s="35"/>
      <c r="B780" s="1289" t="s">
        <v>448</v>
      </c>
      <c r="C780" s="1289"/>
      <c r="D780" s="1289"/>
      <c r="E780" s="1289"/>
      <c r="F780" s="1289"/>
    </row>
    <row r="781" spans="1:7">
      <c r="A781" s="179"/>
      <c r="B781" s="179"/>
      <c r="C781" s="179"/>
      <c r="D781" s="174"/>
      <c r="F781" s="183"/>
    </row>
    <row r="782" spans="1:7">
      <c r="A782" s="1297" t="s">
        <v>454</v>
      </c>
      <c r="B782" s="1297"/>
      <c r="C782" s="1297"/>
      <c r="D782" s="1297"/>
      <c r="E782" s="1297"/>
      <c r="F782" s="1297"/>
      <c r="G782" s="1297"/>
    </row>
    <row r="783" spans="1:7">
      <c r="A783" s="35"/>
      <c r="B783" s="35"/>
    </row>
    <row r="784" spans="1:7">
      <c r="A784" s="35"/>
      <c r="B784" s="1289" t="s">
        <v>448</v>
      </c>
      <c r="C784" s="1289"/>
      <c r="D784" s="1289"/>
      <c r="E784" s="1289"/>
      <c r="F784" s="1289"/>
    </row>
    <row r="785" spans="1:7">
      <c r="D785" s="174"/>
    </row>
    <row r="786" spans="1:7">
      <c r="A786" s="1297" t="s">
        <v>187</v>
      </c>
      <c r="B786" s="1297"/>
      <c r="C786" s="1297"/>
      <c r="D786" s="1297"/>
      <c r="E786" s="1297"/>
      <c r="F786" s="1297"/>
      <c r="G786" s="1297"/>
    </row>
    <row r="787" spans="1:7">
      <c r="A787" s="35"/>
      <c r="B787" s="35"/>
    </row>
    <row r="788" spans="1:7">
      <c r="A788" s="35"/>
      <c r="B788" s="1289" t="s">
        <v>448</v>
      </c>
      <c r="C788" s="1289"/>
      <c r="D788" s="1289"/>
      <c r="E788" s="1289"/>
      <c r="F788" s="1289"/>
    </row>
    <row r="789" spans="1:7">
      <c r="A789" s="35"/>
      <c r="B789" s="35"/>
      <c r="D789" s="174"/>
    </row>
    <row r="790" spans="1:7">
      <c r="A790" s="1297" t="s">
        <v>885</v>
      </c>
      <c r="B790" s="1297"/>
      <c r="C790" s="1297"/>
      <c r="D790" s="1297"/>
      <c r="E790" s="1297"/>
      <c r="F790" s="1297"/>
      <c r="G790" s="1297"/>
    </row>
    <row r="791" spans="1:7">
      <c r="A791" s="35"/>
      <c r="B791" s="35"/>
    </row>
    <row r="792" spans="1:7">
      <c r="A792" s="35"/>
      <c r="B792" s="1289" t="s">
        <v>448</v>
      </c>
      <c r="C792" s="1289"/>
      <c r="D792" s="1289"/>
      <c r="E792" s="1289"/>
      <c r="F792" s="1289"/>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4"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77734375" style="433" customWidth="1"/>
    <col min="11" max="16384" width="8.77734375" style="433" hidden="1"/>
  </cols>
  <sheetData>
    <row r="1" spans="1:10" ht="14.25" customHeight="1"/>
    <row r="2" spans="1:10" ht="15.6">
      <c r="A2" s="1322" t="s">
        <v>2060</v>
      </c>
      <c r="B2" s="1323"/>
      <c r="C2" s="1323"/>
      <c r="D2" s="1323"/>
      <c r="E2" s="1323"/>
      <c r="F2" s="1323"/>
      <c r="G2" s="1323"/>
      <c r="H2" s="1323"/>
      <c r="I2" s="1323"/>
      <c r="J2" s="1323"/>
    </row>
    <row r="3" spans="1:10" ht="15">
      <c r="A3" s="1326" t="s">
        <v>1378</v>
      </c>
      <c r="B3" s="1327"/>
      <c r="C3" s="1327"/>
      <c r="D3" s="1327"/>
      <c r="E3" s="1327"/>
      <c r="F3" s="1327"/>
      <c r="G3" s="1327"/>
      <c r="H3" s="1327"/>
      <c r="I3" s="1327"/>
      <c r="J3" s="1327"/>
    </row>
    <row r="4" spans="1:10" ht="13.2"/>
    <row r="5" spans="1:10" ht="12.75" customHeight="1">
      <c r="A5" s="1324" t="s">
        <v>2357</v>
      </c>
      <c r="B5" s="1324"/>
      <c r="C5" s="1324"/>
      <c r="D5" s="1324"/>
      <c r="E5" s="1324"/>
      <c r="F5" s="1324"/>
      <c r="G5" s="1324"/>
      <c r="H5" s="1324"/>
      <c r="I5" s="1324"/>
      <c r="J5" s="1324"/>
    </row>
    <row r="6" spans="1:10" ht="13.2">
      <c r="A6" s="1324"/>
      <c r="B6" s="1324"/>
      <c r="C6" s="1324"/>
      <c r="D6" s="1324"/>
      <c r="E6" s="1324"/>
      <c r="F6" s="1324"/>
      <c r="G6" s="1324"/>
      <c r="H6" s="1324"/>
      <c r="I6" s="1324"/>
      <c r="J6" s="1324"/>
    </row>
    <row r="7" spans="1:10" ht="30" customHeight="1">
      <c r="A7" s="1324"/>
      <c r="B7" s="1324"/>
      <c r="C7" s="1324"/>
      <c r="D7" s="1324"/>
      <c r="E7" s="1324"/>
      <c r="F7" s="1324"/>
      <c r="G7" s="1324"/>
      <c r="H7" s="1324"/>
      <c r="I7" s="1324"/>
      <c r="J7" s="1324"/>
    </row>
    <row r="8" spans="1:10" ht="13.2">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3.2"/>
    <row r="11" spans="1:10" ht="12.75" customHeight="1">
      <c r="A11" s="1328" t="s">
        <v>2065</v>
      </c>
      <c r="B11" s="1328"/>
      <c r="C11" s="1328"/>
      <c r="D11" s="1328"/>
      <c r="E11" s="1328"/>
      <c r="F11" s="1328"/>
      <c r="G11" s="1328"/>
      <c r="H11" s="1328"/>
      <c r="I11" s="1328"/>
      <c r="J11" s="1328"/>
    </row>
    <row r="12" spans="1:10" ht="13.2">
      <c r="A12" s="1328"/>
      <c r="B12" s="1328"/>
      <c r="C12" s="1328"/>
      <c r="D12" s="1328"/>
      <c r="E12" s="1328"/>
      <c r="F12" s="1328"/>
      <c r="G12" s="1328"/>
      <c r="H12" s="1328"/>
      <c r="I12" s="1328"/>
      <c r="J12" s="1328"/>
    </row>
    <row r="13" spans="1:10" ht="13.2">
      <c r="A13" s="1328"/>
      <c r="B13" s="1328"/>
      <c r="C13" s="1328"/>
      <c r="D13" s="1328"/>
      <c r="E13" s="1328"/>
      <c r="F13" s="1328"/>
      <c r="G13" s="1328"/>
      <c r="H13" s="1328"/>
      <c r="I13" s="1328"/>
      <c r="J13" s="1328"/>
    </row>
    <row r="14" spans="1:10" ht="13.2">
      <c r="A14" s="1328"/>
      <c r="B14" s="1328"/>
      <c r="C14" s="1328"/>
      <c r="D14" s="1328"/>
      <c r="E14" s="1328"/>
      <c r="F14" s="1328"/>
      <c r="G14" s="1328"/>
      <c r="H14" s="1328"/>
      <c r="I14" s="1328"/>
      <c r="J14" s="1328"/>
    </row>
    <row r="15" spans="1:10" ht="13.2">
      <c r="A15" s="1328"/>
      <c r="B15" s="1328"/>
      <c r="C15" s="1328"/>
      <c r="D15" s="1328"/>
      <c r="E15" s="1328"/>
      <c r="F15" s="1328"/>
      <c r="G15" s="1328"/>
      <c r="H15" s="1328"/>
      <c r="I15" s="1328"/>
      <c r="J15" s="1328"/>
    </row>
    <row r="16" spans="1:10" ht="13.2">
      <c r="A16" s="1328"/>
      <c r="B16" s="1328"/>
      <c r="C16" s="1328"/>
      <c r="D16" s="1328"/>
      <c r="E16" s="1328"/>
      <c r="F16" s="1328"/>
      <c r="G16" s="1328"/>
      <c r="H16" s="1328"/>
      <c r="I16" s="1328"/>
      <c r="J16" s="1328"/>
    </row>
    <row r="17" spans="1:10" ht="13.2">
      <c r="A17" s="558"/>
      <c r="B17" s="558"/>
      <c r="C17" s="558"/>
      <c r="D17" s="558"/>
      <c r="E17" s="558"/>
      <c r="F17" s="558"/>
      <c r="G17" s="558"/>
      <c r="H17" s="558"/>
      <c r="I17" s="558"/>
      <c r="J17" s="558"/>
    </row>
    <row r="18" spans="1:10" ht="13.2">
      <c r="A18" s="510" t="s">
        <v>2064</v>
      </c>
      <c r="B18" s="447"/>
      <c r="C18" s="447"/>
      <c r="D18" s="447"/>
      <c r="E18" s="447"/>
      <c r="F18" s="447"/>
      <c r="G18" s="447"/>
      <c r="H18" s="447"/>
      <c r="I18" s="447"/>
      <c r="J18" s="447"/>
    </row>
    <row r="19" spans="1:10" ht="13.2">
      <c r="A19" s="447" t="s">
        <v>251</v>
      </c>
      <c r="B19" s="447"/>
      <c r="C19" s="447"/>
      <c r="D19" s="447"/>
      <c r="E19" s="447"/>
      <c r="F19" s="447"/>
      <c r="G19" s="447"/>
      <c r="H19" s="447"/>
      <c r="I19" s="447"/>
      <c r="J19" s="447"/>
    </row>
    <row r="20" spans="1:10" ht="13.2">
      <c r="A20" s="1327" t="s">
        <v>1295</v>
      </c>
      <c r="B20" s="1327"/>
      <c r="C20" s="1327"/>
      <c r="D20" s="1327"/>
      <c r="E20" s="1327"/>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24" t="s">
        <v>1296</v>
      </c>
      <c r="B57" s="1324"/>
      <c r="C57" s="1324"/>
      <c r="D57" s="1324"/>
      <c r="E57" s="1324"/>
      <c r="F57" s="1324"/>
      <c r="G57" s="1324"/>
      <c r="H57" s="1324"/>
      <c r="I57" s="1324"/>
      <c r="J57" s="1324"/>
    </row>
    <row r="58" spans="1:10" ht="13.2">
      <c r="A58" s="1324"/>
      <c r="B58" s="1324"/>
      <c r="C58" s="1324"/>
      <c r="D58" s="1324"/>
      <c r="E58" s="1324"/>
      <c r="F58" s="1324"/>
      <c r="G58" s="1324"/>
      <c r="H58" s="1324"/>
      <c r="I58" s="1324"/>
      <c r="J58" s="1324"/>
    </row>
    <row r="59" spans="1:10" ht="13.2">
      <c r="A59" s="1324"/>
      <c r="B59" s="1324"/>
      <c r="C59" s="1324"/>
      <c r="D59" s="1324"/>
      <c r="E59" s="1324"/>
      <c r="F59" s="1324"/>
      <c r="G59" s="1324"/>
      <c r="H59" s="1324"/>
      <c r="I59" s="1324"/>
      <c r="J59" s="1324"/>
    </row>
    <row r="60" spans="1:10" ht="13.2"/>
    <row r="61" spans="1:10" ht="13.2">
      <c r="A61" s="433" t="s">
        <v>1295</v>
      </c>
    </row>
    <row r="62" spans="1:10" ht="13.2"/>
    <row r="63" spans="1:10" ht="13.2"/>
    <row r="64" spans="1:10" ht="13.2"/>
    <row r="65" spans="1:9" ht="13.2"/>
    <row r="66" spans="1:9" ht="13.2"/>
    <row r="67" spans="1:9" ht="13.2"/>
    <row r="68" spans="1:9" ht="13.2"/>
    <row r="69" spans="1:9" ht="13.2"/>
    <row r="70" spans="1:9" ht="13.2"/>
    <row r="71" spans="1:9" ht="13.2"/>
    <row r="72" spans="1:9" ht="13.2">
      <c r="A72" s="1325" t="s">
        <v>2061</v>
      </c>
      <c r="B72" s="1325"/>
      <c r="C72" s="1325"/>
      <c r="D72" s="1325"/>
      <c r="E72" s="1325"/>
      <c r="F72" s="1325"/>
      <c r="G72" s="1325"/>
      <c r="H72" s="1325"/>
      <c r="I72" s="1325"/>
    </row>
    <row r="73" spans="1:9" ht="13.2">
      <c r="A73" s="1276" t="s">
        <v>2355</v>
      </c>
      <c r="B73" s="1276"/>
      <c r="C73" s="1276"/>
      <c r="D73" s="1276"/>
      <c r="E73" s="1276"/>
    </row>
    <row r="74" spans="1:9" ht="13.2">
      <c r="A74" s="1276" t="s">
        <v>2356</v>
      </c>
      <c r="B74" s="1276"/>
      <c r="C74" s="1276"/>
      <c r="D74" s="1276"/>
      <c r="E74" s="1276"/>
    </row>
    <row r="75" spans="1:9" ht="13.2">
      <c r="A75" s="1276" t="s">
        <v>2062</v>
      </c>
      <c r="B75" s="1276"/>
      <c r="C75" s="1276"/>
      <c r="D75" s="1276"/>
      <c r="E75" s="1276"/>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65" zoomScale="75" zoomScaleNormal="70" workbookViewId="0">
      <selection activeCell="D1089" sqref="D1089:F1090"/>
    </sheetView>
  </sheetViews>
  <sheetFormatPr defaultColWidth="0" defaultRowHeight="13.2" zeroHeight="1"/>
  <cols>
    <col min="1" max="1" width="3.44140625" style="514" customWidth="1"/>
    <col min="2" max="2" width="13.44140625" style="514" customWidth="1"/>
    <col min="3" max="3" width="2.44140625" style="514" customWidth="1"/>
    <col min="4" max="5" width="3.44140625" style="433" customWidth="1"/>
    <col min="6" max="6" width="65.44140625" style="433" customWidth="1"/>
    <col min="7" max="7" width="1.44140625" style="433" customWidth="1"/>
    <col min="8" max="8" width="3.44140625" style="433" customWidth="1"/>
    <col min="9" max="9" width="24.44140625" style="435" customWidth="1"/>
    <col min="10" max="10" width="8.77734375" style="433" customWidth="1"/>
    <col min="11" max="16384" width="8.77734375" style="433" hidden="1"/>
  </cols>
  <sheetData>
    <row r="1" spans="1:13"/>
    <row r="2" spans="1:13">
      <c r="A2" s="1329" t="s">
        <v>2575</v>
      </c>
      <c r="B2" s="1329"/>
      <c r="C2" s="1329"/>
      <c r="D2" s="1329"/>
      <c r="E2" s="1329"/>
      <c r="F2" s="1329"/>
      <c r="G2" s="1329"/>
      <c r="H2" s="1329"/>
      <c r="I2" s="1329"/>
    </row>
    <row r="3" spans="1:13">
      <c r="A3" s="1330" t="s">
        <v>2621</v>
      </c>
      <c r="B3" s="1330"/>
      <c r="C3" s="1330"/>
      <c r="D3" s="1330"/>
      <c r="E3" s="1330"/>
      <c r="F3" s="1330"/>
      <c r="G3" s="1330"/>
      <c r="H3" s="1330"/>
      <c r="I3" s="1330"/>
    </row>
    <row r="4" spans="1:13">
      <c r="A4" s="1330"/>
      <c r="B4" s="1330"/>
      <c r="C4" s="1327"/>
      <c r="D4" s="1327"/>
      <c r="E4" s="1327"/>
      <c r="F4" s="1327"/>
      <c r="G4" s="1327"/>
    </row>
    <row r="5" spans="1:13">
      <c r="A5" s="1330"/>
      <c r="B5" s="1330"/>
      <c r="C5" s="1327"/>
      <c r="D5" s="1327"/>
      <c r="E5" s="1327"/>
      <c r="F5" s="1327"/>
      <c r="G5" s="1327"/>
    </row>
    <row r="6" spans="1:13" ht="12.75" customHeight="1">
      <c r="A6" s="1344" t="s">
        <v>2620</v>
      </c>
      <c r="B6" s="1344"/>
      <c r="C6" s="1344"/>
      <c r="D6" s="1344"/>
      <c r="E6" s="1344"/>
      <c r="F6" s="1344"/>
      <c r="G6" s="1344"/>
      <c r="I6" s="524" t="s">
        <v>2071</v>
      </c>
    </row>
    <row r="7" spans="1:13">
      <c r="A7" s="1344"/>
      <c r="B7" s="1344"/>
      <c r="C7" s="1344"/>
      <c r="D7" s="1344"/>
      <c r="E7" s="1344"/>
      <c r="F7" s="1344"/>
      <c r="G7" s="1344"/>
      <c r="I7" s="524" t="s">
        <v>2072</v>
      </c>
    </row>
    <row r="8" spans="1:13">
      <c r="A8" s="515"/>
      <c r="B8" s="515"/>
      <c r="C8" s="516"/>
      <c r="D8" s="516"/>
      <c r="E8" s="516"/>
      <c r="F8" s="516"/>
    </row>
    <row r="9" spans="1:13">
      <c r="A9" s="1290" t="s">
        <v>1168</v>
      </c>
      <c r="B9" s="1290"/>
      <c r="C9" s="1290"/>
      <c r="D9" s="1290"/>
      <c r="E9" s="1290"/>
      <c r="F9" s="1290"/>
      <c r="G9" s="1290"/>
      <c r="H9" s="1063"/>
      <c r="I9" s="1064"/>
    </row>
    <row r="10" spans="1:13">
      <c r="A10" s="516"/>
      <c r="B10" s="516"/>
      <c r="E10" s="435"/>
    </row>
    <row r="11" spans="1:13" ht="13.8" customHeight="1">
      <c r="C11" s="516"/>
      <c r="D11" s="1343" t="s">
        <v>1167</v>
      </c>
      <c r="E11" s="1343"/>
      <c r="F11" s="1343"/>
    </row>
    <row r="12" spans="1:13">
      <c r="C12" s="516"/>
      <c r="D12" s="1343"/>
      <c r="E12" s="1343"/>
      <c r="F12" s="1343"/>
    </row>
    <row r="13" spans="1:13">
      <c r="A13" s="517"/>
      <c r="B13" s="517"/>
      <c r="C13" s="517"/>
      <c r="D13" s="1313" t="s">
        <v>1150</v>
      </c>
      <c r="E13" s="1313"/>
      <c r="F13" s="1313"/>
      <c r="M13" s="96"/>
    </row>
    <row r="14" spans="1:13">
      <c r="A14" s="517"/>
      <c r="B14" s="517"/>
      <c r="C14" s="517"/>
      <c r="D14" s="510"/>
      <c r="L14" s="336"/>
    </row>
    <row r="15" spans="1:13" ht="14.4">
      <c r="A15" s="518"/>
      <c r="B15" s="519" t="s">
        <v>2783</v>
      </c>
      <c r="C15" s="517"/>
      <c r="D15" s="1284" t="s">
        <v>2218</v>
      </c>
      <c r="E15" s="1284"/>
      <c r="F15" s="1284"/>
      <c r="I15" s="524" t="s">
        <v>2073</v>
      </c>
    </row>
    <row r="16" spans="1:13">
      <c r="A16" s="517"/>
      <c r="B16" s="517"/>
      <c r="C16" s="517"/>
      <c r="D16" s="1284"/>
      <c r="E16" s="1284"/>
      <c r="F16" s="1284"/>
      <c r="I16" s="524"/>
    </row>
    <row r="17" spans="1:9">
      <c r="A17" s="517"/>
      <c r="B17" s="517"/>
      <c r="C17" s="517"/>
      <c r="D17" s="1284"/>
      <c r="E17" s="1284"/>
      <c r="F17" s="1284"/>
      <c r="I17" s="524"/>
    </row>
    <row r="18" spans="1:9">
      <c r="A18" s="517"/>
      <c r="B18" s="517"/>
      <c r="C18" s="517"/>
      <c r="D18" s="479"/>
      <c r="E18" s="336" t="s">
        <v>2216</v>
      </c>
      <c r="F18" s="479"/>
      <c r="I18" s="524"/>
    </row>
    <row r="19" spans="1:9">
      <c r="A19" s="517"/>
      <c r="B19" s="517"/>
      <c r="C19" s="517"/>
      <c r="I19" s="524"/>
    </row>
    <row r="20" spans="1:9" ht="14.4">
      <c r="A20" s="518"/>
      <c r="B20" s="519" t="s">
        <v>2778</v>
      </c>
      <c r="D20" s="1284" t="s">
        <v>2219</v>
      </c>
      <c r="E20" s="1284"/>
      <c r="F20" s="1284"/>
      <c r="I20" s="524" t="s">
        <v>2074</v>
      </c>
    </row>
    <row r="21" spans="1:9" ht="14.4">
      <c r="A21" s="518"/>
      <c r="D21" s="1284"/>
      <c r="E21" s="1284"/>
      <c r="F21" s="1284"/>
      <c r="I21" s="524"/>
    </row>
    <row r="22" spans="1:9" ht="14.4">
      <c r="A22" s="518"/>
      <c r="D22" s="423"/>
      <c r="E22" s="96" t="s">
        <v>2215</v>
      </c>
      <c r="F22" s="423"/>
      <c r="I22" s="524"/>
    </row>
    <row r="23" spans="1:9" ht="14.4">
      <c r="A23" s="518"/>
      <c r="B23" s="518"/>
      <c r="D23" s="480"/>
      <c r="I23" s="524"/>
    </row>
    <row r="24" spans="1:9" ht="14.4">
      <c r="A24" s="518"/>
      <c r="B24" s="519" t="s">
        <v>2783</v>
      </c>
      <c r="D24" s="1284" t="s">
        <v>1153</v>
      </c>
      <c r="E24" s="1284"/>
      <c r="F24" s="1284"/>
      <c r="I24" s="524" t="s">
        <v>2074</v>
      </c>
    </row>
    <row r="25" spans="1:9" ht="14.4">
      <c r="A25" s="518"/>
      <c r="B25" s="518"/>
      <c r="D25" s="1284"/>
      <c r="E25" s="1284"/>
      <c r="F25" s="1284"/>
      <c r="I25" s="524"/>
    </row>
    <row r="26" spans="1:9">
      <c r="I26" s="524"/>
    </row>
    <row r="27" spans="1:9" ht="14.4">
      <c r="A27" s="518"/>
      <c r="B27" s="519" t="s">
        <v>2778</v>
      </c>
      <c r="D27" s="1284" t="s">
        <v>2358</v>
      </c>
      <c r="E27" s="1284"/>
      <c r="F27" s="1284"/>
      <c r="I27" s="524" t="s">
        <v>2077</v>
      </c>
    </row>
    <row r="28" spans="1:9">
      <c r="D28" s="1284"/>
      <c r="E28" s="1284"/>
      <c r="F28" s="1284"/>
      <c r="I28" s="524"/>
    </row>
    <row r="29" spans="1:9">
      <c r="D29" s="1284"/>
      <c r="E29" s="1284"/>
      <c r="F29" s="1284"/>
      <c r="I29" s="524"/>
    </row>
    <row r="30" spans="1:9">
      <c r="D30" s="1284"/>
      <c r="E30" s="1284"/>
      <c r="F30" s="1284"/>
      <c r="I30" s="524"/>
    </row>
    <row r="31" spans="1:9">
      <c r="D31" s="1284"/>
      <c r="E31" s="1284"/>
      <c r="F31" s="1284"/>
      <c r="I31" s="524"/>
    </row>
    <row r="32" spans="1:9">
      <c r="D32" s="481"/>
      <c r="I32" s="524"/>
    </row>
    <row r="33" spans="1:9">
      <c r="B33" s="519" t="s">
        <v>2778</v>
      </c>
      <c r="D33" s="1284" t="s">
        <v>2359</v>
      </c>
      <c r="E33" s="1284"/>
      <c r="F33" s="1284"/>
      <c r="I33" s="524" t="s">
        <v>2073</v>
      </c>
    </row>
    <row r="34" spans="1:9">
      <c r="D34" s="1284"/>
      <c r="E34" s="1284"/>
      <c r="F34" s="1284"/>
      <c r="I34" s="524"/>
    </row>
    <row r="35" spans="1:9" ht="14.4">
      <c r="A35" s="518"/>
      <c r="B35" s="518"/>
      <c r="D35" s="481"/>
      <c r="I35" s="524"/>
    </row>
    <row r="36" spans="1:9" ht="14.55" customHeight="1">
      <c r="A36" s="518"/>
      <c r="B36" s="519" t="s">
        <v>2778</v>
      </c>
      <c r="D36" s="1284" t="s">
        <v>1320</v>
      </c>
      <c r="E36" s="1284"/>
      <c r="F36" s="1284"/>
      <c r="I36" s="524" t="s">
        <v>2144</v>
      </c>
    </row>
    <row r="37" spans="1:9" ht="14.4">
      <c r="A37" s="518"/>
      <c r="B37" s="518"/>
      <c r="D37" s="1284"/>
      <c r="E37" s="1284"/>
      <c r="F37" s="1284"/>
      <c r="I37" s="524"/>
    </row>
    <row r="38" spans="1:9" ht="14.4">
      <c r="A38" s="518"/>
      <c r="B38" s="518"/>
      <c r="D38" s="1284"/>
      <c r="E38" s="1284"/>
      <c r="F38" s="1284"/>
      <c r="I38" s="524"/>
    </row>
    <row r="39" spans="1:9" ht="14.4">
      <c r="A39" s="518"/>
      <c r="B39" s="518"/>
      <c r="D39" s="1284"/>
      <c r="E39" s="1284"/>
      <c r="F39" s="1284"/>
      <c r="I39" s="524"/>
    </row>
    <row r="40" spans="1:9" ht="14.4">
      <c r="A40" s="518"/>
      <c r="B40" s="518"/>
      <c r="I40" s="524"/>
    </row>
    <row r="41" spans="1:9" ht="14.4">
      <c r="A41" s="518"/>
      <c r="B41" s="519" t="s">
        <v>2778</v>
      </c>
      <c r="D41" s="1284" t="s">
        <v>1157</v>
      </c>
      <c r="E41" s="1284"/>
      <c r="F41" s="1284"/>
      <c r="I41" s="524"/>
    </row>
    <row r="42" spans="1:9" ht="14.4">
      <c r="A42" s="518"/>
      <c r="B42" s="518"/>
      <c r="D42" s="1284"/>
      <c r="E42" s="1284"/>
      <c r="F42" s="1284"/>
      <c r="I42" s="524"/>
    </row>
    <row r="43" spans="1:9" ht="14.4">
      <c r="A43" s="518"/>
      <c r="B43" s="518"/>
      <c r="D43" s="1284"/>
      <c r="E43" s="1284"/>
      <c r="F43" s="1284"/>
      <c r="I43" s="524"/>
    </row>
    <row r="44" spans="1:9" ht="14.4">
      <c r="A44" s="518"/>
      <c r="B44" s="518"/>
      <c r="D44" s="1284"/>
      <c r="E44" s="1284"/>
      <c r="F44" s="1284"/>
      <c r="I44" s="524"/>
    </row>
    <row r="45" spans="1:9" ht="14.4">
      <c r="A45" s="518"/>
      <c r="B45" s="518"/>
      <c r="D45" s="1284"/>
      <c r="E45" s="1284"/>
      <c r="F45" s="1284"/>
      <c r="I45" s="524"/>
    </row>
    <row r="46" spans="1:9" ht="14.4">
      <c r="A46" s="518"/>
      <c r="B46" s="518"/>
      <c r="D46" s="479"/>
      <c r="E46" s="479"/>
      <c r="F46" s="479"/>
      <c r="I46" s="524"/>
    </row>
    <row r="47" spans="1:9" ht="14.4">
      <c r="A47" s="518"/>
      <c r="B47" s="519" t="s">
        <v>2778</v>
      </c>
      <c r="D47" s="1284" t="s">
        <v>1158</v>
      </c>
      <c r="E47" s="1284"/>
      <c r="F47" s="1284"/>
      <c r="I47" s="524" t="s">
        <v>2144</v>
      </c>
    </row>
    <row r="48" spans="1:9" ht="14.4">
      <c r="A48" s="518"/>
      <c r="B48" s="518"/>
      <c r="D48" s="1284"/>
      <c r="E48" s="1284"/>
      <c r="F48" s="1284"/>
      <c r="I48" s="524"/>
    </row>
    <row r="49" spans="1:9" ht="14.4">
      <c r="A49" s="518"/>
      <c r="B49" s="518"/>
      <c r="D49" s="1284"/>
      <c r="E49" s="1284"/>
      <c r="F49" s="1284"/>
      <c r="I49" s="524"/>
    </row>
    <row r="50" spans="1:9" ht="23.25" customHeight="1">
      <c r="A50" s="518"/>
      <c r="B50" s="518"/>
      <c r="D50" s="1284"/>
      <c r="E50" s="1284"/>
      <c r="F50" s="1284"/>
      <c r="I50" s="524"/>
    </row>
    <row r="51" spans="1:9" ht="14.4">
      <c r="A51" s="518"/>
      <c r="B51" s="518"/>
      <c r="D51" s="480"/>
      <c r="I51" s="524"/>
    </row>
    <row r="52" spans="1:9" ht="14.55" customHeight="1">
      <c r="A52" s="518"/>
      <c r="B52" s="519" t="s">
        <v>2783</v>
      </c>
      <c r="D52" s="1284" t="s">
        <v>1159</v>
      </c>
      <c r="E52" s="1284"/>
      <c r="F52" s="1284"/>
      <c r="I52" s="524" t="s">
        <v>2144</v>
      </c>
    </row>
    <row r="53" spans="1:9" ht="14.4">
      <c r="A53" s="518"/>
      <c r="B53" s="518"/>
      <c r="D53" s="1284"/>
      <c r="E53" s="1284"/>
      <c r="F53" s="1284"/>
      <c r="I53" s="524"/>
    </row>
    <row r="54" spans="1:9" ht="14.4">
      <c r="A54" s="518"/>
      <c r="B54" s="518"/>
      <c r="D54" s="1284"/>
      <c r="E54" s="1284"/>
      <c r="F54" s="1284"/>
      <c r="I54" s="524"/>
    </row>
    <row r="55" spans="1:9" ht="14.4">
      <c r="A55" s="518"/>
      <c r="B55" s="518"/>
      <c r="I55" s="524"/>
    </row>
    <row r="56" spans="1:9" ht="14.4">
      <c r="A56" s="518"/>
      <c r="B56" s="519" t="s">
        <v>2778</v>
      </c>
      <c r="D56" s="1340" t="s">
        <v>1160</v>
      </c>
      <c r="E56" s="1340"/>
      <c r="F56" s="1340"/>
      <c r="I56" s="524"/>
    </row>
    <row r="57" spans="1:9" ht="14.4">
      <c r="A57" s="518"/>
      <c r="B57" s="518"/>
      <c r="D57" s="1340"/>
      <c r="E57" s="1340"/>
      <c r="F57" s="1340"/>
      <c r="I57" s="524"/>
    </row>
    <row r="58" spans="1:9" ht="14.4">
      <c r="A58" s="518"/>
      <c r="B58" s="518"/>
      <c r="D58" s="423" t="s">
        <v>2217</v>
      </c>
      <c r="E58" s="479"/>
      <c r="F58" s="479"/>
      <c r="I58" s="524"/>
    </row>
    <row r="59" spans="1:9" ht="14.4">
      <c r="A59" s="518"/>
      <c r="B59" s="518"/>
      <c r="D59" s="479"/>
      <c r="E59" s="336" t="s">
        <v>2216</v>
      </c>
      <c r="F59" s="479"/>
      <c r="I59" s="524"/>
    </row>
    <row r="60" spans="1:9">
      <c r="D60" s="481"/>
      <c r="I60" s="524"/>
    </row>
    <row r="61" spans="1:9" ht="14.4">
      <c r="A61" s="518"/>
      <c r="B61" s="519" t="s">
        <v>2783</v>
      </c>
      <c r="D61" s="1284" t="s">
        <v>1161</v>
      </c>
      <c r="E61" s="1284"/>
      <c r="F61" s="1284"/>
      <c r="I61" s="524" t="s">
        <v>2075</v>
      </c>
    </row>
    <row r="62" spans="1:9">
      <c r="D62" s="1284"/>
      <c r="E62" s="1284"/>
      <c r="F62" s="1284"/>
      <c r="I62" s="524"/>
    </row>
    <row r="63" spans="1:9">
      <c r="D63" s="1284"/>
      <c r="E63" s="1284"/>
      <c r="F63" s="1284"/>
      <c r="I63" s="524"/>
    </row>
    <row r="64" spans="1:9">
      <c r="I64" s="524"/>
    </row>
    <row r="65" spans="1:9" ht="14.4">
      <c r="A65" s="518"/>
      <c r="B65" s="519" t="s">
        <v>2783</v>
      </c>
      <c r="D65" s="1284" t="s">
        <v>1162</v>
      </c>
      <c r="E65" s="1284"/>
      <c r="F65" s="1284"/>
      <c r="I65" s="524" t="s">
        <v>2076</v>
      </c>
    </row>
    <row r="66" spans="1:9">
      <c r="D66" s="1284"/>
      <c r="E66" s="1284"/>
      <c r="F66" s="1284"/>
      <c r="I66" s="524"/>
    </row>
    <row r="67" spans="1:9">
      <c r="I67" s="524"/>
    </row>
    <row r="68" spans="1:9" ht="14.4">
      <c r="A68" s="518"/>
      <c r="B68" s="519" t="s">
        <v>2778</v>
      </c>
      <c r="D68" s="1284" t="s">
        <v>1163</v>
      </c>
      <c r="E68" s="1284"/>
      <c r="F68" s="1284"/>
      <c r="I68" s="524"/>
    </row>
    <row r="69" spans="1:9">
      <c r="D69" s="1284"/>
      <c r="E69" s="1284"/>
      <c r="F69" s="1284"/>
      <c r="I69" s="524" t="s">
        <v>2077</v>
      </c>
    </row>
    <row r="70" spans="1:9">
      <c r="D70" s="1284"/>
      <c r="E70" s="1284"/>
      <c r="F70" s="1284"/>
      <c r="I70" s="524"/>
    </row>
    <row r="71" spans="1:9">
      <c r="I71" s="524"/>
    </row>
    <row r="72" spans="1:9" ht="14.4">
      <c r="A72" s="518"/>
      <c r="B72" s="519" t="s">
        <v>2778</v>
      </c>
      <c r="D72" s="1284" t="s">
        <v>1164</v>
      </c>
      <c r="E72" s="1284"/>
      <c r="F72" s="1284"/>
      <c r="I72" s="524" t="s">
        <v>2077</v>
      </c>
    </row>
    <row r="73" spans="1:9">
      <c r="D73" s="1284"/>
      <c r="E73" s="1284"/>
      <c r="F73" s="1284"/>
      <c r="I73" s="524"/>
    </row>
    <row r="74" spans="1:9" ht="14.4">
      <c r="A74" s="518"/>
      <c r="B74" s="518"/>
      <c r="D74" s="480"/>
      <c r="I74" s="524"/>
    </row>
    <row r="75" spans="1:9">
      <c r="A75" s="1290" t="s">
        <v>1071</v>
      </c>
      <c r="B75" s="1290"/>
      <c r="C75" s="1290"/>
      <c r="D75" s="1290"/>
      <c r="E75" s="1290"/>
      <c r="F75" s="1290"/>
      <c r="G75" s="1290"/>
      <c r="H75" s="1063"/>
      <c r="I75" s="1259"/>
    </row>
    <row r="76" spans="1:9">
      <c r="I76" s="524"/>
    </row>
    <row r="77" spans="1:9">
      <c r="C77" s="520"/>
      <c r="D77" s="1312" t="s">
        <v>1169</v>
      </c>
      <c r="E77" s="1312"/>
      <c r="F77" s="1312"/>
      <c r="I77" s="524"/>
    </row>
    <row r="78" spans="1:9">
      <c r="A78" s="480"/>
      <c r="B78" s="480"/>
      <c r="D78" s="1284" t="s">
        <v>1196</v>
      </c>
      <c r="E78" s="1284"/>
      <c r="F78" s="1284"/>
      <c r="I78" s="524"/>
    </row>
    <row r="79" spans="1:9">
      <c r="A79" s="480"/>
      <c r="B79" s="480"/>
      <c r="I79" s="524"/>
    </row>
    <row r="80" spans="1:9" ht="13.8" customHeight="1">
      <c r="A80" s="518"/>
      <c r="B80" s="519" t="s">
        <v>2778</v>
      </c>
      <c r="D80" s="1284" t="s">
        <v>1353</v>
      </c>
      <c r="E80" s="1284"/>
      <c r="F80" s="1284"/>
      <c r="I80" s="524" t="s">
        <v>2078</v>
      </c>
    </row>
    <row r="81" spans="1:9" ht="14.4">
      <c r="A81" s="518"/>
      <c r="B81" s="518"/>
      <c r="D81" s="1284"/>
      <c r="E81" s="1284"/>
      <c r="F81" s="1284"/>
      <c r="I81" s="524"/>
    </row>
    <row r="82" spans="1:9" ht="14.4">
      <c r="A82" s="518"/>
      <c r="B82" s="518"/>
      <c r="D82" s="1284"/>
      <c r="E82" s="1284"/>
      <c r="F82" s="1284"/>
      <c r="I82" s="524"/>
    </row>
    <row r="83" spans="1:9" ht="14.4">
      <c r="A83" s="518"/>
      <c r="B83" s="518"/>
      <c r="D83" s="1284"/>
      <c r="E83" s="1284"/>
      <c r="F83" s="1284"/>
      <c r="I83" s="524"/>
    </row>
    <row r="84" spans="1:9" ht="14.4">
      <c r="A84" s="518"/>
      <c r="B84" s="518"/>
      <c r="D84" s="1284"/>
      <c r="E84" s="1284"/>
      <c r="F84" s="1284"/>
      <c r="I84" s="524"/>
    </row>
    <row r="85" spans="1:9" ht="14.4">
      <c r="A85" s="518"/>
      <c r="B85" s="518"/>
      <c r="D85" s="1284"/>
      <c r="E85" s="1284"/>
      <c r="F85" s="1284"/>
      <c r="I85" s="524"/>
    </row>
    <row r="86" spans="1:9" ht="14.4">
      <c r="A86" s="518"/>
      <c r="B86" s="518"/>
      <c r="D86" s="1284"/>
      <c r="E86" s="1284"/>
      <c r="F86" s="1284"/>
      <c r="I86" s="524"/>
    </row>
    <row r="87" spans="1:9" ht="14.4">
      <c r="A87" s="518"/>
      <c r="B87" s="518"/>
      <c r="D87" s="1284"/>
      <c r="E87" s="1284"/>
      <c r="F87" s="1284"/>
      <c r="I87" s="524"/>
    </row>
    <row r="88" spans="1:9" ht="14.4">
      <c r="A88" s="518"/>
      <c r="B88" s="518"/>
      <c r="D88" s="416"/>
      <c r="E88" s="416"/>
      <c r="F88" s="416"/>
      <c r="I88" s="524"/>
    </row>
    <row r="89" spans="1:9" ht="15" customHeight="1">
      <c r="A89" s="518"/>
      <c r="B89" s="519" t="s">
        <v>2778</v>
      </c>
      <c r="D89" s="1284" t="s">
        <v>1932</v>
      </c>
      <c r="E89" s="1284"/>
      <c r="F89" s="1284"/>
      <c r="I89" s="524" t="s">
        <v>2079</v>
      </c>
    </row>
    <row r="90" spans="1:9" ht="14.4">
      <c r="A90" s="518"/>
      <c r="B90" s="518"/>
      <c r="D90" s="1284"/>
      <c r="E90" s="1284"/>
      <c r="F90" s="1284"/>
      <c r="I90" s="524"/>
    </row>
    <row r="91" spans="1:9" ht="14.4">
      <c r="A91" s="518"/>
      <c r="B91" s="518"/>
      <c r="D91" s="479"/>
      <c r="E91" s="479"/>
      <c r="F91" s="479"/>
      <c r="I91" s="524"/>
    </row>
    <row r="92" spans="1:9" ht="14.4">
      <c r="A92" s="518"/>
      <c r="B92" s="519" t="s">
        <v>2783</v>
      </c>
      <c r="D92" s="1284" t="s">
        <v>1935</v>
      </c>
      <c r="E92" s="1284"/>
      <c r="F92" s="1284"/>
      <c r="I92" s="524" t="s">
        <v>2080</v>
      </c>
    </row>
    <row r="93" spans="1:9" ht="14.4">
      <c r="A93" s="518"/>
      <c r="B93" s="518"/>
      <c r="D93" s="1284"/>
      <c r="E93" s="1284"/>
      <c r="F93" s="1284"/>
      <c r="I93" s="524"/>
    </row>
    <row r="94" spans="1:9" ht="14.4">
      <c r="A94" s="518"/>
      <c r="B94" s="518"/>
      <c r="D94" s="1284"/>
      <c r="E94" s="1284"/>
      <c r="F94" s="1284"/>
      <c r="I94" s="524"/>
    </row>
    <row r="95" spans="1:9" ht="14.4">
      <c r="A95" s="518"/>
      <c r="B95" s="518"/>
      <c r="D95" s="479"/>
      <c r="E95" s="479"/>
      <c r="F95" s="479"/>
      <c r="I95" s="524"/>
    </row>
    <row r="96" spans="1:9" ht="14.4">
      <c r="A96" s="518"/>
      <c r="B96" s="519" t="s">
        <v>2778</v>
      </c>
      <c r="D96" s="1284" t="s">
        <v>1934</v>
      </c>
      <c r="E96" s="1284"/>
      <c r="F96" s="1284"/>
      <c r="I96" s="524" t="s">
        <v>2125</v>
      </c>
    </row>
    <row r="97" spans="1:9" s="1022" customFormat="1" ht="14.4">
      <c r="A97" s="1020"/>
      <c r="B97" s="1020"/>
      <c r="C97" s="1021"/>
      <c r="D97" s="1284"/>
      <c r="E97" s="1284"/>
      <c r="F97" s="1284"/>
      <c r="I97" s="1260"/>
    </row>
    <row r="98" spans="1:9" ht="14.4">
      <c r="A98" s="518"/>
      <c r="B98" s="518"/>
      <c r="D98" s="423"/>
      <c r="E98" s="336" t="s">
        <v>2220</v>
      </c>
      <c r="F98" s="479"/>
      <c r="I98" s="524"/>
    </row>
    <row r="99" spans="1:9" ht="14.4">
      <c r="A99" s="518"/>
      <c r="B99" s="518"/>
      <c r="D99" s="416"/>
      <c r="E99" s="416"/>
      <c r="F99" s="416"/>
      <c r="I99" s="524"/>
    </row>
    <row r="100" spans="1:9" ht="14.4">
      <c r="A100" s="518"/>
      <c r="B100" s="519" t="s">
        <v>2783</v>
      </c>
      <c r="D100" s="1284" t="s">
        <v>1933</v>
      </c>
      <c r="E100" s="1284"/>
      <c r="F100" s="1284"/>
      <c r="I100" s="524" t="s">
        <v>2081</v>
      </c>
    </row>
    <row r="101" spans="1:9" ht="14.4">
      <c r="A101" s="518"/>
      <c r="B101" s="518"/>
      <c r="D101" s="1284"/>
      <c r="E101" s="1284"/>
      <c r="F101" s="1284"/>
      <c r="I101" s="524"/>
    </row>
    <row r="102" spans="1:9" ht="14.4">
      <c r="A102" s="518"/>
      <c r="B102" s="518"/>
      <c r="D102" s="479"/>
      <c r="E102" s="479"/>
      <c r="F102" s="479"/>
      <c r="I102" s="524"/>
    </row>
    <row r="103" spans="1:9" ht="14.55" customHeight="1">
      <c r="A103" s="518"/>
      <c r="B103" s="519" t="s">
        <v>2783</v>
      </c>
      <c r="D103" s="1284" t="s">
        <v>1300</v>
      </c>
      <c r="E103" s="1284"/>
      <c r="F103" s="1284"/>
      <c r="I103" s="524" t="s">
        <v>2082</v>
      </c>
    </row>
    <row r="104" spans="1:9" ht="14.4">
      <c r="A104" s="518"/>
      <c r="B104" s="518"/>
      <c r="D104" s="1284"/>
      <c r="E104" s="1284"/>
      <c r="F104" s="1284"/>
      <c r="I104" s="524"/>
    </row>
    <row r="105" spans="1:9" ht="14.4">
      <c r="A105" s="518"/>
      <c r="B105" s="518"/>
      <c r="D105" s="1284"/>
      <c r="E105" s="1284"/>
      <c r="F105" s="1284"/>
      <c r="I105" s="524"/>
    </row>
    <row r="106" spans="1:9" ht="14.4">
      <c r="A106" s="518"/>
      <c r="B106" s="518"/>
      <c r="D106" s="1284"/>
      <c r="E106" s="1284"/>
      <c r="F106" s="1284"/>
      <c r="I106" s="524"/>
    </row>
    <row r="107" spans="1:9" ht="14.4">
      <c r="A107" s="518"/>
      <c r="B107" s="518"/>
      <c r="D107" s="1284"/>
      <c r="E107" s="1284"/>
      <c r="F107" s="1284"/>
      <c r="I107" s="524"/>
    </row>
    <row r="108" spans="1:9" ht="14.4">
      <c r="A108" s="518"/>
      <c r="B108" s="518"/>
      <c r="D108" s="1284"/>
      <c r="E108" s="1284"/>
      <c r="F108" s="1284"/>
      <c r="I108" s="524"/>
    </row>
    <row r="109" spans="1:9" ht="14.4">
      <c r="A109" s="518"/>
      <c r="B109" s="518"/>
      <c r="D109" s="1284"/>
      <c r="E109" s="1284"/>
      <c r="F109" s="1284"/>
      <c r="I109" s="524"/>
    </row>
    <row r="110" spans="1:9" ht="14.4">
      <c r="A110" s="518"/>
      <c r="B110" s="518"/>
      <c r="D110" s="1284"/>
      <c r="E110" s="1284"/>
      <c r="F110" s="1284"/>
      <c r="I110" s="524"/>
    </row>
    <row r="111" spans="1:9" ht="14.4">
      <c r="A111" s="518"/>
      <c r="B111" s="518"/>
      <c r="D111" s="1284"/>
      <c r="E111" s="1284"/>
      <c r="F111" s="1284"/>
      <c r="I111" s="524"/>
    </row>
    <row r="112" spans="1:9" ht="14.4">
      <c r="A112" s="518"/>
      <c r="B112" s="518"/>
      <c r="D112" s="1284"/>
      <c r="E112" s="1284"/>
      <c r="F112" s="1284"/>
      <c r="I112" s="524"/>
    </row>
    <row r="113" spans="1:9" ht="14.4">
      <c r="A113" s="518"/>
      <c r="B113" s="518"/>
      <c r="D113" s="1284"/>
      <c r="E113" s="1284"/>
      <c r="F113" s="1284"/>
      <c r="I113" s="524"/>
    </row>
    <row r="114" spans="1:9" ht="14.4">
      <c r="A114" s="518"/>
      <c r="B114" s="518"/>
      <c r="D114" s="1284"/>
      <c r="E114" s="1284"/>
      <c r="F114" s="1284"/>
      <c r="I114" s="524"/>
    </row>
    <row r="115" spans="1:9" ht="14.4">
      <c r="A115" s="518"/>
      <c r="B115" s="518"/>
      <c r="D115" s="1284"/>
      <c r="E115" s="1284"/>
      <c r="F115" s="1284"/>
      <c r="I115" s="524"/>
    </row>
    <row r="116" spans="1:9" ht="14.4">
      <c r="A116" s="518"/>
      <c r="B116" s="518"/>
      <c r="D116" s="1284"/>
      <c r="E116" s="1284"/>
      <c r="F116" s="1284"/>
      <c r="I116" s="524"/>
    </row>
    <row r="117" spans="1:9" ht="14.4">
      <c r="A117" s="518"/>
      <c r="B117" s="518"/>
      <c r="D117" s="1284"/>
      <c r="E117" s="1284"/>
      <c r="F117" s="1284"/>
      <c r="I117" s="524"/>
    </row>
    <row r="118" spans="1:9" ht="14.4">
      <c r="A118" s="518"/>
      <c r="B118" s="518"/>
      <c r="D118" s="558"/>
      <c r="E118" s="558"/>
      <c r="F118" s="558"/>
      <c r="I118" s="524"/>
    </row>
    <row r="119" spans="1:9" ht="14.25" customHeight="1">
      <c r="A119" s="518"/>
      <c r="B119" s="519" t="s">
        <v>2783</v>
      </c>
      <c r="D119" s="1311" t="s">
        <v>1171</v>
      </c>
      <c r="E119" s="1311"/>
      <c r="F119" s="1311"/>
      <c r="I119" s="524"/>
    </row>
    <row r="120" spans="1:9" ht="14.4">
      <c r="A120" s="518"/>
      <c r="B120" s="518"/>
      <c r="D120" s="1311"/>
      <c r="E120" s="1311"/>
      <c r="F120" s="1311"/>
      <c r="I120" s="524"/>
    </row>
    <row r="121" spans="1:9" ht="14.4">
      <c r="A121" s="518"/>
      <c r="B121" s="518"/>
      <c r="D121" s="1311"/>
      <c r="E121" s="1311"/>
      <c r="F121" s="1311"/>
      <c r="I121" s="524"/>
    </row>
    <row r="122" spans="1:9" ht="14.4">
      <c r="A122" s="518"/>
      <c r="B122" s="518"/>
      <c r="D122" s="1311"/>
      <c r="E122" s="1311"/>
      <c r="F122" s="1311"/>
      <c r="I122" s="524"/>
    </row>
    <row r="123" spans="1:9" ht="14.4">
      <c r="A123" s="518"/>
      <c r="B123" s="518"/>
      <c r="D123" s="1311"/>
      <c r="E123" s="1311"/>
      <c r="F123" s="1311"/>
      <c r="I123" s="524"/>
    </row>
    <row r="124" spans="1:9" ht="14.4">
      <c r="A124" s="518"/>
      <c r="B124" s="518"/>
      <c r="D124" s="1311"/>
      <c r="E124" s="1311"/>
      <c r="F124" s="1311"/>
      <c r="I124" s="524"/>
    </row>
    <row r="125" spans="1:9" ht="14.4">
      <c r="A125" s="518"/>
      <c r="B125" s="518"/>
      <c r="D125" s="1311"/>
      <c r="E125" s="1311"/>
      <c r="F125" s="1311"/>
      <c r="I125" s="524"/>
    </row>
    <row r="126" spans="1:9" ht="14.4">
      <c r="A126" s="518"/>
      <c r="B126" s="518"/>
      <c r="D126" s="1311"/>
      <c r="E126" s="1311"/>
      <c r="F126" s="1311"/>
      <c r="I126" s="524"/>
    </row>
    <row r="127" spans="1:9">
      <c r="C127" s="433"/>
      <c r="D127" s="559"/>
      <c r="E127" s="559"/>
      <c r="F127" s="559"/>
      <c r="I127" s="524"/>
    </row>
    <row r="128" spans="1:9" ht="14.4">
      <c r="A128" s="518"/>
      <c r="B128" s="519" t="s">
        <v>2778</v>
      </c>
      <c r="C128" s="433"/>
      <c r="D128" s="1311" t="s">
        <v>2360</v>
      </c>
      <c r="E128" s="1311"/>
      <c r="F128" s="1311"/>
      <c r="I128" s="524" t="s">
        <v>2083</v>
      </c>
    </row>
    <row r="129" spans="1:9" ht="14.4">
      <c r="A129" s="518"/>
      <c r="B129" s="518"/>
      <c r="C129" s="433"/>
      <c r="D129" s="1311"/>
      <c r="E129" s="1311"/>
      <c r="F129" s="1311"/>
      <c r="I129" s="524"/>
    </row>
    <row r="130" spans="1:9">
      <c r="I130" s="524"/>
    </row>
    <row r="131" spans="1:9" ht="14.4">
      <c r="A131" s="518"/>
      <c r="B131" s="519" t="s">
        <v>2778</v>
      </c>
      <c r="D131" s="1284" t="s">
        <v>1174</v>
      </c>
      <c r="E131" s="1284"/>
      <c r="F131" s="1284"/>
      <c r="I131" s="524" t="s">
        <v>2083</v>
      </c>
    </row>
    <row r="132" spans="1:9">
      <c r="D132" s="1284"/>
      <c r="E132" s="1284"/>
      <c r="F132" s="1284"/>
      <c r="I132" s="524"/>
    </row>
    <row r="133" spans="1:9">
      <c r="D133" s="1284"/>
      <c r="E133" s="1284"/>
      <c r="F133" s="1284"/>
      <c r="I133" s="524"/>
    </row>
    <row r="134" spans="1:9">
      <c r="D134" s="1284"/>
      <c r="E134" s="1284"/>
      <c r="F134" s="1284"/>
      <c r="I134" s="524"/>
    </row>
    <row r="135" spans="1:9">
      <c r="D135" s="1284"/>
      <c r="E135" s="1284"/>
      <c r="F135" s="1284"/>
      <c r="I135" s="524"/>
    </row>
    <row r="136" spans="1:9">
      <c r="I136" s="524"/>
    </row>
    <row r="137" spans="1:9" ht="14.4">
      <c r="A137" s="518"/>
      <c r="B137" s="519" t="s">
        <v>2778</v>
      </c>
      <c r="D137" s="1284" t="s">
        <v>1175</v>
      </c>
      <c r="E137" s="1284"/>
      <c r="F137" s="1284"/>
      <c r="I137" s="524" t="s">
        <v>2084</v>
      </c>
    </row>
    <row r="138" spans="1:9" s="448" customFormat="1" ht="13.8" customHeight="1">
      <c r="A138" s="522"/>
      <c r="B138" s="522"/>
      <c r="C138" s="522"/>
      <c r="D138" s="1284"/>
      <c r="E138" s="1284"/>
      <c r="F138" s="1284"/>
      <c r="I138" s="1261"/>
    </row>
    <row r="139" spans="1:9" ht="13.8" customHeight="1">
      <c r="D139" s="1284"/>
      <c r="E139" s="1284"/>
      <c r="F139" s="1284"/>
      <c r="I139" s="524"/>
    </row>
    <row r="140" spans="1:9" ht="13.8" customHeight="1">
      <c r="D140" s="1284"/>
      <c r="E140" s="1284"/>
      <c r="F140" s="1284"/>
      <c r="I140" s="524"/>
    </row>
    <row r="141" spans="1:9" ht="13.8" customHeight="1">
      <c r="D141" s="1284"/>
      <c r="E141" s="1284"/>
      <c r="F141" s="1284"/>
      <c r="I141" s="524"/>
    </row>
    <row r="142" spans="1:9" ht="13.8" customHeight="1">
      <c r="A142" s="523"/>
      <c r="B142" s="523"/>
      <c r="D142" s="1284"/>
      <c r="E142" s="1284"/>
      <c r="F142" s="1284"/>
      <c r="I142" s="524"/>
    </row>
    <row r="143" spans="1:9" ht="13.8" customHeight="1">
      <c r="D143" s="1284"/>
      <c r="E143" s="1284"/>
      <c r="F143" s="1284"/>
      <c r="I143" s="524"/>
    </row>
    <row r="144" spans="1:9" ht="13.8" customHeight="1">
      <c r="D144" s="1284"/>
      <c r="E144" s="1284"/>
      <c r="F144" s="1284"/>
      <c r="I144" s="524"/>
    </row>
    <row r="145" spans="2:9" ht="13.8" customHeight="1">
      <c r="D145" s="1284"/>
      <c r="E145" s="1284"/>
      <c r="F145" s="1284"/>
      <c r="I145" s="524"/>
    </row>
    <row r="146" spans="2:9" ht="13.8" customHeight="1">
      <c r="D146" s="1284"/>
      <c r="E146" s="1284"/>
      <c r="F146" s="1284"/>
      <c r="I146" s="524"/>
    </row>
    <row r="147" spans="2:9" ht="13.8" customHeight="1">
      <c r="D147" s="1284"/>
      <c r="E147" s="1284"/>
      <c r="F147" s="1284"/>
      <c r="I147" s="524"/>
    </row>
    <row r="148" spans="2:9" ht="13.8" customHeight="1">
      <c r="D148" s="1284"/>
      <c r="E148" s="1284"/>
      <c r="F148" s="1284"/>
      <c r="I148" s="524"/>
    </row>
    <row r="149" spans="2:9" ht="13.8" customHeight="1">
      <c r="D149" s="1284"/>
      <c r="E149" s="1284"/>
      <c r="F149" s="1284"/>
      <c r="I149" s="524"/>
    </row>
    <row r="150" spans="2:9" ht="13.8" customHeight="1">
      <c r="D150" s="510"/>
      <c r="E150" s="480"/>
      <c r="F150" s="480"/>
      <c r="I150" s="524"/>
    </row>
    <row r="151" spans="2:9" ht="13.8" customHeight="1">
      <c r="B151" s="519" t="s">
        <v>2783</v>
      </c>
      <c r="D151" s="1284" t="s">
        <v>1283</v>
      </c>
      <c r="E151" s="1284"/>
      <c r="F151" s="1284"/>
      <c r="I151" s="524" t="s">
        <v>2085</v>
      </c>
    </row>
    <row r="152" spans="2:9" ht="13.8" customHeight="1">
      <c r="D152" s="1284"/>
      <c r="E152" s="1284"/>
      <c r="F152" s="1284"/>
      <c r="I152" s="524"/>
    </row>
    <row r="153" spans="2:9" ht="13.8" customHeight="1">
      <c r="D153" s="1284"/>
      <c r="E153" s="1284"/>
      <c r="F153" s="1284"/>
      <c r="I153" s="524"/>
    </row>
    <row r="154" spans="2:9" ht="13.8" customHeight="1">
      <c r="D154" s="1284"/>
      <c r="E154" s="1284"/>
      <c r="F154" s="1284"/>
      <c r="I154" s="524"/>
    </row>
    <row r="155" spans="2:9" ht="13.8" customHeight="1">
      <c r="D155" s="1284"/>
      <c r="E155" s="1284"/>
      <c r="F155" s="1284"/>
      <c r="I155" s="524"/>
    </row>
    <row r="156" spans="2:9" ht="13.8" customHeight="1">
      <c r="D156" s="1284"/>
      <c r="E156" s="1284"/>
      <c r="F156" s="1284"/>
      <c r="I156" s="524"/>
    </row>
    <row r="157" spans="2:9" ht="13.8" customHeight="1">
      <c r="D157" s="1284"/>
      <c r="E157" s="1284"/>
      <c r="F157" s="1284"/>
      <c r="I157" s="524"/>
    </row>
    <row r="158" spans="2:9" ht="13.8" customHeight="1">
      <c r="D158" s="1284"/>
      <c r="E158" s="1284"/>
      <c r="F158" s="1284"/>
      <c r="I158" s="524"/>
    </row>
    <row r="159" spans="2:9" ht="13.8" customHeight="1">
      <c r="D159" s="1284"/>
      <c r="E159" s="1284"/>
      <c r="F159" s="1284"/>
      <c r="I159" s="524"/>
    </row>
    <row r="160" spans="2:9" ht="13.8" customHeight="1">
      <c r="D160" s="1284"/>
      <c r="E160" s="1284"/>
      <c r="F160" s="1284"/>
      <c r="I160" s="524"/>
    </row>
    <row r="161" spans="1:9" ht="13.8" customHeight="1">
      <c r="D161" s="1284"/>
      <c r="E161" s="1284"/>
      <c r="F161" s="1284"/>
      <c r="I161" s="524"/>
    </row>
    <row r="162" spans="1:9" ht="13.8" customHeight="1">
      <c r="D162" s="1284"/>
      <c r="E162" s="1284"/>
      <c r="F162" s="1284"/>
      <c r="I162" s="524"/>
    </row>
    <row r="163" spans="1:9" ht="13.8" customHeight="1">
      <c r="D163" s="1284"/>
      <c r="E163" s="1284"/>
      <c r="F163" s="1284"/>
      <c r="I163" s="524"/>
    </row>
    <row r="164" spans="1:9" ht="13.8" customHeight="1">
      <c r="D164" s="1284"/>
      <c r="E164" s="1284"/>
      <c r="F164" s="1284"/>
      <c r="I164" s="524"/>
    </row>
    <row r="165" spans="1:9" ht="13.8" customHeight="1">
      <c r="D165" s="1284"/>
      <c r="E165" s="1284"/>
      <c r="F165" s="1284"/>
      <c r="I165" s="524"/>
    </row>
    <row r="166" spans="1:9" ht="13.8" customHeight="1">
      <c r="D166" s="1284"/>
      <c r="E166" s="1284"/>
      <c r="F166" s="1284"/>
      <c r="I166" s="524"/>
    </row>
    <row r="167" spans="1:9" ht="13.8" customHeight="1">
      <c r="D167" s="1284"/>
      <c r="E167" s="1284"/>
      <c r="F167" s="1284"/>
      <c r="I167" s="524"/>
    </row>
    <row r="168" spans="1:9" ht="13.8" customHeight="1">
      <c r="D168" s="1284"/>
      <c r="E168" s="1284"/>
      <c r="F168" s="1284"/>
      <c r="I168" s="524"/>
    </row>
    <row r="169" spans="1:9" ht="13.8" customHeight="1">
      <c r="D169" s="1342" t="s">
        <v>2384</v>
      </c>
      <c r="E169" s="1342"/>
      <c r="F169" s="1342"/>
      <c r="G169" s="541"/>
      <c r="I169" s="524"/>
    </row>
    <row r="170" spans="1:9" ht="13.8" customHeight="1">
      <c r="D170" s="1317"/>
      <c r="E170" s="1317"/>
      <c r="F170" s="1317"/>
      <c r="G170" s="1317"/>
      <c r="I170" s="524"/>
    </row>
    <row r="171" spans="1:9" ht="14.55" customHeight="1">
      <c r="A171" s="523"/>
      <c r="B171" s="519" t="s">
        <v>2783</v>
      </c>
      <c r="C171" s="510"/>
      <c r="D171" s="1272" t="s">
        <v>2570</v>
      </c>
      <c r="E171" s="1272"/>
      <c r="F171" s="1272"/>
      <c r="G171" s="510"/>
      <c r="I171" s="524" t="s">
        <v>2080</v>
      </c>
    </row>
    <row r="172" spans="1:9" ht="14.55" customHeight="1">
      <c r="A172" s="523"/>
      <c r="B172" s="523"/>
      <c r="C172" s="510"/>
      <c r="D172" s="1272"/>
      <c r="E172" s="1272"/>
      <c r="F172" s="1272"/>
      <c r="G172" s="510"/>
      <c r="I172" s="524"/>
    </row>
    <row r="173" spans="1:9" ht="14.55" customHeight="1">
      <c r="A173" s="523"/>
      <c r="B173" s="523"/>
      <c r="C173" s="510"/>
      <c r="D173" s="1272"/>
      <c r="E173" s="1272"/>
      <c r="F173" s="1272"/>
      <c r="G173" s="510"/>
      <c r="I173" s="524"/>
    </row>
    <row r="174" spans="1:9" ht="14.55" customHeight="1">
      <c r="A174" s="523"/>
      <c r="B174" s="523"/>
      <c r="C174" s="510"/>
      <c r="D174" s="1272"/>
      <c r="E174" s="1272"/>
      <c r="F174" s="1272"/>
      <c r="G174" s="510"/>
      <c r="I174" s="524"/>
    </row>
    <row r="175" spans="1:9" ht="13.8" customHeight="1">
      <c r="A175" s="523"/>
      <c r="B175" s="523"/>
      <c r="C175" s="510"/>
      <c r="D175" s="1272"/>
      <c r="E175" s="1272"/>
      <c r="F175" s="1272"/>
      <c r="G175" s="510"/>
      <c r="I175" s="524"/>
    </row>
    <row r="176" spans="1:9" ht="13.8" customHeight="1">
      <c r="A176" s="523"/>
      <c r="B176" s="523"/>
      <c r="C176" s="510"/>
      <c r="D176" s="510"/>
      <c r="E176" s="510"/>
      <c r="F176" s="510"/>
      <c r="G176" s="510"/>
      <c r="I176" s="524"/>
    </row>
    <row r="177" spans="1:9" ht="13.8" customHeight="1">
      <c r="A177" s="523"/>
      <c r="B177" s="519" t="s">
        <v>2783</v>
      </c>
      <c r="C177" s="510"/>
      <c r="D177" s="1272" t="s">
        <v>1177</v>
      </c>
      <c r="E177" s="1272"/>
      <c r="F177" s="1272"/>
      <c r="G177" s="510"/>
      <c r="I177" s="524" t="s">
        <v>2086</v>
      </c>
    </row>
    <row r="178" spans="1:9" ht="13.8" customHeight="1">
      <c r="A178" s="523"/>
      <c r="B178" s="523"/>
      <c r="C178" s="510"/>
      <c r="D178" s="1272"/>
      <c r="E178" s="1272"/>
      <c r="F178" s="1272"/>
      <c r="G178" s="510"/>
      <c r="I178" s="524"/>
    </row>
    <row r="179" spans="1:9" ht="13.8" customHeight="1">
      <c r="A179" s="523"/>
      <c r="B179" s="523"/>
      <c r="C179" s="510"/>
      <c r="D179" s="1272"/>
      <c r="E179" s="1272"/>
      <c r="F179" s="1272"/>
      <c r="G179" s="510"/>
      <c r="I179" s="524"/>
    </row>
    <row r="180" spans="1:9" ht="13.8" customHeight="1">
      <c r="A180" s="523"/>
      <c r="B180" s="523"/>
      <c r="C180" s="510"/>
      <c r="D180" s="1272"/>
      <c r="E180" s="1272"/>
      <c r="F180" s="1272"/>
      <c r="G180" s="510"/>
      <c r="I180" s="524"/>
    </row>
    <row r="181" spans="1:9" ht="13.8" customHeight="1">
      <c r="D181" s="480"/>
      <c r="E181" s="480"/>
      <c r="F181" s="480"/>
      <c r="I181" s="524"/>
    </row>
    <row r="182" spans="1:9" ht="13.8" customHeight="1">
      <c r="B182" s="519" t="s">
        <v>2783</v>
      </c>
      <c r="D182" s="1306" t="s">
        <v>2361</v>
      </c>
      <c r="E182" s="1306"/>
      <c r="F182" s="1306"/>
      <c r="I182" s="524" t="s">
        <v>2087</v>
      </c>
    </row>
    <row r="183" spans="1:9" ht="13.8" customHeight="1">
      <c r="D183" s="1306"/>
      <c r="E183" s="1306"/>
      <c r="F183" s="1306"/>
      <c r="I183" s="524"/>
    </row>
    <row r="184" spans="1:9" ht="13.8" customHeight="1">
      <c r="D184" s="1306"/>
      <c r="E184" s="1306"/>
      <c r="F184" s="1306"/>
      <c r="I184" s="524"/>
    </row>
    <row r="185" spans="1:9" ht="13.8" customHeight="1">
      <c r="A185" s="524"/>
      <c r="B185" s="524"/>
      <c r="E185" s="480"/>
      <c r="F185" s="480"/>
      <c r="I185" s="524"/>
    </row>
    <row r="186" spans="1:9">
      <c r="A186" s="1290" t="s">
        <v>2362</v>
      </c>
      <c r="B186" s="1290"/>
      <c r="C186" s="1290"/>
      <c r="D186" s="1290"/>
      <c r="E186" s="1290"/>
      <c r="F186" s="1290"/>
      <c r="G186" s="1290"/>
      <c r="H186" s="1063"/>
      <c r="I186" s="1259"/>
    </row>
    <row r="187" spans="1:9" ht="12" customHeight="1">
      <c r="D187" s="480"/>
      <c r="E187" s="480"/>
      <c r="F187" s="480"/>
      <c r="I187" s="524"/>
    </row>
    <row r="188" spans="1:9">
      <c r="B188" s="1299" t="s">
        <v>448</v>
      </c>
      <c r="C188" s="1299"/>
      <c r="D188" s="1299"/>
      <c r="E188" s="1299"/>
      <c r="F188" s="1299"/>
      <c r="I188" s="524"/>
    </row>
    <row r="189" spans="1:9">
      <c r="B189" s="423" t="s">
        <v>2066</v>
      </c>
      <c r="C189" s="423"/>
      <c r="D189" s="423"/>
      <c r="E189" s="423"/>
      <c r="F189" s="423"/>
      <c r="I189" s="524"/>
    </row>
    <row r="190" spans="1:9" ht="12" customHeight="1">
      <c r="A190" s="516"/>
      <c r="B190" s="516"/>
      <c r="C190" s="516"/>
      <c r="I190" s="524"/>
    </row>
    <row r="191" spans="1:9">
      <c r="A191" s="1290" t="s">
        <v>1073</v>
      </c>
      <c r="B191" s="1290"/>
      <c r="C191" s="1290"/>
      <c r="D191" s="1290"/>
      <c r="E191" s="1290"/>
      <c r="F191" s="1290"/>
      <c r="G191" s="1290"/>
      <c r="H191" s="1063"/>
      <c r="I191" s="1259"/>
    </row>
    <row r="192" spans="1:9" ht="12" customHeight="1">
      <c r="A192" s="435"/>
      <c r="B192" s="435"/>
      <c r="E192" s="435"/>
      <c r="I192" s="524"/>
    </row>
    <row r="193" spans="1:9" ht="13.8" customHeight="1">
      <c r="A193" s="435"/>
      <c r="B193" s="435"/>
      <c r="D193" s="1312" t="s">
        <v>1936</v>
      </c>
      <c r="E193" s="1312"/>
      <c r="F193" s="1312"/>
      <c r="I193" s="524"/>
    </row>
    <row r="194" spans="1:9">
      <c r="A194" s="435"/>
      <c r="B194" s="435"/>
      <c r="D194" s="1312"/>
      <c r="E194" s="1312"/>
      <c r="F194" s="1312"/>
      <c r="I194" s="524"/>
    </row>
    <row r="195" spans="1:9">
      <c r="A195" s="435"/>
      <c r="B195" s="435"/>
      <c r="D195" s="1299" t="s">
        <v>1301</v>
      </c>
      <c r="E195" s="1299"/>
      <c r="F195" s="1299"/>
      <c r="I195" s="524"/>
    </row>
    <row r="196" spans="1:9">
      <c r="A196" s="435"/>
      <c r="B196" s="435"/>
      <c r="D196" s="423"/>
      <c r="E196" s="423"/>
      <c r="F196" s="423"/>
      <c r="I196" s="524"/>
    </row>
    <row r="197" spans="1:9">
      <c r="A197" s="435"/>
      <c r="B197" s="519" t="s">
        <v>2778</v>
      </c>
      <c r="D197" s="1289" t="s">
        <v>1937</v>
      </c>
      <c r="E197" s="1289"/>
      <c r="F197" s="1289"/>
      <c r="I197" s="524" t="s">
        <v>2136</v>
      </c>
    </row>
    <row r="198" spans="1:9">
      <c r="A198" s="435"/>
      <c r="B198" s="435"/>
      <c r="D198" s="1293" t="s">
        <v>2198</v>
      </c>
      <c r="E198" s="1293"/>
      <c r="F198" s="1293"/>
      <c r="I198" s="524"/>
    </row>
    <row r="199" spans="1:9">
      <c r="A199" s="435"/>
      <c r="B199" s="435"/>
      <c r="D199" s="96" t="s">
        <v>1938</v>
      </c>
      <c r="E199" s="1341" t="s">
        <v>2221</v>
      </c>
      <c r="F199" s="1341"/>
      <c r="I199" s="524"/>
    </row>
    <row r="200" spans="1:9">
      <c r="A200" s="435"/>
      <c r="B200" s="435"/>
      <c r="D200" s="3"/>
      <c r="E200" s="3"/>
      <c r="F200" s="3"/>
      <c r="I200" s="524"/>
    </row>
    <row r="201" spans="1:9">
      <c r="A201" s="435"/>
      <c r="B201" s="519" t="s">
        <v>2783</v>
      </c>
      <c r="D201" s="1293" t="s">
        <v>1939</v>
      </c>
      <c r="E201" s="1293"/>
      <c r="F201" s="1293"/>
      <c r="I201" s="524" t="s">
        <v>2137</v>
      </c>
    </row>
    <row r="202" spans="1:9">
      <c r="A202" s="435"/>
      <c r="B202" s="435"/>
      <c r="D202" s="1289" t="s">
        <v>2198</v>
      </c>
      <c r="E202" s="1289"/>
      <c r="F202" s="1289"/>
      <c r="I202" s="524"/>
    </row>
    <row r="203" spans="1:9">
      <c r="A203" s="435"/>
      <c r="B203" s="435"/>
      <c r="D203" s="57" t="s">
        <v>1940</v>
      </c>
      <c r="E203" s="1341" t="s">
        <v>2222</v>
      </c>
      <c r="F203" s="1341"/>
      <c r="I203" s="524"/>
    </row>
    <row r="204" spans="1:9">
      <c r="A204" s="435"/>
      <c r="B204" s="435"/>
      <c r="D204" s="3"/>
      <c r="E204" s="3"/>
      <c r="F204" s="3"/>
      <c r="I204" s="524"/>
    </row>
    <row r="205" spans="1:9">
      <c r="A205" s="435"/>
      <c r="B205" s="519" t="s">
        <v>2783</v>
      </c>
      <c r="D205" s="1293" t="s">
        <v>1941</v>
      </c>
      <c r="E205" s="1293"/>
      <c r="F205" s="1293"/>
      <c r="I205" s="524" t="s">
        <v>2138</v>
      </c>
    </row>
    <row r="206" spans="1:9">
      <c r="A206" s="435"/>
      <c r="B206" s="435"/>
      <c r="D206" s="1289" t="s">
        <v>2198</v>
      </c>
      <c r="E206" s="1289"/>
      <c r="F206" s="1289"/>
      <c r="I206" s="524"/>
    </row>
    <row r="207" spans="1:9">
      <c r="A207" s="435"/>
      <c r="B207" s="435"/>
      <c r="D207" s="57" t="s">
        <v>1938</v>
      </c>
      <c r="E207" s="1341" t="s">
        <v>2223</v>
      </c>
      <c r="F207" s="1341"/>
      <c r="I207" s="524"/>
    </row>
    <row r="208" spans="1:9">
      <c r="A208" s="435"/>
      <c r="B208" s="435"/>
      <c r="D208" s="423"/>
      <c r="E208" s="423"/>
      <c r="F208" s="423"/>
      <c r="I208" s="524"/>
    </row>
    <row r="209" spans="1:9" ht="14.25" customHeight="1">
      <c r="A209" s="518"/>
      <c r="B209" s="519" t="s">
        <v>2783</v>
      </c>
      <c r="D209" s="417" t="s">
        <v>2191</v>
      </c>
      <c r="E209" s="416"/>
      <c r="F209" s="416"/>
      <c r="I209" s="524" t="s">
        <v>2139</v>
      </c>
    </row>
    <row r="210" spans="1:9" ht="14.4">
      <c r="A210" s="518"/>
      <c r="B210" s="518"/>
      <c r="D210" s="1289" t="s">
        <v>2198</v>
      </c>
      <c r="E210" s="1289"/>
      <c r="F210" s="1289"/>
      <c r="I210" s="524"/>
    </row>
    <row r="211" spans="1:9">
      <c r="D211" s="416"/>
      <c r="E211" s="1341" t="s">
        <v>2224</v>
      </c>
      <c r="F211" s="1341"/>
      <c r="I211" s="524"/>
    </row>
    <row r="212" spans="1:9">
      <c r="D212" s="481"/>
      <c r="I212" s="524"/>
    </row>
    <row r="213" spans="1:9">
      <c r="B213" s="519" t="s">
        <v>2783</v>
      </c>
      <c r="D213" s="1293" t="s">
        <v>1942</v>
      </c>
      <c r="E213" s="1293"/>
      <c r="F213" s="1293"/>
      <c r="I213" s="524" t="s">
        <v>2140</v>
      </c>
    </row>
    <row r="214" spans="1:9">
      <c r="D214" s="1289" t="s">
        <v>2198</v>
      </c>
      <c r="E214" s="1289"/>
      <c r="F214" s="1289"/>
      <c r="I214" s="524"/>
    </row>
    <row r="215" spans="1:9">
      <c r="D215" s="57" t="s">
        <v>1938</v>
      </c>
      <c r="E215" s="1341" t="s">
        <v>2225</v>
      </c>
      <c r="F215" s="1341"/>
      <c r="I215" s="524"/>
    </row>
    <row r="216" spans="1:9">
      <c r="D216" s="485"/>
      <c r="E216" s="485"/>
      <c r="F216" s="485"/>
      <c r="I216" s="524"/>
    </row>
    <row r="217" spans="1:9" ht="14.4">
      <c r="A217" s="518"/>
      <c r="B217" s="519" t="s">
        <v>2783</v>
      </c>
      <c r="D217" s="1284" t="s">
        <v>1322</v>
      </c>
      <c r="E217" s="1284"/>
      <c r="F217" s="1284"/>
      <c r="I217" s="524"/>
    </row>
    <row r="218" spans="1:9" ht="14.55" customHeight="1">
      <c r="A218" s="518"/>
      <c r="B218" s="433"/>
      <c r="D218" s="1284"/>
      <c r="E218" s="1284"/>
      <c r="F218" s="1284"/>
      <c r="I218" s="524"/>
    </row>
    <row r="219" spans="1:9" ht="14.4">
      <c r="A219" s="518"/>
      <c r="D219" s="1284"/>
      <c r="E219" s="1284"/>
      <c r="F219" s="1284"/>
      <c r="I219" s="524"/>
    </row>
    <row r="220" spans="1:9" ht="14.4">
      <c r="A220" s="518"/>
      <c r="D220" s="1284"/>
      <c r="E220" s="1284"/>
      <c r="F220" s="1284"/>
      <c r="I220" s="524"/>
    </row>
    <row r="221" spans="1:9">
      <c r="D221" s="485"/>
      <c r="E221" s="485"/>
      <c r="F221" s="485"/>
      <c r="I221" s="524"/>
    </row>
    <row r="222" spans="1:9">
      <c r="A222" s="1290" t="s">
        <v>1074</v>
      </c>
      <c r="B222" s="1290"/>
      <c r="C222" s="1290"/>
      <c r="D222" s="1290"/>
      <c r="E222" s="1290"/>
      <c r="F222" s="1290"/>
      <c r="G222" s="1290"/>
      <c r="H222" s="1063"/>
      <c r="I222" s="1259"/>
    </row>
    <row r="223" spans="1:9" ht="12" customHeight="1">
      <c r="D223" s="480"/>
      <c r="E223" s="480"/>
      <c r="F223" s="480"/>
      <c r="I223" s="524"/>
    </row>
    <row r="224" spans="1:9">
      <c r="C224" s="520"/>
      <c r="D224" s="1282" t="s">
        <v>209</v>
      </c>
      <c r="E224" s="1282"/>
      <c r="F224" s="1282"/>
      <c r="I224" s="524"/>
    </row>
    <row r="225" spans="1:9">
      <c r="A225" s="516"/>
      <c r="B225" s="516"/>
      <c r="C225" s="516"/>
      <c r="D225" s="1313" t="s">
        <v>1203</v>
      </c>
      <c r="E225" s="1313"/>
      <c r="F225" s="1313"/>
      <c r="I225" s="524"/>
    </row>
    <row r="226" spans="1:9" ht="12" customHeight="1">
      <c r="A226" s="524"/>
      <c r="B226" s="524"/>
      <c r="C226" s="524"/>
      <c r="I226" s="524"/>
    </row>
    <row r="227" spans="1:9" ht="13.8" customHeight="1">
      <c r="A227" s="524"/>
      <c r="C227" s="524"/>
      <c r="D227" s="1282" t="s">
        <v>554</v>
      </c>
      <c r="E227" s="1282"/>
      <c r="F227" s="1282"/>
      <c r="I227" s="524" t="s">
        <v>2088</v>
      </c>
    </row>
    <row r="228" spans="1:9" ht="14.4">
      <c r="A228" s="518"/>
      <c r="B228" s="519" t="s">
        <v>2778</v>
      </c>
      <c r="D228" s="1284" t="s">
        <v>1943</v>
      </c>
      <c r="E228" s="1284"/>
      <c r="F228" s="1284"/>
      <c r="I228" s="524"/>
    </row>
    <row r="229" spans="1:9" ht="14.25" customHeight="1">
      <c r="A229" s="518"/>
      <c r="B229" s="518"/>
      <c r="D229" s="1284"/>
      <c r="E229" s="1284"/>
      <c r="F229" s="1284"/>
      <c r="I229" s="524"/>
    </row>
    <row r="230" spans="1:9" ht="14.25" customHeight="1">
      <c r="A230" s="518"/>
      <c r="B230" s="518"/>
      <c r="D230" s="1284"/>
      <c r="E230" s="1284"/>
      <c r="F230" s="1284"/>
      <c r="I230" s="524"/>
    </row>
    <row r="231" spans="1:9" ht="14.4">
      <c r="A231" s="518"/>
      <c r="B231" s="518"/>
      <c r="D231" s="1284"/>
      <c r="E231" s="1284"/>
      <c r="F231" s="1284"/>
      <c r="I231" s="524"/>
    </row>
    <row r="232" spans="1:9" ht="14.4">
      <c r="A232" s="518"/>
      <c r="B232" s="518"/>
      <c r="D232" s="479"/>
      <c r="E232" s="479"/>
      <c r="F232" s="479"/>
      <c r="I232" s="524"/>
    </row>
    <row r="233" spans="1:9" ht="14.4">
      <c r="A233" s="518"/>
      <c r="B233" s="519" t="s">
        <v>2778</v>
      </c>
      <c r="D233" s="1284" t="s">
        <v>1944</v>
      </c>
      <c r="E233" s="1284"/>
      <c r="F233" s="1284"/>
      <c r="I233" s="524" t="s">
        <v>2089</v>
      </c>
    </row>
    <row r="234" spans="1:9" ht="14.4">
      <c r="A234" s="518"/>
      <c r="B234" s="518"/>
      <c r="D234" s="1284"/>
      <c r="E234" s="1284"/>
      <c r="F234" s="1284"/>
      <c r="I234" s="524"/>
    </row>
    <row r="235" spans="1:9" ht="14.4">
      <c r="A235" s="518"/>
      <c r="B235" s="518"/>
      <c r="D235" s="1284"/>
      <c r="E235" s="1284"/>
      <c r="F235" s="1284"/>
      <c r="I235" s="524"/>
    </row>
    <row r="236" spans="1:9" ht="14.4">
      <c r="A236" s="518"/>
      <c r="B236" s="518"/>
      <c r="D236" s="1284"/>
      <c r="E236" s="1284"/>
      <c r="F236" s="1284"/>
      <c r="I236" s="524"/>
    </row>
    <row r="237" spans="1:9" ht="14.25" customHeight="1">
      <c r="A237" s="518"/>
      <c r="B237" s="518"/>
      <c r="D237" s="1284"/>
      <c r="E237" s="1284"/>
      <c r="F237" s="1284"/>
      <c r="I237" s="524"/>
    </row>
    <row r="238" spans="1:9" ht="14.25" customHeight="1">
      <c r="A238" s="518"/>
      <c r="B238" s="518"/>
      <c r="D238" s="479"/>
      <c r="E238" s="479"/>
      <c r="F238" s="479"/>
      <c r="I238" s="524"/>
    </row>
    <row r="239" spans="1:9" ht="14.4">
      <c r="A239" s="518"/>
      <c r="B239" s="518"/>
      <c r="D239" s="1284" t="s">
        <v>1199</v>
      </c>
      <c r="E239" s="1284"/>
      <c r="F239" s="1284"/>
      <c r="I239" s="524" t="s">
        <v>2088</v>
      </c>
    </row>
    <row r="240" spans="1:9" ht="14.4">
      <c r="A240" s="518"/>
      <c r="B240" s="518"/>
      <c r="D240" s="1284"/>
      <c r="E240" s="1284"/>
      <c r="F240" s="1284"/>
      <c r="I240" s="524"/>
    </row>
    <row r="241" spans="1:9" ht="14.4">
      <c r="A241" s="518"/>
      <c r="B241" s="518"/>
      <c r="D241" s="1284"/>
      <c r="E241" s="1284"/>
      <c r="F241" s="1284"/>
      <c r="I241" s="524"/>
    </row>
    <row r="242" spans="1:9" ht="14.4">
      <c r="A242" s="518"/>
      <c r="B242" s="518"/>
      <c r="D242" s="1284"/>
      <c r="E242" s="1284"/>
      <c r="F242" s="1284"/>
      <c r="I242" s="524"/>
    </row>
    <row r="243" spans="1:9" ht="14.4">
      <c r="A243" s="518"/>
      <c r="B243" s="518"/>
      <c r="D243" s="1284"/>
      <c r="E243" s="1284"/>
      <c r="F243" s="1284"/>
      <c r="I243" s="524"/>
    </row>
    <row r="244" spans="1:9" ht="14.4">
      <c r="A244" s="518"/>
      <c r="B244" s="518"/>
      <c r="D244" s="480"/>
      <c r="E244" s="480"/>
      <c r="F244" s="480"/>
      <c r="I244" s="524"/>
    </row>
    <row r="245" spans="1:9" ht="14.4">
      <c r="A245" s="518"/>
      <c r="B245" s="519" t="s">
        <v>2778</v>
      </c>
      <c r="D245" s="1284" t="s">
        <v>2363</v>
      </c>
      <c r="E245" s="1284"/>
      <c r="F245" s="1284"/>
      <c r="I245" s="524" t="s">
        <v>2127</v>
      </c>
    </row>
    <row r="246" spans="1:9" ht="14.4">
      <c r="A246" s="518"/>
      <c r="B246" s="518"/>
      <c r="D246" s="1284"/>
      <c r="E246" s="1284"/>
      <c r="F246" s="1284"/>
      <c r="I246" s="524"/>
    </row>
    <row r="247" spans="1:9" ht="14.4">
      <c r="A247" s="518"/>
      <c r="B247" s="518"/>
      <c r="D247" s="1284"/>
      <c r="E247" s="1284"/>
      <c r="F247" s="1284"/>
      <c r="I247" s="524"/>
    </row>
    <row r="248" spans="1:9" ht="14.4">
      <c r="A248" s="518"/>
      <c r="B248" s="518"/>
      <c r="E248" s="1071" t="s">
        <v>2192</v>
      </c>
      <c r="I248" s="524"/>
    </row>
    <row r="249" spans="1:9" ht="14.4">
      <c r="A249" s="518"/>
      <c r="B249" s="518"/>
      <c r="D249" s="480"/>
      <c r="E249" s="480"/>
      <c r="F249" s="480"/>
      <c r="I249" s="524"/>
    </row>
    <row r="250" spans="1:9" ht="14.55" customHeight="1">
      <c r="A250" s="518"/>
      <c r="B250" s="519" t="s">
        <v>2778</v>
      </c>
      <c r="D250" s="1284" t="s">
        <v>2364</v>
      </c>
      <c r="E250" s="1284"/>
      <c r="F250" s="1284"/>
      <c r="I250" s="524" t="s">
        <v>2145</v>
      </c>
    </row>
    <row r="251" spans="1:9" ht="14.4">
      <c r="A251" s="518"/>
      <c r="B251" s="518"/>
      <c r="D251" s="1284"/>
      <c r="E251" s="1284"/>
      <c r="F251" s="1284"/>
      <c r="I251" s="524"/>
    </row>
    <row r="252" spans="1:9" ht="14.4">
      <c r="A252" s="518"/>
      <c r="B252" s="518"/>
      <c r="D252" s="1284"/>
      <c r="E252" s="1284"/>
      <c r="F252" s="1284"/>
      <c r="I252" s="524"/>
    </row>
    <row r="253" spans="1:9" ht="14.4">
      <c r="A253" s="518"/>
      <c r="B253" s="518"/>
      <c r="D253" s="1284"/>
      <c r="E253" s="1284"/>
      <c r="F253" s="1284"/>
      <c r="I253" s="524"/>
    </row>
    <row r="254" spans="1:9" ht="14.4">
      <c r="A254" s="518"/>
      <c r="B254" s="518"/>
      <c r="D254" s="1284"/>
      <c r="E254" s="1284"/>
      <c r="F254" s="1284"/>
      <c r="I254" s="524"/>
    </row>
    <row r="255" spans="1:9" ht="14.4">
      <c r="A255" s="518"/>
      <c r="B255" s="518"/>
      <c r="D255" s="479"/>
      <c r="E255" s="479"/>
      <c r="F255" s="479"/>
      <c r="I255" s="524"/>
    </row>
    <row r="256" spans="1:9" ht="14.4">
      <c r="A256" s="518"/>
      <c r="B256" s="519" t="s">
        <v>2778</v>
      </c>
      <c r="D256" s="423" t="s">
        <v>2365</v>
      </c>
      <c r="E256" s="479"/>
      <c r="F256" s="479"/>
      <c r="I256" s="524" t="s">
        <v>2126</v>
      </c>
    </row>
    <row r="257" spans="1:9" ht="14.4">
      <c r="A257" s="518"/>
      <c r="B257" s="518"/>
      <c r="E257" s="1071" t="s">
        <v>2193</v>
      </c>
      <c r="I257" s="524"/>
    </row>
    <row r="258" spans="1:9">
      <c r="D258" s="480"/>
      <c r="E258" s="480"/>
      <c r="F258" s="480"/>
      <c r="I258" s="524"/>
    </row>
    <row r="259" spans="1:9" ht="14.4">
      <c r="A259" s="518"/>
      <c r="B259" s="519" t="s">
        <v>2778</v>
      </c>
      <c r="D259" s="1284" t="s">
        <v>1201</v>
      </c>
      <c r="E259" s="1284"/>
      <c r="F259" s="1284"/>
      <c r="I259" s="524"/>
    </row>
    <row r="260" spans="1:9" ht="14.4">
      <c r="A260" s="518"/>
      <c r="B260" s="518"/>
      <c r="D260" s="1284"/>
      <c r="E260" s="1284"/>
      <c r="F260" s="1284"/>
      <c r="I260" s="524"/>
    </row>
    <row r="261" spans="1:9">
      <c r="D261" s="525"/>
      <c r="I261" s="524"/>
    </row>
    <row r="262" spans="1:9">
      <c r="A262" s="1290" t="s">
        <v>1075</v>
      </c>
      <c r="B262" s="1290"/>
      <c r="C262" s="1290"/>
      <c r="D262" s="1290"/>
      <c r="E262" s="1290"/>
      <c r="F262" s="1290"/>
      <c r="G262" s="1290"/>
      <c r="H262" s="1063"/>
      <c r="I262" s="1259"/>
    </row>
    <row r="263" spans="1:9">
      <c r="D263" s="525"/>
      <c r="I263" s="524"/>
    </row>
    <row r="264" spans="1:9">
      <c r="C264" s="520"/>
      <c r="D264" s="1282" t="s">
        <v>1204</v>
      </c>
      <c r="E264" s="1282"/>
      <c r="F264" s="1282"/>
      <c r="I264" s="524"/>
    </row>
    <row r="265" spans="1:9">
      <c r="A265" s="516"/>
      <c r="B265" s="516"/>
      <c r="C265" s="516"/>
      <c r="D265" s="480"/>
      <c r="E265" s="480"/>
      <c r="F265" s="480"/>
      <c r="I265" s="524"/>
    </row>
    <row r="266" spans="1:9">
      <c r="A266" s="517"/>
      <c r="B266" s="517"/>
      <c r="C266" s="517"/>
      <c r="D266" s="1282" t="s">
        <v>270</v>
      </c>
      <c r="E266" s="1282"/>
      <c r="F266" s="1282"/>
      <c r="I266" s="524" t="s">
        <v>2128</v>
      </c>
    </row>
    <row r="267" spans="1:9" ht="14.55" customHeight="1">
      <c r="A267" s="518"/>
      <c r="B267" s="519" t="s">
        <v>2778</v>
      </c>
      <c r="D267" s="1284" t="s">
        <v>1302</v>
      </c>
      <c r="E267" s="1284"/>
      <c r="F267" s="1284"/>
      <c r="I267" s="524"/>
    </row>
    <row r="268" spans="1:9">
      <c r="D268" s="1284"/>
      <c r="E268" s="1284"/>
      <c r="F268" s="1284"/>
      <c r="I268" s="524"/>
    </row>
    <row r="269" spans="1:9">
      <c r="E269" s="1071" t="s">
        <v>2194</v>
      </c>
      <c r="I269" s="524"/>
    </row>
    <row r="270" spans="1:9">
      <c r="D270" s="480"/>
      <c r="E270" s="480"/>
      <c r="F270" s="480"/>
      <c r="I270" s="524"/>
    </row>
    <row r="271" spans="1:9" ht="14.55" customHeight="1">
      <c r="A271" s="518"/>
      <c r="B271" s="519" t="s">
        <v>2783</v>
      </c>
      <c r="D271" s="1284" t="s">
        <v>2366</v>
      </c>
      <c r="E271" s="1284"/>
      <c r="F271" s="1284"/>
      <c r="I271" s="524" t="s">
        <v>2146</v>
      </c>
    </row>
    <row r="272" spans="1:9">
      <c r="D272" s="1284"/>
      <c r="E272" s="1284"/>
      <c r="F272" s="1284"/>
      <c r="I272" s="524"/>
    </row>
    <row r="273" spans="1:9">
      <c r="D273" s="1284"/>
      <c r="E273" s="1284"/>
      <c r="F273" s="1284"/>
      <c r="I273" s="524"/>
    </row>
    <row r="274" spans="1:9">
      <c r="D274" s="1284"/>
      <c r="E274" s="1284"/>
      <c r="F274" s="1284"/>
      <c r="I274" s="524"/>
    </row>
    <row r="275" spans="1:9">
      <c r="D275" s="1284"/>
      <c r="E275" s="1284"/>
      <c r="F275" s="1284"/>
      <c r="I275" s="524"/>
    </row>
    <row r="276" spans="1:9">
      <c r="D276" s="1284"/>
      <c r="E276" s="1284"/>
      <c r="F276" s="1284"/>
      <c r="I276" s="524"/>
    </row>
    <row r="277" spans="1:9">
      <c r="D277" s="480"/>
      <c r="E277" s="480"/>
      <c r="F277" s="480"/>
      <c r="I277" s="524"/>
    </row>
    <row r="278" spans="1:9" ht="14.4">
      <c r="A278" s="518"/>
      <c r="B278" s="519" t="s">
        <v>2783</v>
      </c>
      <c r="D278" s="1284" t="s">
        <v>1207</v>
      </c>
      <c r="E278" s="1284"/>
      <c r="F278" s="1284"/>
      <c r="I278" s="524"/>
    </row>
    <row r="279" spans="1:9">
      <c r="D279" s="1284"/>
      <c r="E279" s="1284"/>
      <c r="F279" s="1284"/>
      <c r="I279" s="524"/>
    </row>
    <row r="280" spans="1:9">
      <c r="D280" s="1284"/>
      <c r="E280" s="1284"/>
      <c r="F280" s="1284"/>
      <c r="I280" s="524"/>
    </row>
    <row r="281" spans="1:9">
      <c r="D281" s="526"/>
      <c r="E281" s="480"/>
      <c r="F281" s="480"/>
      <c r="I281" s="524"/>
    </row>
    <row r="282" spans="1:9">
      <c r="A282" s="1290" t="s">
        <v>1076</v>
      </c>
      <c r="B282" s="1290"/>
      <c r="C282" s="1290"/>
      <c r="D282" s="1290"/>
      <c r="E282" s="1290"/>
      <c r="F282" s="1290"/>
      <c r="G282" s="1290"/>
      <c r="H282" s="1063"/>
      <c r="I282" s="1259"/>
    </row>
    <row r="283" spans="1:9">
      <c r="D283" s="526"/>
      <c r="E283" s="480"/>
      <c r="F283" s="480"/>
      <c r="I283" s="524"/>
    </row>
    <row r="284" spans="1:9">
      <c r="C284" s="516"/>
      <c r="D284" s="1312" t="s">
        <v>1209</v>
      </c>
      <c r="E284" s="1312"/>
      <c r="F284" s="1312"/>
      <c r="I284" s="524"/>
    </row>
    <row r="285" spans="1:9">
      <c r="C285" s="516"/>
      <c r="D285" s="1312"/>
      <c r="E285" s="1312"/>
      <c r="F285" s="1312"/>
      <c r="I285" s="524"/>
    </row>
    <row r="286" spans="1:9">
      <c r="A286" s="517"/>
      <c r="B286" s="517"/>
      <c r="C286" s="517"/>
      <c r="D286" s="435"/>
      <c r="I286" s="524"/>
    </row>
    <row r="287" spans="1:9">
      <c r="C287" s="517"/>
      <c r="D287" s="1282" t="s">
        <v>210</v>
      </c>
      <c r="E287" s="1282"/>
      <c r="F287" s="1282"/>
      <c r="I287" s="524"/>
    </row>
    <row r="288" spans="1:9" ht="15.75" customHeight="1">
      <c r="A288" s="518"/>
      <c r="B288" s="518"/>
      <c r="D288" s="1337" t="s">
        <v>1210</v>
      </c>
      <c r="E288" s="1337"/>
      <c r="F288" s="1337"/>
      <c r="I288" s="524"/>
    </row>
    <row r="289" spans="1:9">
      <c r="E289" s="480"/>
      <c r="F289" s="480"/>
      <c r="I289" s="524"/>
    </row>
    <row r="290" spans="1:9" ht="14.4">
      <c r="A290" s="518"/>
      <c r="B290" s="519" t="s">
        <v>2783</v>
      </c>
      <c r="D290" s="1284" t="s">
        <v>1211</v>
      </c>
      <c r="E290" s="1284"/>
      <c r="F290" s="1284"/>
      <c r="I290" s="524" t="s">
        <v>2090</v>
      </c>
    </row>
    <row r="291" spans="1:9" ht="14.4">
      <c r="A291" s="518"/>
      <c r="B291" s="518"/>
      <c r="D291" s="1284"/>
      <c r="E291" s="1284"/>
      <c r="F291" s="1284"/>
      <c r="I291" s="524"/>
    </row>
    <row r="292" spans="1:9">
      <c r="D292" s="480"/>
      <c r="E292" s="480"/>
      <c r="F292" s="480"/>
      <c r="I292" s="524"/>
    </row>
    <row r="293" spans="1:9" ht="14.4">
      <c r="A293" s="518"/>
      <c r="B293" s="519" t="s">
        <v>2783</v>
      </c>
      <c r="D293" s="1284" t="s">
        <v>1212</v>
      </c>
      <c r="E293" s="1284"/>
      <c r="F293" s="1284"/>
      <c r="I293" s="524" t="s">
        <v>2090</v>
      </c>
    </row>
    <row r="294" spans="1:9" ht="14.4">
      <c r="A294" s="518"/>
      <c r="B294" s="518"/>
      <c r="D294" s="1284"/>
      <c r="E294" s="1284"/>
      <c r="F294" s="1284"/>
      <c r="I294" s="524"/>
    </row>
    <row r="295" spans="1:9" ht="14.4">
      <c r="A295" s="518"/>
      <c r="B295" s="518"/>
      <c r="D295" s="1284"/>
      <c r="E295" s="1284"/>
      <c r="F295" s="1284"/>
      <c r="I295" s="524"/>
    </row>
    <row r="296" spans="1:9">
      <c r="D296" s="480"/>
      <c r="E296" s="480"/>
      <c r="F296" s="480"/>
      <c r="I296" s="524"/>
    </row>
    <row r="297" spans="1:9" ht="14.4">
      <c r="A297" s="518"/>
      <c r="B297" s="519" t="s">
        <v>2783</v>
      </c>
      <c r="D297" s="1284" t="s">
        <v>1213</v>
      </c>
      <c r="E297" s="1284"/>
      <c r="F297" s="1284"/>
      <c r="I297" s="524" t="s">
        <v>2090</v>
      </c>
    </row>
    <row r="298" spans="1:9" ht="14.4">
      <c r="A298" s="518"/>
      <c r="B298" s="518"/>
      <c r="D298" s="1284"/>
      <c r="E298" s="1284"/>
      <c r="F298" s="1284"/>
      <c r="I298" s="524"/>
    </row>
    <row r="299" spans="1:9">
      <c r="A299" s="524"/>
      <c r="B299" s="524"/>
      <c r="E299" s="480"/>
      <c r="F299" s="480"/>
      <c r="I299" s="524"/>
    </row>
    <row r="300" spans="1:9">
      <c r="A300" s="1290" t="s">
        <v>1077</v>
      </c>
      <c r="B300" s="1290"/>
      <c r="C300" s="1290"/>
      <c r="D300" s="1290"/>
      <c r="E300" s="1290"/>
      <c r="F300" s="1290"/>
      <c r="G300" s="1290"/>
      <c r="H300" s="1063"/>
      <c r="I300" s="1259"/>
    </row>
    <row r="301" spans="1:9">
      <c r="A301" s="524"/>
      <c r="B301" s="524"/>
      <c r="D301" s="480"/>
      <c r="E301" s="480"/>
      <c r="F301" s="480"/>
      <c r="I301" s="524"/>
    </row>
    <row r="302" spans="1:9">
      <c r="C302" s="524"/>
      <c r="D302" s="1282" t="s">
        <v>690</v>
      </c>
      <c r="E302" s="1282"/>
      <c r="F302" s="1282"/>
      <c r="I302" s="524"/>
    </row>
    <row r="303" spans="1:9">
      <c r="C303" s="524"/>
      <c r="D303" s="1313" t="s">
        <v>1214</v>
      </c>
      <c r="E303" s="1313"/>
      <c r="F303" s="1313"/>
      <c r="I303" s="524"/>
    </row>
    <row r="304" spans="1:9">
      <c r="C304" s="524"/>
      <c r="D304" s="527"/>
      <c r="I304" s="524"/>
    </row>
    <row r="305" spans="1:9">
      <c r="B305" s="519" t="s">
        <v>2783</v>
      </c>
      <c r="D305" s="1313" t="s">
        <v>1215</v>
      </c>
      <c r="E305" s="1313"/>
      <c r="F305" s="1313"/>
      <c r="I305" s="524" t="s">
        <v>2091</v>
      </c>
    </row>
    <row r="306" spans="1:9" ht="14.4">
      <c r="A306" s="518"/>
      <c r="B306" s="518"/>
      <c r="D306" s="528"/>
      <c r="E306" s="529"/>
      <c r="F306" s="529"/>
      <c r="I306" s="524"/>
    </row>
    <row r="307" spans="1:9" ht="13.8" customHeight="1">
      <c r="B307" s="519" t="s">
        <v>2783</v>
      </c>
      <c r="D307" s="1334" t="s">
        <v>1325</v>
      </c>
      <c r="E307" s="1334"/>
      <c r="F307" s="1334"/>
      <c r="I307" s="524" t="s">
        <v>2091</v>
      </c>
    </row>
    <row r="308" spans="1:9" ht="14.4">
      <c r="A308" s="518"/>
      <c r="B308" s="518"/>
      <c r="D308" s="1334"/>
      <c r="E308" s="1334"/>
      <c r="F308" s="1334"/>
      <c r="I308" s="524"/>
    </row>
    <row r="309" spans="1:9" ht="14.4">
      <c r="A309" s="518"/>
      <c r="B309" s="518"/>
      <c r="D309" s="1334"/>
      <c r="E309" s="1334"/>
      <c r="F309" s="1334"/>
      <c r="I309" s="524"/>
    </row>
    <row r="310" spans="1:9" ht="14.4">
      <c r="A310" s="518"/>
      <c r="B310" s="518"/>
      <c r="D310" s="1334"/>
      <c r="E310" s="1334"/>
      <c r="F310" s="1334"/>
      <c r="I310" s="524"/>
    </row>
    <row r="311" spans="1:9" ht="14.4">
      <c r="A311" s="518"/>
      <c r="B311" s="518"/>
      <c r="D311" s="1334"/>
      <c r="E311" s="1334"/>
      <c r="F311" s="1334"/>
      <c r="I311" s="524"/>
    </row>
    <row r="312" spans="1:9" ht="14.4">
      <c r="A312" s="518"/>
      <c r="B312" s="518"/>
      <c r="D312" s="528"/>
      <c r="E312" s="529"/>
      <c r="F312" s="529"/>
      <c r="I312" s="524"/>
    </row>
    <row r="313" spans="1:9" ht="13.8" customHeight="1">
      <c r="B313" s="519" t="s">
        <v>2783</v>
      </c>
      <c r="D313" s="1334" t="s">
        <v>1217</v>
      </c>
      <c r="E313" s="1334"/>
      <c r="F313" s="1334"/>
      <c r="I313" s="524" t="s">
        <v>2091</v>
      </c>
    </row>
    <row r="314" spans="1:9">
      <c r="D314" s="1334"/>
      <c r="E314" s="1334"/>
      <c r="F314" s="1334"/>
      <c r="I314" s="524"/>
    </row>
    <row r="315" spans="1:9" ht="14.4">
      <c r="A315" s="518"/>
      <c r="B315" s="518"/>
      <c r="D315" s="528"/>
      <c r="E315" s="529"/>
      <c r="F315" s="529"/>
      <c r="I315" s="524"/>
    </row>
    <row r="316" spans="1:9">
      <c r="B316" s="519" t="s">
        <v>2783</v>
      </c>
      <c r="D316" s="1313" t="s">
        <v>1218</v>
      </c>
      <c r="E316" s="1313"/>
      <c r="F316" s="1313"/>
      <c r="I316" s="524" t="s">
        <v>2077</v>
      </c>
    </row>
    <row r="317" spans="1:9">
      <c r="E317" s="480"/>
      <c r="F317" s="480"/>
      <c r="I317" s="524"/>
    </row>
    <row r="318" spans="1:9" ht="14.4">
      <c r="A318" s="518"/>
      <c r="B318" s="519" t="s">
        <v>2783</v>
      </c>
      <c r="D318" s="1284" t="s">
        <v>2385</v>
      </c>
      <c r="E318" s="1284"/>
      <c r="F318" s="1284"/>
      <c r="I318" s="524" t="s">
        <v>2092</v>
      </c>
    </row>
    <row r="319" spans="1:9" ht="14.4">
      <c r="A319" s="518"/>
      <c r="B319" s="518"/>
      <c r="D319" s="1284"/>
      <c r="E319" s="1284"/>
      <c r="F319" s="1284"/>
      <c r="I319" s="524"/>
    </row>
    <row r="320" spans="1:9" ht="14.4">
      <c r="A320" s="518"/>
      <c r="B320" s="518"/>
      <c r="D320" s="1284"/>
      <c r="E320" s="1284"/>
      <c r="F320" s="1284"/>
      <c r="I320" s="524"/>
    </row>
    <row r="321" spans="1:9" ht="14.4">
      <c r="A321" s="518"/>
      <c r="B321" s="518"/>
      <c r="D321" s="1284"/>
      <c r="E321" s="1284"/>
      <c r="F321" s="1284"/>
      <c r="I321" s="524"/>
    </row>
    <row r="322" spans="1:9" ht="14.4">
      <c r="A322" s="518"/>
      <c r="B322" s="518"/>
      <c r="D322" s="1284"/>
      <c r="E322" s="1284"/>
      <c r="F322" s="1284"/>
      <c r="I322" s="524"/>
    </row>
    <row r="323" spans="1:9" ht="14.4">
      <c r="A323" s="518"/>
      <c r="B323" s="518"/>
      <c r="D323" s="1284"/>
      <c r="E323" s="1284"/>
      <c r="F323" s="1284"/>
      <c r="I323" s="524"/>
    </row>
    <row r="324" spans="1:9" ht="14.4">
      <c r="A324" s="518"/>
      <c r="B324" s="518"/>
      <c r="D324" s="1284"/>
      <c r="E324" s="1284"/>
      <c r="F324" s="1284"/>
      <c r="I324" s="524"/>
    </row>
    <row r="325" spans="1:9" ht="14.4">
      <c r="A325" s="518"/>
      <c r="B325" s="518"/>
      <c r="D325" s="1284"/>
      <c r="E325" s="1284"/>
      <c r="F325" s="1284"/>
      <c r="I325" s="524"/>
    </row>
    <row r="326" spans="1:9" ht="14.4">
      <c r="A326" s="518"/>
      <c r="B326" s="518"/>
      <c r="D326" s="1284"/>
      <c r="E326" s="1284"/>
      <c r="F326" s="1284"/>
      <c r="I326" s="524"/>
    </row>
    <row r="327" spans="1:9" ht="14.4">
      <c r="A327" s="518"/>
      <c r="B327" s="518"/>
      <c r="D327" s="1284"/>
      <c r="E327" s="1284"/>
      <c r="F327" s="1284"/>
      <c r="I327" s="524"/>
    </row>
    <row r="328" spans="1:9" ht="14.4">
      <c r="A328" s="518"/>
      <c r="B328" s="518"/>
      <c r="D328" s="1284"/>
      <c r="E328" s="1284"/>
      <c r="F328" s="1284"/>
      <c r="I328" s="524"/>
    </row>
    <row r="329" spans="1:9" ht="14.4">
      <c r="A329" s="518"/>
      <c r="B329" s="518"/>
      <c r="D329" s="1284"/>
      <c r="E329" s="1284"/>
      <c r="F329" s="1284"/>
      <c r="I329" s="524"/>
    </row>
    <row r="330" spans="1:9" ht="14.4">
      <c r="A330" s="518"/>
      <c r="B330" s="518"/>
      <c r="D330" s="1284"/>
      <c r="E330" s="1284"/>
      <c r="F330" s="1284"/>
      <c r="I330" s="524"/>
    </row>
    <row r="331" spans="1:9" ht="14.4">
      <c r="A331" s="518"/>
      <c r="B331" s="518"/>
      <c r="D331" s="1284"/>
      <c r="E331" s="1284"/>
      <c r="F331" s="1284"/>
      <c r="I331" s="524"/>
    </row>
    <row r="332" spans="1:9" ht="14.4">
      <c r="A332" s="518"/>
      <c r="B332" s="518"/>
      <c r="D332" s="1284"/>
      <c r="E332" s="1284"/>
      <c r="F332" s="1284"/>
      <c r="I332" s="524"/>
    </row>
    <row r="333" spans="1:9">
      <c r="D333" s="480"/>
      <c r="E333" s="480"/>
      <c r="F333" s="480"/>
      <c r="I333" s="524"/>
    </row>
    <row r="334" spans="1:9" ht="14.4">
      <c r="A334" s="518"/>
      <c r="B334" s="519" t="s">
        <v>2783</v>
      </c>
      <c r="D334" s="1284" t="s">
        <v>1220</v>
      </c>
      <c r="E334" s="1284"/>
      <c r="F334" s="1284"/>
      <c r="I334" s="524" t="s">
        <v>2092</v>
      </c>
    </row>
    <row r="335" spans="1:9">
      <c r="D335" s="1284"/>
      <c r="E335" s="1284"/>
      <c r="F335" s="1284"/>
      <c r="I335" s="524"/>
    </row>
    <row r="336" spans="1:9">
      <c r="D336" s="1284"/>
      <c r="E336" s="1284"/>
      <c r="F336" s="1284"/>
      <c r="I336" s="524"/>
    </row>
    <row r="337" spans="1:9">
      <c r="D337" s="1284"/>
      <c r="E337" s="1284"/>
      <c r="F337" s="1284"/>
      <c r="I337" s="524"/>
    </row>
    <row r="338" spans="1:9">
      <c r="D338" s="1284"/>
      <c r="E338" s="1284"/>
      <c r="F338" s="1284"/>
      <c r="I338" s="524"/>
    </row>
    <row r="339" spans="1:9">
      <c r="D339" s="1284"/>
      <c r="E339" s="1284"/>
      <c r="F339" s="1284"/>
      <c r="I339" s="524"/>
    </row>
    <row r="340" spans="1:9">
      <c r="D340" s="1284"/>
      <c r="E340" s="1284"/>
      <c r="F340" s="1284"/>
      <c r="I340" s="524"/>
    </row>
    <row r="341" spans="1:9">
      <c r="D341" s="1284"/>
      <c r="E341" s="1284"/>
      <c r="F341" s="1284"/>
      <c r="I341" s="524"/>
    </row>
    <row r="342" spans="1:9">
      <c r="D342" s="1284"/>
      <c r="E342" s="1284"/>
      <c r="F342" s="1284"/>
      <c r="I342" s="524"/>
    </row>
    <row r="343" spans="1:9">
      <c r="D343" s="480"/>
      <c r="E343" s="480"/>
      <c r="F343" s="480"/>
      <c r="I343" s="524"/>
    </row>
    <row r="344" spans="1:9" ht="14.25" customHeight="1">
      <c r="A344" s="518"/>
      <c r="B344" s="519" t="s">
        <v>2783</v>
      </c>
      <c r="D344" s="1284" t="s">
        <v>2199</v>
      </c>
      <c r="E344" s="1284"/>
      <c r="F344" s="1284"/>
      <c r="I344" s="524" t="s">
        <v>2129</v>
      </c>
    </row>
    <row r="345" spans="1:9">
      <c r="D345" s="1284"/>
      <c r="E345" s="1284"/>
      <c r="F345" s="1284"/>
      <c r="I345" s="524"/>
    </row>
    <row r="346" spans="1:9">
      <c r="D346" s="1284"/>
      <c r="E346" s="1284"/>
      <c r="F346" s="1284"/>
      <c r="I346" s="524"/>
    </row>
    <row r="347" spans="1:9">
      <c r="D347" s="1284"/>
      <c r="E347" s="1284"/>
      <c r="F347" s="1284"/>
      <c r="I347" s="524"/>
    </row>
    <row r="348" spans="1:9">
      <c r="D348" s="417" t="s">
        <v>2198</v>
      </c>
      <c r="E348" s="416"/>
      <c r="F348" s="416"/>
      <c r="I348" s="524"/>
    </row>
    <row r="349" spans="1:9">
      <c r="D349" s="416"/>
      <c r="E349" s="96" t="s">
        <v>2195</v>
      </c>
      <c r="G349" s="96"/>
      <c r="I349" s="524"/>
    </row>
    <row r="350" spans="1:9">
      <c r="D350" s="479"/>
      <c r="E350" s="479"/>
      <c r="F350" s="479"/>
      <c r="I350" s="524"/>
    </row>
    <row r="351" spans="1:9" ht="13.8" thickBot="1">
      <c r="A351" s="1057"/>
      <c r="B351" s="1057"/>
      <c r="C351" s="1057"/>
      <c r="D351" s="1339" t="s">
        <v>998</v>
      </c>
      <c r="E351" s="1339"/>
      <c r="F351" s="1339"/>
      <c r="G351" s="1062"/>
      <c r="H351" s="1062"/>
      <c r="I351" s="1262"/>
    </row>
    <row r="352" spans="1:9" ht="13.8" thickTop="1">
      <c r="D352" s="1335" t="s">
        <v>1222</v>
      </c>
      <c r="E352" s="1335"/>
      <c r="F352" s="1335"/>
      <c r="I352" s="524"/>
    </row>
    <row r="353" spans="1:9">
      <c r="D353" s="480"/>
      <c r="E353" s="480"/>
      <c r="F353" s="480"/>
      <c r="I353" s="524"/>
    </row>
    <row r="354" spans="1:9">
      <c r="A354" s="510"/>
      <c r="B354" s="510"/>
      <c r="C354" s="510"/>
      <c r="D354" s="481"/>
      <c r="E354" s="481"/>
      <c r="F354" s="480"/>
      <c r="I354" s="524" t="s">
        <v>2093</v>
      </c>
    </row>
    <row r="355" spans="1:9" ht="14.4">
      <c r="A355" s="518"/>
      <c r="B355" s="519" t="s">
        <v>2783</v>
      </c>
      <c r="C355" s="521"/>
      <c r="D355" s="1313" t="s">
        <v>2197</v>
      </c>
      <c r="E355" s="1313"/>
      <c r="F355" s="1313"/>
      <c r="I355" s="1331" t="s">
        <v>2143</v>
      </c>
    </row>
    <row r="356" spans="1:9" ht="12.75" customHeight="1">
      <c r="D356" s="1072"/>
      <c r="E356" s="96" t="s">
        <v>2196</v>
      </c>
      <c r="F356" s="1072"/>
      <c r="I356" s="1332"/>
    </row>
    <row r="357" spans="1:9">
      <c r="D357" s="1284" t="s">
        <v>1346</v>
      </c>
      <c r="E357" s="1284"/>
      <c r="F357" s="1284"/>
      <c r="I357" s="1332"/>
    </row>
    <row r="358" spans="1:9">
      <c r="D358" s="1284"/>
      <c r="E358" s="1284"/>
      <c r="F358" s="1284"/>
      <c r="I358" s="1332"/>
    </row>
    <row r="359" spans="1:9">
      <c r="D359" s="1284"/>
      <c r="E359" s="1284"/>
      <c r="F359" s="1284"/>
      <c r="I359" s="1333"/>
    </row>
    <row r="360" spans="1:9" ht="14.4">
      <c r="A360" s="518"/>
      <c r="B360" s="519" t="s">
        <v>2783</v>
      </c>
      <c r="C360" s="510"/>
      <c r="D360" s="1317" t="s">
        <v>2367</v>
      </c>
      <c r="E360" s="1317"/>
      <c r="F360" s="1317"/>
      <c r="I360" s="514"/>
    </row>
    <row r="361" spans="1:9">
      <c r="A361" s="510"/>
      <c r="B361" s="510"/>
      <c r="C361" s="510"/>
      <c r="D361" s="481"/>
      <c r="E361" s="481"/>
      <c r="F361" s="480"/>
      <c r="I361" s="524"/>
    </row>
    <row r="362" spans="1:9">
      <c r="A362" s="510"/>
      <c r="B362" s="519" t="s">
        <v>2783</v>
      </c>
      <c r="C362" s="510"/>
      <c r="D362" s="1272" t="s">
        <v>2368</v>
      </c>
      <c r="E362" s="1272"/>
      <c r="F362" s="1272"/>
      <c r="I362" s="524"/>
    </row>
    <row r="363" spans="1:9">
      <c r="A363" s="510"/>
      <c r="B363" s="510"/>
      <c r="C363" s="510"/>
      <c r="D363" s="1272"/>
      <c r="E363" s="1272"/>
      <c r="F363" s="1272"/>
      <c r="I363" s="524"/>
    </row>
    <row r="364" spans="1:9">
      <c r="A364" s="510"/>
      <c r="B364" s="510"/>
      <c r="C364" s="510"/>
      <c r="D364" s="1272"/>
      <c r="E364" s="1272"/>
      <c r="F364" s="1272"/>
      <c r="I364" s="524"/>
    </row>
    <row r="365" spans="1:9">
      <c r="A365" s="510"/>
      <c r="B365" s="510"/>
      <c r="C365" s="510"/>
      <c r="D365" s="1272"/>
      <c r="E365" s="1272"/>
      <c r="F365" s="1272"/>
      <c r="I365" s="524"/>
    </row>
    <row r="366" spans="1:9">
      <c r="A366" s="510"/>
      <c r="B366" s="510"/>
      <c r="C366" s="510"/>
      <c r="D366" s="1272"/>
      <c r="E366" s="1272"/>
      <c r="F366" s="1272"/>
      <c r="I366" s="524"/>
    </row>
    <row r="367" spans="1:9">
      <c r="A367" s="510"/>
      <c r="B367" s="510"/>
      <c r="C367" s="510"/>
      <c r="D367" s="1272"/>
      <c r="E367" s="1272"/>
      <c r="F367" s="1272"/>
      <c r="I367" s="524"/>
    </row>
    <row r="368" spans="1:9">
      <c r="A368" s="510"/>
      <c r="B368" s="510"/>
      <c r="C368" s="510"/>
      <c r="D368" s="1272"/>
      <c r="E368" s="1272"/>
      <c r="F368" s="1272"/>
      <c r="I368" s="524"/>
    </row>
    <row r="369" spans="1:9">
      <c r="A369" s="510"/>
      <c r="B369" s="510"/>
      <c r="C369" s="510"/>
      <c r="D369" s="1272"/>
      <c r="E369" s="1272"/>
      <c r="F369" s="1272"/>
      <c r="I369" s="524"/>
    </row>
    <row r="370" spans="1:9">
      <c r="A370" s="510"/>
      <c r="B370" s="510"/>
      <c r="C370" s="510"/>
      <c r="D370" s="1272"/>
      <c r="E370" s="1272"/>
      <c r="F370" s="1272"/>
      <c r="I370" s="524"/>
    </row>
    <row r="371" spans="1:9">
      <c r="A371" s="510"/>
      <c r="B371" s="510"/>
      <c r="C371" s="510"/>
      <c r="D371" s="1272"/>
      <c r="E371" s="1272"/>
      <c r="F371" s="1272"/>
      <c r="I371" s="524"/>
    </row>
    <row r="372" spans="1:9">
      <c r="A372" s="510"/>
      <c r="B372" s="510"/>
      <c r="C372" s="510"/>
      <c r="D372" s="1272"/>
      <c r="E372" s="1272"/>
      <c r="F372" s="1272"/>
      <c r="I372" s="524"/>
    </row>
    <row r="373" spans="1:9">
      <c r="A373" s="510"/>
      <c r="B373" s="510"/>
      <c r="C373" s="510"/>
      <c r="D373" s="1272"/>
      <c r="E373" s="1272"/>
      <c r="F373" s="1272"/>
      <c r="I373" s="524"/>
    </row>
    <row r="374" spans="1:9">
      <c r="A374" s="510"/>
      <c r="B374" s="510"/>
      <c r="C374" s="510"/>
      <c r="D374" s="485"/>
      <c r="E374" s="485"/>
      <c r="F374" s="485"/>
      <c r="I374" s="524"/>
    </row>
    <row r="375" spans="1:9" ht="12.45" customHeight="1">
      <c r="A375" s="510"/>
      <c r="B375" s="519" t="s">
        <v>2783</v>
      </c>
      <c r="C375" s="510"/>
      <c r="D375" s="1328" t="s">
        <v>1327</v>
      </c>
      <c r="E375" s="1328"/>
      <c r="F375" s="1328"/>
      <c r="I375" s="524"/>
    </row>
    <row r="376" spans="1:9">
      <c r="A376" s="510"/>
      <c r="B376" s="510"/>
      <c r="C376" s="510"/>
      <c r="D376" s="1328"/>
      <c r="E376" s="1328"/>
      <c r="F376" s="1328"/>
      <c r="I376" s="524"/>
    </row>
    <row r="377" spans="1:9">
      <c r="A377" s="510"/>
      <c r="B377" s="510"/>
      <c r="C377" s="510"/>
      <c r="D377" s="1328"/>
      <c r="E377" s="1328"/>
      <c r="F377" s="1328"/>
      <c r="I377" s="524"/>
    </row>
    <row r="378" spans="1:9">
      <c r="A378" s="510"/>
      <c r="B378" s="510"/>
      <c r="C378" s="510"/>
      <c r="D378" s="1328"/>
      <c r="E378" s="1328"/>
      <c r="F378" s="1328"/>
      <c r="I378" s="524"/>
    </row>
    <row r="379" spans="1:9">
      <c r="A379" s="510"/>
      <c r="B379" s="510"/>
      <c r="C379" s="510"/>
      <c r="D379" s="558"/>
      <c r="E379" s="558"/>
      <c r="F379" s="558"/>
      <c r="I379" s="524"/>
    </row>
    <row r="380" spans="1:9">
      <c r="A380" s="510"/>
      <c r="B380" s="519" t="s">
        <v>2783</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4">
      <c r="A387" s="518"/>
      <c r="B387" s="519" t="s">
        <v>2783</v>
      </c>
      <c r="C387" s="510"/>
      <c r="D387" s="1272" t="s">
        <v>1225</v>
      </c>
      <c r="E387" s="1272"/>
      <c r="F387" s="1272"/>
      <c r="I387" s="524"/>
    </row>
    <row r="388" spans="1:9">
      <c r="A388" s="510"/>
      <c r="B388" s="510"/>
      <c r="C388" s="510"/>
      <c r="D388" s="1272"/>
      <c r="E388" s="1272"/>
      <c r="F388" s="1272"/>
      <c r="I388" s="524"/>
    </row>
    <row r="389" spans="1:9">
      <c r="A389" s="510"/>
      <c r="B389" s="510"/>
      <c r="C389" s="510"/>
      <c r="D389" s="1272"/>
      <c r="E389" s="1272"/>
      <c r="F389" s="1272"/>
      <c r="I389" s="524"/>
    </row>
    <row r="390" spans="1:9">
      <c r="A390" s="510"/>
      <c r="B390" s="510"/>
      <c r="C390" s="510"/>
      <c r="D390" s="1272"/>
      <c r="E390" s="1272"/>
      <c r="F390" s="1272"/>
      <c r="I390" s="524"/>
    </row>
    <row r="391" spans="1:9">
      <c r="A391" s="510"/>
      <c r="B391" s="510"/>
      <c r="C391" s="510"/>
      <c r="D391" s="481"/>
      <c r="E391" s="481"/>
      <c r="F391" s="480"/>
      <c r="I391" s="524"/>
    </row>
    <row r="392" spans="1:9">
      <c r="A392" s="510"/>
      <c r="B392" s="510"/>
      <c r="C392" s="510"/>
      <c r="D392" s="1272" t="s">
        <v>1226</v>
      </c>
      <c r="E392" s="1272"/>
      <c r="F392" s="1272"/>
      <c r="I392" s="524"/>
    </row>
    <row r="393" spans="1:9">
      <c r="A393" s="510"/>
      <c r="B393" s="510"/>
      <c r="C393" s="510"/>
      <c r="D393" s="1272"/>
      <c r="E393" s="1272"/>
      <c r="F393" s="1272"/>
      <c r="I393" s="524"/>
    </row>
    <row r="394" spans="1:9">
      <c r="A394" s="510"/>
      <c r="B394" s="510"/>
      <c r="C394" s="510"/>
      <c r="D394" s="1272"/>
      <c r="E394" s="1272"/>
      <c r="F394" s="1272"/>
      <c r="I394" s="524"/>
    </row>
    <row r="395" spans="1:9">
      <c r="A395" s="510"/>
      <c r="B395" s="510"/>
      <c r="C395" s="510"/>
      <c r="D395" s="1272"/>
      <c r="E395" s="1272"/>
      <c r="F395" s="1272"/>
      <c r="I395" s="524"/>
    </row>
    <row r="396" spans="1:9" ht="18" customHeight="1">
      <c r="A396" s="510"/>
      <c r="B396" s="510"/>
      <c r="C396" s="510"/>
      <c r="D396" s="1272"/>
      <c r="E396" s="1272"/>
      <c r="F396" s="1272"/>
      <c r="I396" s="524"/>
    </row>
    <row r="397" spans="1:9">
      <c r="A397" s="510"/>
      <c r="B397" s="510"/>
      <c r="C397" s="510"/>
      <c r="D397" s="1272"/>
      <c r="E397" s="1272"/>
      <c r="F397" s="1272"/>
      <c r="I397" s="524"/>
    </row>
    <row r="398" spans="1:9">
      <c r="A398" s="510"/>
      <c r="B398" s="510"/>
      <c r="C398" s="510"/>
      <c r="D398" s="1272"/>
      <c r="E398" s="1272"/>
      <c r="F398" s="1272"/>
      <c r="I398" s="524"/>
    </row>
    <row r="399" spans="1:9">
      <c r="A399" s="510"/>
      <c r="B399" s="510"/>
      <c r="C399" s="510"/>
      <c r="D399" s="1272"/>
      <c r="E399" s="1272"/>
      <c r="F399" s="1272"/>
      <c r="I399" s="524"/>
    </row>
    <row r="400" spans="1:9" ht="8.25" customHeight="1">
      <c r="A400" s="510"/>
      <c r="B400" s="510"/>
      <c r="C400" s="510"/>
      <c r="D400" s="1272"/>
      <c r="E400" s="1272"/>
      <c r="F400" s="1272"/>
      <c r="I400" s="524"/>
    </row>
    <row r="401" spans="1:9" ht="13.8" customHeight="1">
      <c r="A401" s="510"/>
      <c r="B401" s="510"/>
      <c r="C401" s="510"/>
      <c r="D401" s="1272" t="s">
        <v>1227</v>
      </c>
      <c r="E401" s="1272"/>
      <c r="F401" s="1272"/>
      <c r="I401" s="524"/>
    </row>
    <row r="402" spans="1:9">
      <c r="A402" s="510"/>
      <c r="B402" s="510"/>
      <c r="C402" s="510"/>
      <c r="D402" s="1272"/>
      <c r="E402" s="1272"/>
      <c r="F402" s="1272"/>
      <c r="I402" s="524"/>
    </row>
    <row r="403" spans="1:9">
      <c r="A403" s="510"/>
      <c r="B403" s="510"/>
      <c r="C403" s="510"/>
      <c r="D403" s="1272"/>
      <c r="E403" s="1272"/>
      <c r="F403" s="1272"/>
      <c r="I403" s="524"/>
    </row>
    <row r="404" spans="1:9">
      <c r="A404" s="510"/>
      <c r="B404" s="510"/>
      <c r="C404" s="510"/>
      <c r="D404" s="1272"/>
      <c r="E404" s="1272"/>
      <c r="F404" s="1272"/>
      <c r="I404" s="524"/>
    </row>
    <row r="405" spans="1:9">
      <c r="A405" s="510"/>
      <c r="B405" s="510"/>
      <c r="C405" s="510"/>
      <c r="D405" s="1272"/>
      <c r="E405" s="1272"/>
      <c r="F405" s="1272"/>
      <c r="I405" s="524"/>
    </row>
    <row r="406" spans="1:9">
      <c r="A406" s="510"/>
      <c r="B406" s="510"/>
      <c r="C406" s="510"/>
      <c r="D406" s="1272"/>
      <c r="E406" s="1272"/>
      <c r="F406" s="1272"/>
      <c r="I406" s="524"/>
    </row>
    <row r="407" spans="1:9">
      <c r="A407" s="510"/>
      <c r="B407" s="510"/>
      <c r="C407" s="510"/>
      <c r="D407" s="1272"/>
      <c r="E407" s="1272"/>
      <c r="F407" s="1272"/>
      <c r="I407" s="524"/>
    </row>
    <row r="408" spans="1:9">
      <c r="A408" s="510"/>
      <c r="B408" s="510"/>
      <c r="C408" s="510"/>
      <c r="D408" s="1272"/>
      <c r="E408" s="1272"/>
      <c r="F408" s="1272"/>
      <c r="I408" s="524"/>
    </row>
    <row r="409" spans="1:9">
      <c r="A409" s="510"/>
      <c r="B409" s="510"/>
      <c r="C409" s="510"/>
      <c r="D409" s="1272"/>
      <c r="E409" s="1272"/>
      <c r="F409" s="1272"/>
      <c r="I409" s="524"/>
    </row>
    <row r="410" spans="1:9">
      <c r="A410" s="510"/>
      <c r="B410" s="510"/>
      <c r="C410" s="510"/>
      <c r="D410" s="1272"/>
      <c r="E410" s="1272"/>
      <c r="F410" s="1272"/>
      <c r="I410" s="524"/>
    </row>
    <row r="411" spans="1:9">
      <c r="A411" s="510"/>
      <c r="B411" s="510"/>
      <c r="C411" s="510"/>
      <c r="D411" s="1272"/>
      <c r="E411" s="1272"/>
      <c r="F411" s="1272"/>
      <c r="I411" s="524"/>
    </row>
    <row r="412" spans="1:9">
      <c r="A412" s="510"/>
      <c r="B412" s="510"/>
      <c r="C412" s="510"/>
      <c r="D412" s="1272"/>
      <c r="E412" s="1272"/>
      <c r="F412" s="1272"/>
      <c r="I412" s="524"/>
    </row>
    <row r="413" spans="1:9">
      <c r="A413" s="510"/>
      <c r="B413" s="510"/>
      <c r="C413" s="530"/>
      <c r="D413" s="1272"/>
      <c r="E413" s="1272"/>
      <c r="F413" s="1272"/>
      <c r="I413" s="524"/>
    </row>
    <row r="414" spans="1:9">
      <c r="A414" s="510"/>
      <c r="B414" s="510"/>
      <c r="C414" s="530"/>
      <c r="D414" s="1272"/>
      <c r="E414" s="1272"/>
      <c r="F414" s="1272"/>
      <c r="I414" s="524"/>
    </row>
    <row r="415" spans="1:9">
      <c r="A415" s="510"/>
      <c r="B415" s="510"/>
      <c r="C415" s="510"/>
      <c r="D415" s="1272"/>
      <c r="E415" s="1272"/>
      <c r="F415" s="1272"/>
      <c r="I415" s="524"/>
    </row>
    <row r="416" spans="1:9">
      <c r="A416" s="510"/>
      <c r="B416" s="510"/>
      <c r="C416" s="530"/>
      <c r="D416" s="1272"/>
      <c r="E416" s="1272"/>
      <c r="F416" s="1272"/>
      <c r="I416" s="524"/>
    </row>
    <row r="417" spans="1:9">
      <c r="A417" s="510"/>
      <c r="B417" s="510"/>
      <c r="C417" s="530"/>
      <c r="D417" s="1272"/>
      <c r="E417" s="1272"/>
      <c r="F417" s="1272"/>
      <c r="I417" s="524"/>
    </row>
    <row r="418" spans="1:9">
      <c r="A418" s="510"/>
      <c r="B418" s="510"/>
      <c r="C418" s="530"/>
      <c r="D418" s="1272"/>
      <c r="E418" s="1272"/>
      <c r="F418" s="1272"/>
      <c r="I418" s="524"/>
    </row>
    <row r="419" spans="1:9">
      <c r="A419" s="510"/>
      <c r="B419" s="510"/>
      <c r="C419" s="510"/>
      <c r="D419" s="481"/>
      <c r="E419" s="481"/>
      <c r="F419" s="480"/>
      <c r="I419" s="524"/>
    </row>
    <row r="420" spans="1:9">
      <c r="A420" s="510"/>
      <c r="B420" s="519" t="s">
        <v>2783</v>
      </c>
      <c r="C420" s="510"/>
      <c r="D420" s="1272" t="s">
        <v>1228</v>
      </c>
      <c r="E420" s="1272"/>
      <c r="F420" s="1272"/>
      <c r="I420" s="524"/>
    </row>
    <row r="421" spans="1:9">
      <c r="A421" s="510"/>
      <c r="B421" s="510"/>
      <c r="C421" s="510"/>
      <c r="D421" s="1272"/>
      <c r="E421" s="1272"/>
      <c r="F421" s="1272"/>
      <c r="I421" s="524"/>
    </row>
    <row r="422" spans="1:9">
      <c r="A422" s="510"/>
      <c r="B422" s="510"/>
      <c r="C422" s="510"/>
      <c r="D422" s="485"/>
      <c r="E422" s="485"/>
      <c r="F422" s="485"/>
      <c r="I422" s="524"/>
    </row>
    <row r="423" spans="1:9" ht="14.55" customHeight="1">
      <c r="A423" s="518"/>
      <c r="B423" s="519" t="s">
        <v>2783</v>
      </c>
      <c r="D423" s="1272" t="s">
        <v>2130</v>
      </c>
      <c r="E423" s="1272"/>
      <c r="F423" s="1272"/>
      <c r="I423" s="524"/>
    </row>
    <row r="424" spans="1:9" ht="14.55" customHeight="1">
      <c r="A424" s="518"/>
      <c r="D424" s="1272"/>
      <c r="E424" s="1272"/>
      <c r="F424" s="1272"/>
      <c r="I424" s="524"/>
    </row>
    <row r="425" spans="1:9" ht="14.55" customHeight="1">
      <c r="A425" s="518"/>
      <c r="D425" s="1272"/>
      <c r="E425" s="1272"/>
      <c r="F425" s="1272"/>
      <c r="I425" s="524"/>
    </row>
    <row r="426" spans="1:9" ht="14.55" customHeight="1">
      <c r="A426" s="518"/>
      <c r="D426" s="1272"/>
      <c r="E426" s="1272"/>
      <c r="F426" s="1272"/>
      <c r="I426" s="524"/>
    </row>
    <row r="427" spans="1:9" ht="14.55" customHeight="1">
      <c r="A427" s="518"/>
      <c r="D427" s="1272"/>
      <c r="E427" s="1272"/>
      <c r="F427" s="1272"/>
      <c r="I427" s="524"/>
    </row>
    <row r="428" spans="1:9" ht="14.55" customHeight="1">
      <c r="A428" s="518"/>
      <c r="D428" s="416"/>
      <c r="E428" s="416"/>
      <c r="F428" s="416"/>
      <c r="I428" s="524"/>
    </row>
    <row r="429" spans="1:9" ht="13.8" customHeight="1">
      <c r="A429" s="518"/>
      <c r="B429" s="519" t="s">
        <v>2783</v>
      </c>
      <c r="C429" s="510"/>
      <c r="D429" s="1272" t="s">
        <v>1347</v>
      </c>
      <c r="E429" s="1272"/>
      <c r="F429" s="1272"/>
      <c r="I429" s="524"/>
    </row>
    <row r="430" spans="1:9" ht="14.4">
      <c r="A430" s="531"/>
      <c r="B430" s="531"/>
      <c r="C430" s="510"/>
      <c r="D430" s="1272"/>
      <c r="E430" s="1272"/>
      <c r="F430" s="1272"/>
      <c r="I430" s="524"/>
    </row>
    <row r="431" spans="1:9" ht="14.4">
      <c r="A431" s="531"/>
      <c r="B431" s="531"/>
      <c r="C431" s="510"/>
      <c r="D431" s="1272"/>
      <c r="E431" s="1272"/>
      <c r="F431" s="1272"/>
      <c r="I431" s="524"/>
    </row>
    <row r="432" spans="1:9" ht="14.4">
      <c r="A432" s="531"/>
      <c r="B432" s="531"/>
      <c r="C432" s="510"/>
      <c r="D432" s="1272"/>
      <c r="E432" s="1272"/>
      <c r="F432" s="1272"/>
      <c r="I432" s="524"/>
    </row>
    <row r="433" spans="1:9" ht="15.75" customHeight="1">
      <c r="A433" s="531"/>
      <c r="B433" s="531"/>
      <c r="C433" s="510"/>
      <c r="D433" s="1336" t="s">
        <v>2386</v>
      </c>
      <c r="E433" s="1272"/>
      <c r="F433" s="1272"/>
      <c r="I433" s="524"/>
    </row>
    <row r="434" spans="1:9">
      <c r="D434" s="480"/>
      <c r="E434" s="480"/>
      <c r="F434" s="480"/>
      <c r="I434" s="524"/>
    </row>
    <row r="435" spans="1:9" ht="14.4">
      <c r="A435" s="518"/>
      <c r="B435" s="519" t="s">
        <v>2783</v>
      </c>
      <c r="C435" s="521"/>
      <c r="D435" s="1284" t="s">
        <v>2369</v>
      </c>
      <c r="E435" s="1284"/>
      <c r="F435" s="1284"/>
      <c r="I435" s="524"/>
    </row>
    <row r="436" spans="1:9" ht="14.4">
      <c r="A436" s="518"/>
      <c r="B436" s="518"/>
      <c r="D436" s="1284"/>
      <c r="E436" s="1284"/>
      <c r="F436" s="1284"/>
      <c r="I436" s="524"/>
    </row>
    <row r="437" spans="1:9">
      <c r="D437" s="1284"/>
      <c r="E437" s="1284"/>
      <c r="F437" s="1284"/>
      <c r="I437" s="524"/>
    </row>
    <row r="438" spans="1:9">
      <c r="D438" s="1284"/>
      <c r="E438" s="1284"/>
      <c r="F438" s="1284"/>
      <c r="I438" s="524"/>
    </row>
    <row r="439" spans="1:9">
      <c r="D439" s="1284"/>
      <c r="E439" s="1284"/>
      <c r="F439" s="1284"/>
      <c r="I439" s="524"/>
    </row>
    <row r="440" spans="1:9">
      <c r="D440" s="1284"/>
      <c r="E440" s="1284"/>
      <c r="F440" s="1284"/>
      <c r="I440" s="524"/>
    </row>
    <row r="441" spans="1:9">
      <c r="D441" s="1284"/>
      <c r="E441" s="1284"/>
      <c r="F441" s="1284"/>
      <c r="I441" s="524"/>
    </row>
    <row r="442" spans="1:9">
      <c r="D442" s="1284"/>
      <c r="E442" s="1284"/>
      <c r="F442" s="1284"/>
      <c r="I442" s="524"/>
    </row>
    <row r="443" spans="1:9">
      <c r="D443" s="1284"/>
      <c r="E443" s="1284"/>
      <c r="F443" s="1284"/>
      <c r="I443" s="524"/>
    </row>
    <row r="444" spans="1:9">
      <c r="D444" s="1284"/>
      <c r="E444" s="1284"/>
      <c r="F444" s="1284"/>
      <c r="I444" s="524"/>
    </row>
    <row r="445" spans="1:9">
      <c r="D445" s="1284"/>
      <c r="E445" s="1284"/>
      <c r="F445" s="1284"/>
      <c r="I445" s="524"/>
    </row>
    <row r="446" spans="1:9">
      <c r="D446" s="1284"/>
      <c r="E446" s="1284"/>
      <c r="F446" s="1284"/>
      <c r="I446" s="524"/>
    </row>
    <row r="447" spans="1:9">
      <c r="D447" s="1284"/>
      <c r="E447" s="1284"/>
      <c r="F447" s="1284"/>
      <c r="I447" s="524"/>
    </row>
    <row r="448" spans="1:9">
      <c r="A448" s="433"/>
      <c r="B448" s="433"/>
      <c r="C448" s="433"/>
      <c r="D448" s="1284"/>
      <c r="E448" s="1284"/>
      <c r="F448" s="1284"/>
      <c r="I448" s="524"/>
    </row>
    <row r="449" spans="1:9">
      <c r="A449" s="433"/>
      <c r="B449" s="433"/>
      <c r="C449" s="433"/>
      <c r="D449" s="1284"/>
      <c r="E449" s="1284"/>
      <c r="F449" s="1284"/>
      <c r="I449" s="524"/>
    </row>
    <row r="450" spans="1:9">
      <c r="A450" s="433"/>
      <c r="B450" s="433"/>
      <c r="C450" s="433"/>
      <c r="D450" s="1284"/>
      <c r="E450" s="1284"/>
      <c r="F450" s="1284"/>
      <c r="I450" s="524"/>
    </row>
    <row r="451" spans="1:9">
      <c r="A451" s="433"/>
      <c r="B451" s="433"/>
      <c r="C451" s="433"/>
      <c r="D451" s="1284"/>
      <c r="E451" s="1284"/>
      <c r="F451" s="1284"/>
      <c r="I451" s="524"/>
    </row>
    <row r="452" spans="1:9">
      <c r="A452" s="433"/>
      <c r="B452" s="433"/>
      <c r="C452" s="433"/>
      <c r="D452" s="1284"/>
      <c r="E452" s="1284"/>
      <c r="F452" s="1284"/>
      <c r="I452" s="524"/>
    </row>
    <row r="453" spans="1:9">
      <c r="A453" s="433"/>
      <c r="B453" s="433"/>
      <c r="C453" s="433"/>
      <c r="D453" s="1284"/>
      <c r="E453" s="1284"/>
      <c r="F453" s="1284"/>
      <c r="I453" s="524"/>
    </row>
    <row r="454" spans="1:9">
      <c r="A454" s="433"/>
      <c r="B454" s="433"/>
      <c r="C454" s="433"/>
      <c r="D454" s="1284"/>
      <c r="E454" s="1284"/>
      <c r="F454" s="1284"/>
      <c r="I454" s="524"/>
    </row>
    <row r="455" spans="1:9">
      <c r="A455" s="433"/>
      <c r="B455" s="433"/>
      <c r="C455" s="433"/>
      <c r="D455" s="1284"/>
      <c r="E455" s="1284"/>
      <c r="F455" s="1284"/>
      <c r="I455" s="524"/>
    </row>
    <row r="456" spans="1:9">
      <c r="A456" s="433"/>
      <c r="B456" s="433"/>
      <c r="C456" s="433"/>
      <c r="D456" s="1284"/>
      <c r="E456" s="1284"/>
      <c r="F456" s="1284"/>
      <c r="I456" s="524"/>
    </row>
    <row r="457" spans="1:9">
      <c r="A457" s="433"/>
      <c r="B457" s="433"/>
      <c r="C457" s="433"/>
      <c r="D457" s="1284"/>
      <c r="E457" s="1284"/>
      <c r="F457" s="1284"/>
      <c r="I457" s="524"/>
    </row>
    <row r="458" spans="1:9">
      <c r="A458" s="433"/>
      <c r="B458" s="433"/>
      <c r="C458" s="433"/>
      <c r="D458" s="1284"/>
      <c r="E458" s="1284"/>
      <c r="F458" s="1284"/>
      <c r="I458" s="524"/>
    </row>
    <row r="459" spans="1:9">
      <c r="A459" s="433"/>
      <c r="B459" s="433"/>
      <c r="C459" s="433"/>
      <c r="D459" s="1284"/>
      <c r="E459" s="1284"/>
      <c r="F459" s="1284"/>
      <c r="I459" s="524"/>
    </row>
    <row r="460" spans="1:9">
      <c r="A460" s="433"/>
      <c r="B460" s="433"/>
      <c r="C460" s="433"/>
      <c r="D460" s="1284"/>
      <c r="E460" s="1284"/>
      <c r="F460" s="1284"/>
      <c r="I460" s="524"/>
    </row>
    <row r="461" spans="1:9">
      <c r="A461" s="433"/>
      <c r="B461" s="433"/>
      <c r="C461" s="433"/>
      <c r="D461" s="1284"/>
      <c r="E461" s="1284"/>
      <c r="F461" s="1284"/>
      <c r="I461" s="524"/>
    </row>
    <row r="462" spans="1:9">
      <c r="A462" s="433"/>
      <c r="B462" s="433"/>
      <c r="C462" s="433"/>
      <c r="D462" s="1284"/>
      <c r="E462" s="1284"/>
      <c r="F462" s="1284"/>
      <c r="I462" s="524"/>
    </row>
    <row r="463" spans="1:9">
      <c r="A463" s="433"/>
      <c r="B463" s="433"/>
      <c r="C463" s="433"/>
      <c r="D463" s="1284"/>
      <c r="E463" s="1284"/>
      <c r="F463" s="1284"/>
      <c r="I463" s="524"/>
    </row>
    <row r="464" spans="1:9">
      <c r="D464" s="1284"/>
      <c r="E464" s="1284"/>
      <c r="F464" s="1284"/>
      <c r="I464" s="524"/>
    </row>
    <row r="465" spans="1:9" ht="40.799999999999997" customHeight="1">
      <c r="D465" s="1284"/>
      <c r="E465" s="1284"/>
      <c r="F465" s="1284"/>
      <c r="I465" s="524"/>
    </row>
    <row r="466" spans="1:9">
      <c r="D466" s="480"/>
      <c r="E466" s="480"/>
      <c r="F466" s="480"/>
      <c r="I466" s="524"/>
    </row>
    <row r="467" spans="1:9" ht="14.4">
      <c r="A467" s="518"/>
      <c r="B467" s="519" t="s">
        <v>2783</v>
      </c>
      <c r="C467" s="521"/>
      <c r="D467" s="1284" t="s">
        <v>1233</v>
      </c>
      <c r="E467" s="1284"/>
      <c r="F467" s="1284"/>
      <c r="I467" s="524"/>
    </row>
    <row r="468" spans="1:9">
      <c r="D468" s="1284"/>
      <c r="E468" s="1284"/>
      <c r="F468" s="1284"/>
      <c r="I468" s="524"/>
    </row>
    <row r="469" spans="1:9">
      <c r="D469" s="1284"/>
      <c r="E469" s="1284"/>
      <c r="F469" s="1284"/>
      <c r="I469" s="524"/>
    </row>
    <row r="470" spans="1:9">
      <c r="D470" s="479"/>
      <c r="E470" s="479"/>
      <c r="F470" s="479"/>
      <c r="I470" s="524"/>
    </row>
    <row r="471" spans="1:9" ht="14.4">
      <c r="B471" s="519" t="s">
        <v>2783</v>
      </c>
      <c r="C471" s="518"/>
      <c r="D471" s="1284" t="s">
        <v>1303</v>
      </c>
      <c r="E471" s="1284"/>
      <c r="F471" s="1284"/>
      <c r="I471" s="524"/>
    </row>
    <row r="472" spans="1:9">
      <c r="D472" s="1284"/>
      <c r="E472" s="1284"/>
      <c r="F472" s="1284"/>
      <c r="I472" s="524"/>
    </row>
    <row r="473" spans="1:9">
      <c r="D473" s="480"/>
      <c r="E473" s="480"/>
      <c r="F473" s="480"/>
      <c r="I473" s="524"/>
    </row>
    <row r="474" spans="1:9" ht="14.4">
      <c r="B474" s="519" t="s">
        <v>2783</v>
      </c>
      <c r="C474" s="518"/>
      <c r="D474" s="1284" t="s">
        <v>1235</v>
      </c>
      <c r="E474" s="1284"/>
      <c r="F474" s="1284"/>
      <c r="I474" s="524"/>
    </row>
    <row r="475" spans="1:9">
      <c r="D475" s="1284"/>
      <c r="E475" s="1284"/>
      <c r="F475" s="1284"/>
      <c r="I475" s="524"/>
    </row>
    <row r="476" spans="1:9">
      <c r="D476" s="1284"/>
      <c r="E476" s="1284"/>
      <c r="F476" s="1284"/>
      <c r="I476" s="524"/>
    </row>
    <row r="477" spans="1:9">
      <c r="D477" s="1284"/>
      <c r="E477" s="1284"/>
      <c r="F477" s="1284"/>
      <c r="I477" s="524"/>
    </row>
    <row r="478" spans="1:9">
      <c r="B478" s="519" t="s">
        <v>2783</v>
      </c>
      <c r="D478" s="1284"/>
      <c r="E478" s="1284"/>
      <c r="F478" s="1284"/>
      <c r="I478" s="524"/>
    </row>
    <row r="479" spans="1:9">
      <c r="A479" s="433"/>
      <c r="B479" s="433"/>
      <c r="C479" s="433"/>
      <c r="D479" s="1284"/>
      <c r="E479" s="1284"/>
      <c r="F479" s="1284"/>
      <c r="I479" s="524"/>
    </row>
    <row r="480" spans="1:9">
      <c r="A480" s="433"/>
      <c r="C480" s="433"/>
      <c r="D480" s="1284"/>
      <c r="E480" s="1284"/>
      <c r="F480" s="1284"/>
      <c r="I480" s="524"/>
    </row>
    <row r="481" spans="1:9">
      <c r="A481" s="433"/>
      <c r="B481" s="519" t="s">
        <v>2783</v>
      </c>
      <c r="C481" s="433"/>
      <c r="D481" s="1284"/>
      <c r="E481" s="1284"/>
      <c r="F481" s="1284"/>
      <c r="I481" s="524"/>
    </row>
    <row r="482" spans="1:9">
      <c r="A482" s="433"/>
      <c r="B482" s="433"/>
      <c r="C482" s="433"/>
      <c r="D482" s="1284"/>
      <c r="E482" s="1284"/>
      <c r="F482" s="1284"/>
      <c r="I482" s="524"/>
    </row>
    <row r="483" spans="1:9">
      <c r="A483" s="433"/>
      <c r="C483" s="433"/>
      <c r="D483" s="1284"/>
      <c r="E483" s="1284"/>
      <c r="F483" s="1284"/>
      <c r="I483" s="524"/>
    </row>
    <row r="484" spans="1:9">
      <c r="A484" s="433"/>
      <c r="C484" s="433"/>
      <c r="D484" s="1284"/>
      <c r="E484" s="1284"/>
      <c r="F484" s="1284"/>
      <c r="I484" s="524"/>
    </row>
    <row r="485" spans="1:9">
      <c r="A485" s="433"/>
      <c r="C485" s="433"/>
      <c r="D485" s="1284"/>
      <c r="E485" s="1284"/>
      <c r="F485" s="1284"/>
      <c r="I485" s="524"/>
    </row>
    <row r="486" spans="1:9">
      <c r="A486" s="433"/>
      <c r="B486" s="519" t="s">
        <v>2783</v>
      </c>
      <c r="C486" s="433"/>
      <c r="D486" s="1284"/>
      <c r="E486" s="1284"/>
      <c r="F486" s="1284"/>
      <c r="I486" s="524"/>
    </row>
    <row r="487" spans="1:9">
      <c r="A487" s="433"/>
      <c r="C487" s="433"/>
      <c r="D487" s="1284"/>
      <c r="E487" s="1284"/>
      <c r="F487" s="1284"/>
      <c r="I487" s="524"/>
    </row>
    <row r="488" spans="1:9">
      <c r="A488" s="433"/>
      <c r="B488" s="519" t="s">
        <v>2783</v>
      </c>
      <c r="C488" s="433"/>
      <c r="D488" s="1284" t="s">
        <v>1236</v>
      </c>
      <c r="E488" s="1284"/>
      <c r="F488" s="1284"/>
      <c r="I488" s="524"/>
    </row>
    <row r="489" spans="1:9">
      <c r="A489" s="433"/>
      <c r="B489" s="433"/>
      <c r="C489" s="433"/>
      <c r="D489" s="1284"/>
      <c r="E489" s="1284"/>
      <c r="F489" s="1284"/>
      <c r="I489" s="524"/>
    </row>
    <row r="490" spans="1:9">
      <c r="A490" s="433"/>
      <c r="B490" s="433"/>
      <c r="C490" s="433"/>
      <c r="D490" s="1284"/>
      <c r="E490" s="1284"/>
      <c r="F490" s="1284"/>
      <c r="I490" s="524"/>
    </row>
    <row r="491" spans="1:9">
      <c r="A491" s="433"/>
      <c r="B491" s="433"/>
      <c r="C491" s="433"/>
      <c r="D491" s="1284"/>
      <c r="E491" s="1284"/>
      <c r="F491" s="1284"/>
      <c r="I491" s="524"/>
    </row>
    <row r="492" spans="1:9">
      <c r="D492" s="1284"/>
      <c r="E492" s="1284"/>
      <c r="F492" s="1284"/>
      <c r="I492" s="524"/>
    </row>
    <row r="493" spans="1:9">
      <c r="D493" s="480"/>
      <c r="E493" s="480"/>
      <c r="F493" s="480"/>
      <c r="I493" s="524"/>
    </row>
    <row r="494" spans="1:9">
      <c r="B494" s="519" t="s">
        <v>2783</v>
      </c>
      <c r="D494" s="1313" t="s">
        <v>1237</v>
      </c>
      <c r="E494" s="1313"/>
      <c r="F494" s="1313"/>
      <c r="I494" s="524"/>
    </row>
    <row r="495" spans="1:9">
      <c r="A495" s="480"/>
      <c r="B495" s="480"/>
      <c r="I495" s="524"/>
    </row>
    <row r="496" spans="1:9">
      <c r="A496" s="1290" t="s">
        <v>1078</v>
      </c>
      <c r="B496" s="1290"/>
      <c r="C496" s="1290"/>
      <c r="D496" s="1290"/>
      <c r="E496" s="1290"/>
      <c r="F496" s="1290"/>
      <c r="G496" s="1290"/>
      <c r="H496" s="1063"/>
      <c r="I496" s="1259"/>
    </row>
    <row r="497" spans="1:9">
      <c r="A497" s="480"/>
      <c r="B497" s="480"/>
      <c r="I497" s="524"/>
    </row>
    <row r="498" spans="1:9">
      <c r="D498" s="1320" t="s">
        <v>895</v>
      </c>
      <c r="E498" s="1320"/>
      <c r="F498" s="1320"/>
      <c r="I498" s="524"/>
    </row>
    <row r="499" spans="1:9" ht="14.4">
      <c r="A499" s="518"/>
      <c r="B499" s="518"/>
      <c r="D499" s="1317" t="s">
        <v>1238</v>
      </c>
      <c r="E499" s="1317"/>
      <c r="F499" s="1317"/>
      <c r="I499" s="524"/>
    </row>
    <row r="500" spans="1:9" ht="14.4">
      <c r="A500" s="518"/>
      <c r="B500" s="518"/>
      <c r="D500" s="481"/>
      <c r="I500" s="524"/>
    </row>
    <row r="501" spans="1:9" ht="14.4">
      <c r="A501" s="518"/>
      <c r="B501" s="519" t="s">
        <v>2783</v>
      </c>
      <c r="D501" s="1272" t="s">
        <v>1239</v>
      </c>
      <c r="E501" s="1272"/>
      <c r="F501" s="1272"/>
      <c r="I501" s="524" t="s">
        <v>2094</v>
      </c>
    </row>
    <row r="502" spans="1:9" ht="14.4">
      <c r="A502" s="518"/>
      <c r="B502" s="518"/>
      <c r="D502" s="1272"/>
      <c r="E502" s="1272"/>
      <c r="F502" s="1272"/>
      <c r="I502" s="524"/>
    </row>
    <row r="503" spans="1:9" ht="14.4">
      <c r="A503" s="518"/>
      <c r="B503" s="518"/>
      <c r="D503" s="480"/>
      <c r="I503" s="524"/>
    </row>
    <row r="504" spans="1:9" ht="12.75" customHeight="1">
      <c r="B504" s="519" t="s">
        <v>2783</v>
      </c>
      <c r="D504" s="1306" t="s">
        <v>1383</v>
      </c>
      <c r="E504" s="1306"/>
      <c r="F504" s="1306"/>
      <c r="I504" s="524" t="s">
        <v>2095</v>
      </c>
    </row>
    <row r="505" spans="1:9" ht="14.4">
      <c r="A505" s="518"/>
      <c r="D505" s="1306"/>
      <c r="E505" s="1306"/>
      <c r="F505" s="1306"/>
      <c r="I505" s="524"/>
    </row>
    <row r="506" spans="1:9" ht="14.4">
      <c r="A506" s="518"/>
      <c r="B506" s="518"/>
      <c r="D506" s="1306"/>
      <c r="E506" s="1306"/>
      <c r="F506" s="1306"/>
      <c r="I506" s="524"/>
    </row>
    <row r="507" spans="1:9" ht="14.4">
      <c r="A507" s="518"/>
      <c r="B507" s="518"/>
      <c r="D507" s="1306"/>
      <c r="E507" s="1306"/>
      <c r="F507" s="1306"/>
      <c r="I507" s="524"/>
    </row>
    <row r="508" spans="1:9" ht="14.4">
      <c r="A508" s="518"/>
      <c r="D508" s="554"/>
      <c r="E508" s="554"/>
      <c r="F508" s="554"/>
      <c r="I508" s="524"/>
    </row>
    <row r="509" spans="1:9" ht="14.4">
      <c r="A509" s="518"/>
      <c r="B509" s="519" t="s">
        <v>2783</v>
      </c>
      <c r="D509" s="1313" t="s">
        <v>1242</v>
      </c>
      <c r="E509" s="1313"/>
      <c r="F509" s="1313"/>
      <c r="I509" s="524" t="s">
        <v>2096</v>
      </c>
    </row>
    <row r="510" spans="1:9" ht="14.4">
      <c r="A510" s="518"/>
      <c r="B510" s="518"/>
      <c r="D510" s="480"/>
      <c r="I510" s="524"/>
    </row>
    <row r="511" spans="1:9" ht="14.4">
      <c r="A511" s="518"/>
      <c r="B511" s="519" t="s">
        <v>2783</v>
      </c>
      <c r="D511" s="1284" t="s">
        <v>1243</v>
      </c>
      <c r="E511" s="1284"/>
      <c r="F511" s="1284"/>
      <c r="I511" s="524" t="s">
        <v>2096</v>
      </c>
    </row>
    <row r="512" spans="1:9" ht="14.4">
      <c r="A512" s="518"/>
      <c r="D512" s="1284"/>
      <c r="E512" s="1284"/>
      <c r="F512" s="1284"/>
      <c r="I512" s="524"/>
    </row>
    <row r="513" spans="1:9">
      <c r="A513" s="524"/>
      <c r="B513" s="524"/>
      <c r="D513" s="481"/>
      <c r="I513" s="524"/>
    </row>
    <row r="514" spans="1:9">
      <c r="A514" s="524"/>
      <c r="B514" s="519" t="s">
        <v>2783</v>
      </c>
      <c r="D514" s="1313" t="s">
        <v>1244</v>
      </c>
      <c r="E514" s="1313"/>
      <c r="F514" s="1313"/>
      <c r="I514" s="524" t="s">
        <v>2149</v>
      </c>
    </row>
    <row r="515" spans="1:9" ht="14.4">
      <c r="A515" s="518"/>
      <c r="B515" s="518"/>
      <c r="D515" s="480"/>
      <c r="I515" s="524"/>
    </row>
    <row r="516" spans="1:9">
      <c r="A516" s="1290" t="s">
        <v>1079</v>
      </c>
      <c r="B516" s="1290"/>
      <c r="C516" s="1290"/>
      <c r="D516" s="1290"/>
      <c r="E516" s="1290"/>
      <c r="F516" s="1290"/>
      <c r="G516" s="1290"/>
      <c r="H516" s="1063"/>
      <c r="I516" s="1259"/>
    </row>
    <row r="517" spans="1:9" ht="12" customHeight="1">
      <c r="A517" s="518"/>
      <c r="B517" s="518"/>
      <c r="D517" s="480"/>
      <c r="I517" s="524"/>
    </row>
    <row r="518" spans="1:9">
      <c r="C518" s="516"/>
      <c r="D518" s="1282" t="s">
        <v>802</v>
      </c>
      <c r="E518" s="1282"/>
      <c r="F518" s="1282"/>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8" customHeight="1">
      <c r="A522" s="517"/>
      <c r="B522" s="519" t="s">
        <v>2778</v>
      </c>
      <c r="C522" s="517"/>
      <c r="D522" s="1272" t="s">
        <v>2370</v>
      </c>
      <c r="E522" s="1272"/>
      <c r="F522" s="1272"/>
      <c r="I522" s="524" t="s">
        <v>2131</v>
      </c>
    </row>
    <row r="523" spans="1:9">
      <c r="A523" s="517"/>
      <c r="B523" s="517"/>
      <c r="C523" s="517"/>
      <c r="D523" s="1272"/>
      <c r="E523" s="1272"/>
      <c r="F523" s="1272"/>
      <c r="I523" s="524"/>
    </row>
    <row r="524" spans="1:9">
      <c r="A524" s="517"/>
      <c r="B524" s="517"/>
      <c r="C524" s="517"/>
      <c r="D524" s="485"/>
      <c r="E524" s="485"/>
      <c r="F524" s="485"/>
      <c r="I524" s="514"/>
    </row>
    <row r="525" spans="1:9" ht="12.75" customHeight="1">
      <c r="A525" s="517"/>
      <c r="B525" s="519" t="s">
        <v>2783</v>
      </c>
      <c r="D525" s="417" t="s">
        <v>2200</v>
      </c>
      <c r="E525" s="416"/>
      <c r="F525" s="416"/>
      <c r="I525" s="524" t="s">
        <v>2097</v>
      </c>
    </row>
    <row r="526" spans="1:9">
      <c r="A526" s="517"/>
      <c r="B526" s="517"/>
      <c r="C526" s="517"/>
      <c r="D526" s="416"/>
      <c r="E526" s="96" t="s">
        <v>2201</v>
      </c>
      <c r="I526" s="524"/>
    </row>
    <row r="527" spans="1:9">
      <c r="A527" s="517"/>
      <c r="B527" s="517"/>
      <c r="D527" s="1328" t="s">
        <v>2371</v>
      </c>
      <c r="E527" s="1328"/>
      <c r="F527" s="1328"/>
      <c r="I527" s="524"/>
    </row>
    <row r="528" spans="1:9">
      <c r="A528" s="517"/>
      <c r="B528" s="517"/>
      <c r="D528" s="1328"/>
      <c r="E528" s="1328"/>
      <c r="F528" s="1328"/>
      <c r="I528" s="524"/>
    </row>
    <row r="529" spans="1:9">
      <c r="A529" s="517"/>
      <c r="B529" s="517"/>
      <c r="C529" s="517"/>
      <c r="D529" s="1328"/>
      <c r="E529" s="1328"/>
      <c r="F529" s="1328"/>
      <c r="I529" s="524"/>
    </row>
    <row r="530" spans="1:9">
      <c r="A530" s="517"/>
      <c r="B530" s="517"/>
      <c r="C530" s="517"/>
      <c r="D530" s="532"/>
      <c r="F530" s="480"/>
      <c r="I530" s="524"/>
    </row>
    <row r="531" spans="1:9" ht="13.2" customHeight="1">
      <c r="A531" s="517"/>
      <c r="B531" s="519" t="s">
        <v>2783</v>
      </c>
      <c r="C531" s="517"/>
      <c r="D531" s="1284" t="s">
        <v>2372</v>
      </c>
      <c r="E531" s="1284"/>
      <c r="F531" s="1284"/>
      <c r="I531" s="524" t="s">
        <v>2097</v>
      </c>
    </row>
    <row r="532" spans="1:9">
      <c r="A532" s="517"/>
      <c r="B532" s="517"/>
      <c r="C532" s="517"/>
      <c r="D532" s="1284"/>
      <c r="E532" s="1284"/>
      <c r="F532" s="1284"/>
      <c r="I532" s="524"/>
    </row>
    <row r="533" spans="1:9" ht="12" customHeight="1">
      <c r="A533" s="480"/>
      <c r="B533" s="480"/>
      <c r="C533" s="521"/>
      <c r="D533" s="480"/>
      <c r="F533" s="482"/>
      <c r="I533" s="524"/>
    </row>
    <row r="534" spans="1:9">
      <c r="A534" s="1290" t="s">
        <v>1080</v>
      </c>
      <c r="B534" s="1290"/>
      <c r="C534" s="1290"/>
      <c r="D534" s="1290"/>
      <c r="E534" s="1290"/>
      <c r="F534" s="1290"/>
      <c r="G534" s="1290"/>
      <c r="H534" s="1063"/>
      <c r="I534" s="1259"/>
    </row>
    <row r="535" spans="1:9">
      <c r="A535" s="480"/>
      <c r="B535" s="480"/>
      <c r="C535" s="521"/>
      <c r="F535" s="482"/>
      <c r="I535" s="524"/>
    </row>
    <row r="536" spans="1:9">
      <c r="B536" s="1299" t="s">
        <v>448</v>
      </c>
      <c r="C536" s="1299"/>
      <c r="D536" s="1299"/>
      <c r="E536" s="1299"/>
      <c r="F536" s="1299"/>
      <c r="I536" s="524"/>
    </row>
    <row r="537" spans="1:9">
      <c r="A537" s="480"/>
      <c r="B537" s="480"/>
      <c r="C537" s="521"/>
      <c r="D537" s="480"/>
      <c r="F537" s="480"/>
      <c r="I537" s="524"/>
    </row>
    <row r="538" spans="1:9">
      <c r="A538" s="1291" t="s">
        <v>1081</v>
      </c>
      <c r="B538" s="1291"/>
      <c r="C538" s="1291"/>
      <c r="D538" s="1291"/>
      <c r="E538" s="1291"/>
      <c r="F538" s="1291"/>
      <c r="G538" s="1291"/>
      <c r="H538" s="1063"/>
      <c r="I538" s="1259"/>
    </row>
    <row r="539" spans="1:9">
      <c r="A539" s="480"/>
      <c r="B539" s="480"/>
      <c r="C539" s="521"/>
      <c r="D539" s="480"/>
      <c r="F539" s="480"/>
      <c r="I539" s="524"/>
    </row>
    <row r="540" spans="1:9">
      <c r="C540" s="521"/>
      <c r="D540" s="1282" t="s">
        <v>691</v>
      </c>
      <c r="E540" s="1282"/>
      <c r="F540" s="1282"/>
      <c r="I540" s="524"/>
    </row>
    <row r="541" spans="1:9">
      <c r="C541" s="521"/>
      <c r="D541" s="1313" t="s">
        <v>1138</v>
      </c>
      <c r="E541" s="1313"/>
      <c r="F541" s="1313"/>
      <c r="I541" s="524"/>
    </row>
    <row r="542" spans="1:9">
      <c r="C542" s="521"/>
      <c r="D542" s="480"/>
      <c r="E542" s="480"/>
      <c r="F542" s="480"/>
      <c r="I542" s="524"/>
    </row>
    <row r="543" spans="1:9" ht="13.8" customHeight="1">
      <c r="A543" s="518"/>
      <c r="B543" s="519" t="s">
        <v>2778</v>
      </c>
      <c r="C543" s="521"/>
      <c r="D543" s="1313" t="s">
        <v>896</v>
      </c>
      <c r="E543" s="1313"/>
      <c r="F543" s="1313"/>
      <c r="I543" s="524" t="s">
        <v>2147</v>
      </c>
    </row>
    <row r="544" spans="1:9" ht="13.8" customHeight="1">
      <c r="A544" s="521"/>
      <c r="B544" s="521"/>
      <c r="C544" s="521"/>
      <c r="D544" s="480"/>
      <c r="I544" s="524"/>
    </row>
    <row r="545" spans="1:9" ht="14.4">
      <c r="A545" s="518"/>
      <c r="B545" s="519" t="s">
        <v>2778</v>
      </c>
      <c r="C545" s="521"/>
      <c r="D545" s="1284" t="s">
        <v>1139</v>
      </c>
      <c r="E545" s="1284"/>
      <c r="F545" s="1284"/>
      <c r="I545" s="524" t="s">
        <v>2147</v>
      </c>
    </row>
    <row r="546" spans="1:9">
      <c r="A546" s="521"/>
      <c r="B546" s="521"/>
      <c r="C546" s="521"/>
      <c r="D546" s="1284"/>
      <c r="E546" s="1284"/>
      <c r="F546" s="1284"/>
      <c r="I546" s="524"/>
    </row>
    <row r="547" spans="1:9">
      <c r="A547" s="521"/>
      <c r="B547" s="521"/>
      <c r="C547" s="521"/>
      <c r="D547" s="480"/>
      <c r="E547" s="480"/>
      <c r="F547" s="480"/>
      <c r="I547" s="524"/>
    </row>
    <row r="548" spans="1:9" ht="14.4">
      <c r="A548" s="518"/>
      <c r="B548" s="519" t="s">
        <v>2778</v>
      </c>
      <c r="C548" s="521"/>
      <c r="D548" s="1284" t="s">
        <v>1140</v>
      </c>
      <c r="E548" s="1284"/>
      <c r="F548" s="1284"/>
      <c r="I548" s="524" t="s">
        <v>2098</v>
      </c>
    </row>
    <row r="549" spans="1:9">
      <c r="A549" s="521"/>
      <c r="B549" s="521"/>
      <c r="C549" s="521"/>
      <c r="D549" s="1284"/>
      <c r="E549" s="1284"/>
      <c r="F549" s="1284"/>
      <c r="I549" s="524"/>
    </row>
    <row r="550" spans="1:9">
      <c r="A550" s="521"/>
      <c r="B550" s="521"/>
      <c r="C550" s="521"/>
      <c r="D550" s="480"/>
      <c r="E550" s="480"/>
      <c r="F550" s="480"/>
      <c r="I550" s="524"/>
    </row>
    <row r="551" spans="1:9" ht="14.4">
      <c r="A551" s="518"/>
      <c r="B551" s="519" t="s">
        <v>2778</v>
      </c>
      <c r="C551" s="521"/>
      <c r="D551" s="1284" t="s">
        <v>1141</v>
      </c>
      <c r="E551" s="1284"/>
      <c r="F551" s="1284"/>
      <c r="I551" s="524" t="s">
        <v>2099</v>
      </c>
    </row>
    <row r="552" spans="1:9">
      <c r="A552" s="521"/>
      <c r="B552" s="521"/>
      <c r="C552" s="521"/>
      <c r="D552" s="1284"/>
      <c r="E552" s="1284"/>
      <c r="F552" s="1284"/>
      <c r="I552" s="524"/>
    </row>
    <row r="553" spans="1:9">
      <c r="A553" s="521"/>
      <c r="B553" s="521"/>
      <c r="C553" s="521"/>
      <c r="D553" s="480"/>
      <c r="E553" s="480"/>
      <c r="F553" s="480"/>
      <c r="I553" s="524"/>
    </row>
    <row r="554" spans="1:9" ht="14.4">
      <c r="A554" s="518"/>
      <c r="B554" s="519" t="s">
        <v>2778</v>
      </c>
      <c r="C554" s="521"/>
      <c r="D554" s="1284" t="s">
        <v>1142</v>
      </c>
      <c r="E554" s="1284"/>
      <c r="F554" s="1284"/>
      <c r="I554" s="524" t="s">
        <v>2148</v>
      </c>
    </row>
    <row r="555" spans="1:9">
      <c r="A555" s="521"/>
      <c r="B555" s="521"/>
      <c r="C555" s="521"/>
      <c r="D555" s="1284"/>
      <c r="E555" s="1284"/>
      <c r="F555" s="1284"/>
      <c r="I555" s="524"/>
    </row>
    <row r="556" spans="1:9">
      <c r="A556" s="521"/>
      <c r="B556" s="521"/>
      <c r="C556" s="521"/>
      <c r="D556" s="1284"/>
      <c r="E556" s="1284"/>
      <c r="F556" s="1284"/>
      <c r="I556" s="524"/>
    </row>
    <row r="557" spans="1:9">
      <c r="A557" s="521"/>
      <c r="B557" s="521"/>
      <c r="C557" s="521"/>
      <c r="D557" s="480"/>
      <c r="E557" s="480"/>
      <c r="F557" s="480"/>
      <c r="I557" s="524"/>
    </row>
    <row r="558" spans="1:9" ht="14.4">
      <c r="A558" s="518"/>
      <c r="B558" s="519" t="s">
        <v>2783</v>
      </c>
      <c r="C558" s="521"/>
      <c r="D558" s="1284" t="s">
        <v>1260</v>
      </c>
      <c r="E558" s="1284"/>
      <c r="F558" s="1284"/>
      <c r="I558" s="524" t="s">
        <v>2147</v>
      </c>
    </row>
    <row r="559" spans="1:9">
      <c r="A559" s="521"/>
      <c r="B559" s="521"/>
      <c r="C559" s="521"/>
      <c r="D559" s="1284"/>
      <c r="E559" s="1284"/>
      <c r="F559" s="1284"/>
      <c r="I559" s="524"/>
    </row>
    <row r="560" spans="1:9">
      <c r="A560" s="521"/>
      <c r="B560" s="521"/>
      <c r="C560" s="521"/>
      <c r="D560" s="480"/>
      <c r="E560" s="480"/>
      <c r="F560" s="480"/>
      <c r="I560" s="524"/>
    </row>
    <row r="561" spans="1:9" ht="14.4">
      <c r="A561" s="518"/>
      <c r="B561" s="519" t="s">
        <v>2783</v>
      </c>
      <c r="C561" s="521"/>
      <c r="D561" s="1284" t="s">
        <v>1144</v>
      </c>
      <c r="E561" s="1284"/>
      <c r="F561" s="1284"/>
      <c r="I561" s="524" t="s">
        <v>2147</v>
      </c>
    </row>
    <row r="562" spans="1:9">
      <c r="A562" s="521"/>
      <c r="B562" s="521"/>
      <c r="C562" s="521"/>
      <c r="D562" s="1284"/>
      <c r="E562" s="1284"/>
      <c r="F562" s="1284"/>
      <c r="I562" s="524"/>
    </row>
    <row r="563" spans="1:9">
      <c r="A563" s="521"/>
      <c r="B563" s="521"/>
      <c r="C563" s="521"/>
      <c r="D563" s="480"/>
      <c r="E563" s="480"/>
      <c r="F563" s="480"/>
      <c r="I563" s="524"/>
    </row>
    <row r="564" spans="1:9" ht="14.4">
      <c r="A564" s="518"/>
      <c r="B564" s="519" t="s">
        <v>2778</v>
      </c>
      <c r="C564" s="521"/>
      <c r="D564" s="1313" t="s">
        <v>1145</v>
      </c>
      <c r="E564" s="1313"/>
      <c r="F564" s="1313"/>
      <c r="I564" s="524" t="s">
        <v>2150</v>
      </c>
    </row>
    <row r="565" spans="1:9">
      <c r="A565" s="524"/>
      <c r="B565" s="524"/>
      <c r="C565" s="521"/>
      <c r="D565" s="1313" t="s">
        <v>2203</v>
      </c>
      <c r="E565" s="1313"/>
      <c r="F565" s="1313"/>
      <c r="I565" s="524"/>
    </row>
    <row r="566" spans="1:9">
      <c r="A566" s="524"/>
      <c r="B566" s="524"/>
      <c r="C566" s="521"/>
      <c r="E566" s="96" t="s">
        <v>2202</v>
      </c>
      <c r="F566" s="435"/>
      <c r="I566" s="524"/>
    </row>
    <row r="567" spans="1:9" ht="14.4">
      <c r="A567" s="518"/>
      <c r="B567" s="518"/>
      <c r="C567" s="521"/>
      <c r="E567" s="480"/>
      <c r="F567" s="480"/>
      <c r="I567" s="524"/>
    </row>
    <row r="568" spans="1:9" ht="14.4">
      <c r="A568" s="518"/>
      <c r="B568" s="519" t="s">
        <v>2778</v>
      </c>
      <c r="C568" s="521"/>
      <c r="D568" s="1313" t="s">
        <v>1147</v>
      </c>
      <c r="E568" s="1313"/>
      <c r="F568" s="1313"/>
      <c r="I568" s="524" t="s">
        <v>2100</v>
      </c>
    </row>
    <row r="569" spans="1:9">
      <c r="C569" s="521"/>
      <c r="D569" s="1284" t="s">
        <v>1148</v>
      </c>
      <c r="E569" s="1284"/>
      <c r="F569" s="1284"/>
      <c r="I569" s="524"/>
    </row>
    <row r="570" spans="1:9">
      <c r="A570" s="521"/>
      <c r="B570" s="521"/>
      <c r="C570" s="521"/>
      <c r="D570" s="1284"/>
      <c r="E570" s="1284"/>
      <c r="F570" s="1284"/>
      <c r="I570" s="524"/>
    </row>
    <row r="571" spans="1:9">
      <c r="A571" s="521"/>
      <c r="B571" s="521"/>
      <c r="C571" s="521"/>
      <c r="D571" s="1284"/>
      <c r="E571" s="1284"/>
      <c r="F571" s="1284"/>
      <c r="I571" s="524"/>
    </row>
    <row r="572" spans="1:9">
      <c r="A572" s="521"/>
      <c r="B572" s="521"/>
      <c r="C572" s="521"/>
      <c r="D572" s="480"/>
      <c r="E572" s="480"/>
      <c r="F572" s="480"/>
      <c r="I572" s="524"/>
    </row>
    <row r="573" spans="1:9" ht="14.4">
      <c r="A573" s="518"/>
      <c r="B573" s="519" t="s">
        <v>2778</v>
      </c>
      <c r="C573" s="521"/>
      <c r="D573" s="1284" t="s">
        <v>2373</v>
      </c>
      <c r="E573" s="1284"/>
      <c r="F573" s="1284"/>
      <c r="I573" s="524" t="s">
        <v>2101</v>
      </c>
    </row>
    <row r="574" spans="1:9" ht="14.4">
      <c r="A574" s="518"/>
      <c r="B574" s="518"/>
      <c r="C574" s="521"/>
      <c r="D574" s="1284"/>
      <c r="E574" s="1284"/>
      <c r="F574" s="1284"/>
      <c r="I574" s="524"/>
    </row>
    <row r="575" spans="1:9" ht="14.4">
      <c r="A575" s="518"/>
      <c r="B575" s="518"/>
      <c r="C575" s="521"/>
      <c r="D575" s="1284"/>
      <c r="E575" s="1284"/>
      <c r="F575" s="1284"/>
      <c r="I575" s="524"/>
    </row>
    <row r="576" spans="1:9" ht="14.4">
      <c r="A576" s="518"/>
      <c r="B576" s="518"/>
      <c r="C576" s="521"/>
      <c r="D576" s="1284"/>
      <c r="E576" s="1284"/>
      <c r="F576" s="1284"/>
      <c r="I576" s="524"/>
    </row>
    <row r="577" spans="1:9" ht="14.4">
      <c r="A577" s="518"/>
      <c r="B577" s="518"/>
      <c r="C577" s="521"/>
      <c r="D577" s="480"/>
      <c r="E577" s="480"/>
      <c r="F577" s="480"/>
      <c r="I577" s="524"/>
    </row>
    <row r="578" spans="1:9">
      <c r="A578" s="1290" t="s">
        <v>1082</v>
      </c>
      <c r="B578" s="1290"/>
      <c r="C578" s="1290"/>
      <c r="D578" s="1290"/>
      <c r="E578" s="1290"/>
      <c r="F578" s="1290"/>
      <c r="G578" s="1290"/>
      <c r="H578" s="1063"/>
      <c r="I578" s="1259"/>
    </row>
    <row r="579" spans="1:9">
      <c r="A579" s="521"/>
      <c r="B579" s="521"/>
      <c r="C579" s="521"/>
      <c r="E579" s="480"/>
      <c r="F579" s="480"/>
      <c r="I579" s="524"/>
    </row>
    <row r="580" spans="1:9" ht="12.75" customHeight="1">
      <c r="C580" s="516"/>
      <c r="D580" s="1312" t="s">
        <v>211</v>
      </c>
      <c r="E580" s="1312"/>
      <c r="F580" s="1312"/>
      <c r="I580" s="524"/>
    </row>
    <row r="581" spans="1:9">
      <c r="A581" s="517"/>
      <c r="B581" s="517"/>
      <c r="C581" s="517"/>
      <c r="D581" s="1306" t="s">
        <v>1098</v>
      </c>
      <c r="E581" s="1306"/>
      <c r="F581" s="1306"/>
      <c r="I581" s="524"/>
    </row>
    <row r="582" spans="1:9">
      <c r="A582" s="433"/>
      <c r="B582" s="433"/>
      <c r="C582" s="517"/>
      <c r="D582" s="533"/>
      <c r="I582" s="524" t="s">
        <v>2102</v>
      </c>
    </row>
    <row r="583" spans="1:9">
      <c r="A583" s="517"/>
      <c r="B583" s="519" t="s">
        <v>2778</v>
      </c>
      <c r="D583" s="1306" t="s">
        <v>902</v>
      </c>
      <c r="E583" s="1306"/>
      <c r="F583" s="1306"/>
      <c r="I583" s="524"/>
    </row>
    <row r="584" spans="1:9">
      <c r="A584" s="524"/>
      <c r="B584" s="524"/>
      <c r="D584" s="510"/>
      <c r="I584" s="524"/>
    </row>
    <row r="585" spans="1:9">
      <c r="A585" s="524"/>
      <c r="B585" s="519" t="s">
        <v>2778</v>
      </c>
      <c r="D585" s="1306" t="s">
        <v>2374</v>
      </c>
      <c r="E585" s="1306"/>
      <c r="F585" s="1306"/>
      <c r="I585" s="524" t="s">
        <v>2104</v>
      </c>
    </row>
    <row r="586" spans="1:9">
      <c r="A586" s="524"/>
      <c r="B586" s="524"/>
      <c r="D586" s="1306"/>
      <c r="E586" s="1306"/>
      <c r="F586" s="1306"/>
      <c r="I586" s="524" t="s">
        <v>2103</v>
      </c>
    </row>
    <row r="587" spans="1:9">
      <c r="A587" s="524"/>
      <c r="B587" s="524"/>
      <c r="D587" s="1306"/>
      <c r="E587" s="1306"/>
      <c r="F587" s="1306"/>
      <c r="I587" s="524"/>
    </row>
    <row r="588" spans="1:9">
      <c r="A588" s="524"/>
      <c r="B588" s="524"/>
      <c r="D588" s="1306"/>
      <c r="E588" s="1306"/>
      <c r="F588" s="1306"/>
      <c r="I588" s="524"/>
    </row>
    <row r="589" spans="1:9">
      <c r="A589" s="524"/>
      <c r="B589" s="519" t="s">
        <v>2783</v>
      </c>
      <c r="D589" s="1306" t="s">
        <v>1100</v>
      </c>
      <c r="E589" s="1306"/>
      <c r="F589" s="1306"/>
      <c r="I589" s="524"/>
    </row>
    <row r="590" spans="1:9">
      <c r="A590" s="524"/>
      <c r="B590" s="524"/>
      <c r="D590" s="1306"/>
      <c r="E590" s="1306"/>
      <c r="F590" s="1306"/>
      <c r="I590" s="524"/>
    </row>
    <row r="591" spans="1:9">
      <c r="A591" s="524"/>
      <c r="B591" s="524"/>
      <c r="D591" s="1306"/>
      <c r="E591" s="1306"/>
      <c r="F591" s="1306"/>
      <c r="I591" s="524"/>
    </row>
    <row r="592" spans="1:9">
      <c r="A592" s="524"/>
      <c r="B592" s="524"/>
      <c r="D592" s="1306"/>
      <c r="E592" s="1306"/>
      <c r="F592" s="1306"/>
      <c r="I592" s="524"/>
    </row>
    <row r="593" spans="1:9">
      <c r="A593" s="524"/>
      <c r="B593" s="524"/>
      <c r="D593" s="473"/>
      <c r="E593" s="473"/>
      <c r="F593" s="473"/>
      <c r="I593" s="524"/>
    </row>
    <row r="594" spans="1:9">
      <c r="A594" s="524"/>
      <c r="B594" s="519" t="s">
        <v>2778</v>
      </c>
      <c r="D594" s="1306" t="s">
        <v>2375</v>
      </c>
      <c r="E594" s="1306"/>
      <c r="F594" s="1306"/>
      <c r="I594" s="524"/>
    </row>
    <row r="595" spans="1:9">
      <c r="A595" s="524"/>
      <c r="B595" s="524"/>
      <c r="D595" s="1306"/>
      <c r="E595" s="1306"/>
      <c r="F595" s="1306"/>
      <c r="I595" s="524"/>
    </row>
    <row r="596" spans="1:9">
      <c r="A596" s="524"/>
      <c r="B596" s="524"/>
      <c r="D596" s="533"/>
      <c r="I596" s="524"/>
    </row>
    <row r="597" spans="1:9">
      <c r="A597" s="524"/>
      <c r="B597" s="519" t="s">
        <v>2783</v>
      </c>
      <c r="D597" s="1306" t="s">
        <v>1102</v>
      </c>
      <c r="E597" s="1306"/>
      <c r="F597" s="1306"/>
      <c r="I597" s="524" t="s">
        <v>2151</v>
      </c>
    </row>
    <row r="598" spans="1:9">
      <c r="A598" s="524"/>
      <c r="B598" s="524"/>
      <c r="D598" s="1306"/>
      <c r="E598" s="1306"/>
      <c r="F598" s="1306"/>
      <c r="I598" s="524"/>
    </row>
    <row r="599" spans="1:9" ht="14.4">
      <c r="A599" s="518"/>
      <c r="B599" s="518"/>
      <c r="D599" s="533"/>
      <c r="I599" s="524"/>
    </row>
    <row r="600" spans="1:9">
      <c r="A600" s="1290" t="s">
        <v>1083</v>
      </c>
      <c r="B600" s="1290"/>
      <c r="C600" s="1290"/>
      <c r="D600" s="1290"/>
      <c r="E600" s="1290"/>
      <c r="F600" s="1290"/>
      <c r="G600" s="1290"/>
      <c r="H600" s="1063"/>
      <c r="I600" s="1259"/>
    </row>
    <row r="601" spans="1:9">
      <c r="I601" s="524"/>
    </row>
    <row r="602" spans="1:9">
      <c r="D602" s="1282" t="s">
        <v>1183</v>
      </c>
      <c r="E602" s="1282"/>
      <c r="F602" s="1282"/>
      <c r="I602" s="524"/>
    </row>
    <row r="603" spans="1:9">
      <c r="D603" s="1283" t="s">
        <v>1184</v>
      </c>
      <c r="E603" s="1283"/>
      <c r="F603" s="1283"/>
      <c r="I603" s="524"/>
    </row>
    <row r="604" spans="1:9">
      <c r="D604" s="478"/>
      <c r="I604" s="524"/>
    </row>
    <row r="605" spans="1:9" ht="14.25" customHeight="1">
      <c r="A605" s="518"/>
      <c r="B605" s="519" t="s">
        <v>2778</v>
      </c>
      <c r="D605" s="1347" t="s">
        <v>2204</v>
      </c>
      <c r="E605" s="1347"/>
      <c r="F605" s="1347"/>
      <c r="I605" s="524" t="s">
        <v>2132</v>
      </c>
    </row>
    <row r="606" spans="1:9">
      <c r="D606" s="1347"/>
      <c r="E606" s="1347"/>
      <c r="F606" s="1347"/>
      <c r="I606" s="524"/>
    </row>
    <row r="607" spans="1:9">
      <c r="D607" s="416"/>
      <c r="E607" s="1071" t="s">
        <v>2205</v>
      </c>
      <c r="F607" s="416"/>
      <c r="I607" s="524"/>
    </row>
    <row r="608" spans="1:9">
      <c r="I608" s="524"/>
    </row>
    <row r="609" spans="1:9">
      <c r="A609" s="1290" t="s">
        <v>1084</v>
      </c>
      <c r="B609" s="1290"/>
      <c r="C609" s="1290"/>
      <c r="D609" s="1290"/>
      <c r="E609" s="1290"/>
      <c r="F609" s="1290"/>
      <c r="G609" s="1290"/>
      <c r="H609" s="1063"/>
      <c r="I609" s="1259"/>
    </row>
    <row r="610" spans="1:9">
      <c r="A610" s="480"/>
      <c r="B610" s="480"/>
      <c r="I610" s="524"/>
    </row>
    <row r="611" spans="1:9">
      <c r="A611" s="516"/>
      <c r="B611" s="516"/>
      <c r="C611" s="516"/>
      <c r="D611" s="1285" t="s">
        <v>1186</v>
      </c>
      <c r="E611" s="1285"/>
      <c r="F611" s="1285"/>
      <c r="I611" s="524"/>
    </row>
    <row r="612" spans="1:9">
      <c r="A612" s="516"/>
      <c r="B612" s="516"/>
      <c r="C612" s="516"/>
      <c r="D612" s="1285"/>
      <c r="E612" s="1285"/>
      <c r="F612" s="1285"/>
      <c r="I612" s="524"/>
    </row>
    <row r="613" spans="1:9">
      <c r="C613" s="517"/>
      <c r="D613" s="1283" t="s">
        <v>1187</v>
      </c>
      <c r="E613" s="1283"/>
      <c r="F613" s="1283"/>
      <c r="I613" s="524"/>
    </row>
    <row r="614" spans="1:9">
      <c r="C614" s="517"/>
      <c r="D614" s="478"/>
      <c r="E614" s="478"/>
      <c r="F614" s="478"/>
      <c r="I614" s="524"/>
    </row>
    <row r="615" spans="1:9" ht="12.75" customHeight="1">
      <c r="A615" s="524"/>
      <c r="B615" s="519" t="s">
        <v>2778</v>
      </c>
      <c r="D615" s="1286" t="s">
        <v>1188</v>
      </c>
      <c r="E615" s="1286"/>
      <c r="F615" s="1286"/>
      <c r="I615" s="524" t="s">
        <v>2152</v>
      </c>
    </row>
    <row r="616" spans="1:9">
      <c r="D616" s="1286"/>
      <c r="E616" s="1286"/>
      <c r="F616" s="1286"/>
      <c r="I616" s="524"/>
    </row>
    <row r="617" spans="1:9">
      <c r="I617" s="524"/>
    </row>
    <row r="618" spans="1:9">
      <c r="B618" s="519" t="s">
        <v>2778</v>
      </c>
      <c r="D618" s="1286" t="s">
        <v>1189</v>
      </c>
      <c r="E618" s="1286"/>
      <c r="F618" s="1286"/>
      <c r="I618" s="524" t="s">
        <v>2105</v>
      </c>
    </row>
    <row r="619" spans="1:9">
      <c r="C619" s="534"/>
      <c r="D619" s="1286"/>
      <c r="E619" s="1286"/>
      <c r="F619" s="1286"/>
      <c r="I619" s="524"/>
    </row>
    <row r="620" spans="1:9">
      <c r="C620" s="534"/>
      <c r="I620" s="524"/>
    </row>
    <row r="621" spans="1:9">
      <c r="B621" s="519" t="s">
        <v>2783</v>
      </c>
      <c r="C621" s="534"/>
      <c r="D621" s="1286" t="s">
        <v>1190</v>
      </c>
      <c r="E621" s="1286"/>
      <c r="F621" s="1286"/>
      <c r="I621" s="524" t="s">
        <v>2153</v>
      </c>
    </row>
    <row r="622" spans="1:9">
      <c r="C622" s="534"/>
      <c r="D622" s="1286"/>
      <c r="E622" s="1286"/>
      <c r="F622" s="1286"/>
      <c r="I622" s="534" t="s">
        <v>2154</v>
      </c>
    </row>
    <row r="623" spans="1:9">
      <c r="C623" s="534"/>
      <c r="I623" s="524"/>
    </row>
    <row r="624" spans="1:9">
      <c r="A624" s="1290" t="s">
        <v>1085</v>
      </c>
      <c r="B624" s="1290"/>
      <c r="C624" s="1290"/>
      <c r="D624" s="1290"/>
      <c r="E624" s="1290"/>
      <c r="F624" s="1290"/>
      <c r="G624" s="1290"/>
      <c r="H624" s="1063"/>
      <c r="I624" s="1259"/>
    </row>
    <row r="625" spans="1:9">
      <c r="A625" s="516"/>
      <c r="B625" s="516"/>
      <c r="C625" s="516"/>
      <c r="I625" s="524"/>
    </row>
    <row r="626" spans="1:9">
      <c r="C626" s="524"/>
      <c r="D626" s="1282" t="s">
        <v>1191</v>
      </c>
      <c r="E626" s="1282"/>
      <c r="F626" s="1282"/>
      <c r="I626" s="524"/>
    </row>
    <row r="627" spans="1:9">
      <c r="A627" s="524"/>
      <c r="B627" s="524"/>
      <c r="D627" s="435"/>
      <c r="I627" s="524"/>
    </row>
    <row r="628" spans="1:9" ht="14.25" customHeight="1">
      <c r="A628" s="518"/>
      <c r="B628" s="519" t="s">
        <v>2778</v>
      </c>
      <c r="D628" s="1347" t="s">
        <v>2376</v>
      </c>
      <c r="E628" s="1347"/>
      <c r="F628" s="1347"/>
      <c r="I628" s="524" t="s">
        <v>2133</v>
      </c>
    </row>
    <row r="629" spans="1:9">
      <c r="D629" s="1347"/>
      <c r="E629" s="1347"/>
      <c r="F629" s="1347"/>
      <c r="I629" s="524"/>
    </row>
    <row r="630" spans="1:9">
      <c r="D630" s="416"/>
      <c r="E630" s="1071" t="s">
        <v>2207</v>
      </c>
      <c r="F630" s="416"/>
      <c r="I630" s="524"/>
    </row>
    <row r="631" spans="1:9">
      <c r="D631" s="1284" t="s">
        <v>2206</v>
      </c>
      <c r="E631" s="1284"/>
      <c r="F631" s="1284"/>
      <c r="I631" s="524"/>
    </row>
    <row r="632" spans="1:9">
      <c r="D632" s="1284"/>
      <c r="E632" s="1284"/>
      <c r="F632" s="1284"/>
      <c r="I632" s="524"/>
    </row>
    <row r="633" spans="1:9">
      <c r="D633" s="1284"/>
      <c r="E633" s="1284"/>
      <c r="F633" s="1284"/>
      <c r="I633" s="524"/>
    </row>
    <row r="634" spans="1:9">
      <c r="D634" s="479"/>
      <c r="E634" s="479"/>
      <c r="F634" s="479"/>
      <c r="I634" s="524"/>
    </row>
    <row r="635" spans="1:9" ht="14.4">
      <c r="A635" s="518"/>
      <c r="B635" s="519" t="s">
        <v>2783</v>
      </c>
      <c r="D635" s="1284" t="s">
        <v>1193</v>
      </c>
      <c r="E635" s="1284"/>
      <c r="F635" s="1284"/>
      <c r="I635" s="524" t="s">
        <v>2155</v>
      </c>
    </row>
    <row r="636" spans="1:9">
      <c r="A636" s="521"/>
      <c r="B636" s="521"/>
      <c r="C636" s="521"/>
      <c r="D636" s="1284"/>
      <c r="E636" s="1284"/>
      <c r="F636" s="1284"/>
      <c r="I636" s="524"/>
    </row>
    <row r="637" spans="1:9">
      <c r="A637" s="521"/>
      <c r="B637" s="521"/>
      <c r="C637" s="521"/>
      <c r="D637" s="480"/>
      <c r="E637" s="480"/>
      <c r="F637" s="480"/>
      <c r="I637" s="524"/>
    </row>
    <row r="638" spans="1:9" ht="14.4">
      <c r="A638" s="518"/>
      <c r="B638" s="519" t="s">
        <v>2783</v>
      </c>
      <c r="C638" s="521"/>
      <c r="D638" s="1284" t="s">
        <v>1332</v>
      </c>
      <c r="E638" s="1284"/>
      <c r="F638" s="1284"/>
      <c r="I638" s="524" t="s">
        <v>2106</v>
      </c>
    </row>
    <row r="639" spans="1:9" ht="14.4">
      <c r="A639" s="518"/>
      <c r="B639" s="518"/>
      <c r="C639" s="521"/>
      <c r="D639" s="1284"/>
      <c r="E639" s="1284"/>
      <c r="F639" s="1284"/>
      <c r="I639" s="524"/>
    </row>
    <row r="640" spans="1:9" ht="14.4">
      <c r="A640" s="518"/>
      <c r="B640" s="518"/>
      <c r="C640" s="521"/>
      <c r="D640" s="1284"/>
      <c r="E640" s="1284"/>
      <c r="F640" s="1284"/>
      <c r="I640" s="524"/>
    </row>
    <row r="641" spans="1:9">
      <c r="A641" s="521"/>
      <c r="B641" s="519" t="s">
        <v>2783</v>
      </c>
      <c r="C641" s="521"/>
      <c r="D641" s="1313" t="s">
        <v>1195</v>
      </c>
      <c r="E641" s="1313"/>
      <c r="F641" s="1313"/>
      <c r="I641" s="524" t="s">
        <v>2106</v>
      </c>
    </row>
    <row r="642" spans="1:9">
      <c r="A642" s="521"/>
      <c r="B642" s="521"/>
      <c r="C642" s="521"/>
      <c r="D642" s="480"/>
      <c r="E642" s="480"/>
      <c r="F642" s="480"/>
      <c r="I642" s="524"/>
    </row>
    <row r="643" spans="1:9">
      <c r="A643" s="1290" t="s">
        <v>1086</v>
      </c>
      <c r="B643" s="1290"/>
      <c r="C643" s="1290"/>
      <c r="D643" s="1290"/>
      <c r="E643" s="1290"/>
      <c r="F643" s="1290"/>
      <c r="G643" s="1290"/>
      <c r="H643" s="1063"/>
      <c r="I643" s="1259"/>
    </row>
    <row r="644" spans="1:9">
      <c r="A644" s="480"/>
      <c r="B644" s="480"/>
      <c r="C644" s="521"/>
      <c r="D644" s="480"/>
      <c r="E644" s="480"/>
      <c r="F644" s="480"/>
      <c r="I644" s="524"/>
    </row>
    <row r="645" spans="1:9">
      <c r="C645" s="516"/>
      <c r="D645" s="1282" t="s">
        <v>1245</v>
      </c>
      <c r="E645" s="1282"/>
      <c r="F645" s="1282"/>
      <c r="I645" s="524"/>
    </row>
    <row r="646" spans="1:9">
      <c r="A646" s="517"/>
      <c r="B646" s="517"/>
      <c r="C646" s="517"/>
      <c r="D646" s="1313" t="s">
        <v>1246</v>
      </c>
      <c r="E646" s="1313"/>
      <c r="F646" s="1313"/>
      <c r="I646" s="524"/>
    </row>
    <row r="647" spans="1:9">
      <c r="A647" s="517"/>
      <c r="B647" s="517"/>
      <c r="C647" s="517"/>
      <c r="D647" s="480"/>
      <c r="E647" s="480"/>
      <c r="F647" s="480"/>
      <c r="I647" s="524"/>
    </row>
    <row r="648" spans="1:9" ht="12.75" customHeight="1">
      <c r="B648" s="519" t="s">
        <v>2783</v>
      </c>
      <c r="C648" s="521"/>
      <c r="D648" s="1284" t="s">
        <v>1391</v>
      </c>
      <c r="E648" s="1284"/>
      <c r="F648" s="1284"/>
      <c r="I648" s="524" t="s">
        <v>2158</v>
      </c>
    </row>
    <row r="649" spans="1:9">
      <c r="D649" s="1284"/>
      <c r="E649" s="1284"/>
      <c r="F649" s="1284"/>
      <c r="I649" s="524"/>
    </row>
    <row r="650" spans="1:9">
      <c r="D650" s="1284"/>
      <c r="E650" s="1284"/>
      <c r="F650" s="1284"/>
      <c r="I650" s="524"/>
    </row>
    <row r="651" spans="1:9">
      <c r="D651" s="1284"/>
      <c r="E651" s="1284"/>
      <c r="F651" s="1284"/>
      <c r="I651" s="524"/>
    </row>
    <row r="652" spans="1:9" ht="14.55" customHeight="1">
      <c r="A652" s="518"/>
      <c r="B652" s="518"/>
      <c r="C652" s="521"/>
      <c r="D652" s="416"/>
      <c r="E652" s="416"/>
      <c r="F652" s="416"/>
      <c r="I652" s="524"/>
    </row>
    <row r="653" spans="1:9" ht="12.75" customHeight="1">
      <c r="A653" s="517"/>
      <c r="B653" s="519" t="s">
        <v>2778</v>
      </c>
      <c r="C653" s="521"/>
      <c r="D653" s="1284" t="s">
        <v>1393</v>
      </c>
      <c r="E653" s="1284"/>
      <c r="F653" s="1284"/>
      <c r="I653" s="524" t="s">
        <v>2158</v>
      </c>
    </row>
    <row r="654" spans="1:9" ht="14.4">
      <c r="A654" s="517"/>
      <c r="B654" s="518"/>
      <c r="C654" s="521"/>
      <c r="D654" s="1284"/>
      <c r="E654" s="1284"/>
      <c r="F654" s="1284"/>
      <c r="I654" s="524"/>
    </row>
    <row r="655" spans="1:9" ht="14.4">
      <c r="A655" s="517"/>
      <c r="B655" s="518"/>
      <c r="C655" s="521"/>
      <c r="D655" s="1284"/>
      <c r="E655" s="1284"/>
      <c r="F655" s="1284"/>
      <c r="I655" s="524"/>
    </row>
    <row r="656" spans="1:9" ht="14.4">
      <c r="A656" s="517"/>
      <c r="B656" s="518"/>
      <c r="C656" s="521"/>
      <c r="D656" s="1284"/>
      <c r="E656" s="1284"/>
      <c r="F656" s="1284"/>
      <c r="I656" s="524"/>
    </row>
    <row r="657" spans="1:9" ht="14.4">
      <c r="A657" s="517"/>
      <c r="B657" s="518"/>
      <c r="C657" s="521"/>
      <c r="D657" s="1284"/>
      <c r="E657" s="1284"/>
      <c r="F657" s="1284"/>
      <c r="I657" s="524"/>
    </row>
    <row r="658" spans="1:9" ht="14.25" customHeight="1">
      <c r="A658" s="517"/>
      <c r="B658" s="518"/>
      <c r="C658" s="521"/>
      <c r="F658" s="417"/>
      <c r="I658" s="524"/>
    </row>
    <row r="659" spans="1:9" ht="12.75" customHeight="1">
      <c r="A659" s="517"/>
      <c r="B659" s="519" t="s">
        <v>2783</v>
      </c>
      <c r="C659" s="521"/>
      <c r="D659" s="1284" t="s">
        <v>1392</v>
      </c>
      <c r="E659" s="1284"/>
      <c r="F659" s="1284"/>
      <c r="I659" s="524" t="s">
        <v>2158</v>
      </c>
    </row>
    <row r="660" spans="1:9" ht="14.4">
      <c r="A660" s="517"/>
      <c r="B660" s="518"/>
      <c r="C660" s="521"/>
      <c r="D660" s="1284"/>
      <c r="E660" s="1284"/>
      <c r="F660" s="1284"/>
      <c r="I660" s="524"/>
    </row>
    <row r="661" spans="1:9" ht="14.4">
      <c r="A661" s="518"/>
      <c r="B661" s="518"/>
      <c r="C661" s="521"/>
      <c r="D661" s="1284"/>
      <c r="E661" s="1284"/>
      <c r="F661" s="1284"/>
      <c r="I661" s="524"/>
    </row>
    <row r="662" spans="1:9" ht="14.4">
      <c r="A662" s="518"/>
      <c r="B662" s="518"/>
      <c r="C662" s="521"/>
      <c r="D662" s="1284"/>
      <c r="E662" s="1284"/>
      <c r="F662" s="1284"/>
      <c r="I662" s="524"/>
    </row>
    <row r="663" spans="1:9" ht="14.4">
      <c r="A663" s="518"/>
      <c r="B663" s="518"/>
      <c r="C663" s="521"/>
      <c r="D663" s="479"/>
      <c r="E663" s="479"/>
      <c r="F663" s="479"/>
      <c r="I663" s="524"/>
    </row>
    <row r="664" spans="1:9" ht="12.75" customHeight="1">
      <c r="A664" s="517"/>
      <c r="B664" s="519" t="s">
        <v>2783</v>
      </c>
      <c r="C664" s="521"/>
      <c r="D664" s="1284" t="s">
        <v>2377</v>
      </c>
      <c r="E664" s="1284"/>
      <c r="F664" s="1284"/>
      <c r="I664" s="524" t="s">
        <v>2158</v>
      </c>
    </row>
    <row r="665" spans="1:9" ht="12.75" customHeight="1">
      <c r="A665" s="517"/>
      <c r="B665" s="518"/>
      <c r="C665" s="521"/>
      <c r="D665" s="1284"/>
      <c r="E665" s="1284"/>
      <c r="F665" s="1284"/>
      <c r="I665" s="524"/>
    </row>
    <row r="666" spans="1:9" ht="12.75" customHeight="1">
      <c r="A666" s="517"/>
      <c r="B666" s="518"/>
      <c r="C666" s="521"/>
      <c r="D666" s="1284"/>
      <c r="E666" s="1284"/>
      <c r="F666" s="1284"/>
      <c r="I666" s="524"/>
    </row>
    <row r="667" spans="1:9" ht="12.75" customHeight="1">
      <c r="A667" s="517"/>
      <c r="B667" s="518"/>
      <c r="C667" s="521"/>
      <c r="D667" s="1284"/>
      <c r="E667" s="1284"/>
      <c r="F667" s="1284"/>
      <c r="I667" s="524"/>
    </row>
    <row r="668" spans="1:9" ht="12.75" customHeight="1">
      <c r="A668" s="517"/>
      <c r="B668" s="518"/>
      <c r="C668" s="521"/>
      <c r="D668" s="1284"/>
      <c r="E668" s="1284"/>
      <c r="F668" s="1284"/>
      <c r="I668" s="524"/>
    </row>
    <row r="669" spans="1:9" ht="12.75" customHeight="1">
      <c r="A669" s="517"/>
      <c r="B669" s="518"/>
      <c r="C669" s="521"/>
      <c r="D669" s="1284"/>
      <c r="E669" s="1284"/>
      <c r="F669" s="1284"/>
      <c r="I669" s="524"/>
    </row>
    <row r="670" spans="1:9" ht="12.75" customHeight="1">
      <c r="A670" s="517"/>
      <c r="B670" s="518"/>
      <c r="C670" s="521"/>
      <c r="D670" s="1284"/>
      <c r="E670" s="1284"/>
      <c r="F670" s="1284"/>
      <c r="I670" s="524"/>
    </row>
    <row r="671" spans="1:9" ht="12.75" customHeight="1">
      <c r="A671" s="517"/>
      <c r="B671" s="518"/>
      <c r="C671" s="521"/>
      <c r="D671" s="1284"/>
      <c r="E671" s="1284"/>
      <c r="F671" s="1284"/>
      <c r="I671" s="524"/>
    </row>
    <row r="672" spans="1:9" ht="12.75" customHeight="1">
      <c r="A672" s="517"/>
      <c r="B672" s="518"/>
      <c r="C672" s="521"/>
      <c r="D672" s="1284"/>
      <c r="E672" s="1284"/>
      <c r="F672" s="1284"/>
      <c r="I672" s="524"/>
    </row>
    <row r="673" spans="1:11">
      <c r="A673" s="521"/>
      <c r="B673" s="521"/>
      <c r="C673" s="521"/>
      <c r="D673" s="480"/>
      <c r="E673" s="480"/>
      <c r="F673" s="480"/>
      <c r="I673" s="524"/>
    </row>
    <row r="674" spans="1:11">
      <c r="A674" s="1290" t="s">
        <v>1087</v>
      </c>
      <c r="B674" s="1290"/>
      <c r="C674" s="1290"/>
      <c r="D674" s="1290"/>
      <c r="E674" s="1290"/>
      <c r="F674" s="1290"/>
      <c r="G674" s="1290"/>
      <c r="H674" s="1065"/>
      <c r="I674" s="1263"/>
      <c r="J674" s="535"/>
      <c r="K674" s="535"/>
    </row>
    <row r="675" spans="1:11">
      <c r="A675" s="482"/>
      <c r="B675" s="482"/>
      <c r="C675" s="482"/>
      <c r="D675" s="482"/>
      <c r="E675" s="482"/>
      <c r="F675" s="482"/>
      <c r="G675" s="482"/>
      <c r="H675" s="535"/>
      <c r="I675" s="517"/>
      <c r="J675" s="535"/>
      <c r="K675" s="535"/>
    </row>
    <row r="676" spans="1:11">
      <c r="C676" s="516"/>
      <c r="D676" s="1282" t="s">
        <v>99</v>
      </c>
      <c r="E676" s="1282"/>
      <c r="F676" s="1282"/>
      <c r="H676" s="535"/>
      <c r="I676" s="517"/>
      <c r="J676" s="535"/>
      <c r="K676" s="535"/>
    </row>
    <row r="677" spans="1:11">
      <c r="A677" s="516"/>
      <c r="B677" s="516"/>
      <c r="C677" s="516"/>
      <c r="D677" s="1282" t="s">
        <v>123</v>
      </c>
      <c r="E677" s="1282"/>
      <c r="F677" s="1282"/>
      <c r="H677" s="535"/>
      <c r="I677" s="517"/>
      <c r="J677" s="535"/>
      <c r="K677" s="535"/>
    </row>
    <row r="678" spans="1:11">
      <c r="A678" s="517"/>
      <c r="B678" s="517"/>
      <c r="C678" s="517"/>
      <c r="D678" s="1313" t="s">
        <v>1123</v>
      </c>
      <c r="E678" s="1313"/>
      <c r="F678" s="1313"/>
      <c r="H678" s="535"/>
      <c r="I678" s="517"/>
      <c r="J678" s="535"/>
      <c r="K678" s="535"/>
    </row>
    <row r="679" spans="1:11">
      <c r="A679" s="517"/>
      <c r="B679" s="517"/>
      <c r="C679" s="517"/>
      <c r="H679" s="535"/>
      <c r="I679" s="517"/>
      <c r="J679" s="535"/>
      <c r="K679" s="535"/>
    </row>
    <row r="680" spans="1:11" ht="14.4">
      <c r="A680" s="518"/>
      <c r="B680" s="519" t="s">
        <v>2783</v>
      </c>
      <c r="C680" s="517"/>
      <c r="D680" s="1313" t="s">
        <v>898</v>
      </c>
      <c r="E680" s="1313"/>
      <c r="F680" s="1313"/>
      <c r="H680" s="535"/>
      <c r="I680" s="517" t="s">
        <v>2134</v>
      </c>
      <c r="J680" s="535"/>
      <c r="K680" s="535"/>
    </row>
    <row r="681" spans="1:11">
      <c r="A681" s="517"/>
      <c r="B681" s="517"/>
      <c r="C681" s="517"/>
      <c r="D681" s="1313" t="s">
        <v>908</v>
      </c>
      <c r="E681" s="1313"/>
      <c r="F681" s="1313"/>
      <c r="H681" s="535"/>
      <c r="I681" s="517"/>
      <c r="J681" s="535"/>
      <c r="K681" s="535"/>
    </row>
    <row r="682" spans="1:11" ht="12.75" customHeight="1">
      <c r="A682" s="517"/>
      <c r="B682" s="517"/>
      <c r="C682" s="517"/>
      <c r="E682" s="1071" t="s">
        <v>2209</v>
      </c>
      <c r="F682" s="451"/>
      <c r="H682" s="535"/>
      <c r="I682" s="517"/>
      <c r="J682" s="535"/>
      <c r="K682" s="535"/>
    </row>
    <row r="683" spans="1:11">
      <c r="A683" s="517"/>
      <c r="B683" s="517"/>
      <c r="C683" s="517"/>
      <c r="E683" s="535" t="s">
        <v>2208</v>
      </c>
      <c r="F683" s="451"/>
      <c r="I683" s="517"/>
      <c r="J683" s="535"/>
      <c r="K683" s="535"/>
    </row>
    <row r="684" spans="1:11">
      <c r="A684" s="517"/>
      <c r="B684" s="517"/>
      <c r="C684" s="517"/>
      <c r="D684" s="536"/>
      <c r="E684" s="480"/>
      <c r="H684" s="535"/>
      <c r="I684" s="517"/>
      <c r="J684" s="535"/>
      <c r="K684" s="535"/>
    </row>
    <row r="685" spans="1:11" ht="14.4">
      <c r="A685" s="518"/>
      <c r="B685" s="519" t="s">
        <v>2778</v>
      </c>
      <c r="C685" s="517"/>
      <c r="D685" s="1284" t="s">
        <v>2378</v>
      </c>
      <c r="E685" s="1284"/>
      <c r="F685" s="1284"/>
      <c r="H685" s="535"/>
      <c r="I685" s="517" t="s">
        <v>2156</v>
      </c>
      <c r="J685" s="535"/>
      <c r="K685" s="535"/>
    </row>
    <row r="686" spans="1:11">
      <c r="A686" s="524"/>
      <c r="B686" s="524"/>
      <c r="C686" s="517"/>
      <c r="D686" s="1284"/>
      <c r="E686" s="1284"/>
      <c r="F686" s="1284"/>
      <c r="H686" s="535"/>
      <c r="I686" s="517"/>
      <c r="J686" s="535"/>
      <c r="K686" s="535"/>
    </row>
    <row r="687" spans="1:11">
      <c r="A687" s="517"/>
      <c r="B687" s="517"/>
      <c r="C687" s="517"/>
      <c r="D687" s="1284"/>
      <c r="E687" s="1284"/>
      <c r="F687" s="1284"/>
      <c r="H687" s="535"/>
      <c r="I687" s="517"/>
      <c r="J687" s="535"/>
      <c r="K687" s="535"/>
    </row>
    <row r="688" spans="1:11">
      <c r="A688" s="517"/>
      <c r="B688" s="517"/>
      <c r="C688" s="517"/>
      <c r="H688" s="535"/>
      <c r="I688" s="517" t="s">
        <v>2135</v>
      </c>
      <c r="J688" s="535"/>
      <c r="K688" s="535"/>
    </row>
    <row r="689" spans="1:11" ht="14.4">
      <c r="A689" s="518"/>
      <c r="B689" s="519" t="s">
        <v>2778</v>
      </c>
      <c r="C689" s="517"/>
      <c r="D689" s="1313" t="s">
        <v>936</v>
      </c>
      <c r="E689" s="1313"/>
      <c r="F689" s="1313"/>
      <c r="H689" s="535"/>
      <c r="I689" s="517"/>
      <c r="J689" s="535"/>
      <c r="K689" s="535"/>
    </row>
    <row r="690" spans="1:11" ht="14.4">
      <c r="A690" s="518"/>
      <c r="B690" s="518"/>
      <c r="C690" s="517"/>
      <c r="D690" s="1313" t="s">
        <v>908</v>
      </c>
      <c r="E690" s="1313"/>
      <c r="F690" s="1313"/>
      <c r="H690" s="535"/>
      <c r="I690" s="517"/>
      <c r="J690" s="535"/>
      <c r="K690" s="535"/>
    </row>
    <row r="691" spans="1:11">
      <c r="A691" s="517"/>
      <c r="B691" s="517"/>
      <c r="C691" s="517"/>
      <c r="E691" s="1071" t="s">
        <v>2210</v>
      </c>
      <c r="F691" s="435"/>
      <c r="H691" s="535"/>
      <c r="I691" s="517"/>
      <c r="J691" s="535"/>
      <c r="K691" s="535"/>
    </row>
    <row r="692" spans="1:11">
      <c r="A692" s="517"/>
      <c r="B692" s="517"/>
      <c r="C692" s="517"/>
      <c r="D692" s="435"/>
      <c r="H692" s="535"/>
      <c r="I692" s="517"/>
      <c r="J692" s="535"/>
      <c r="K692" s="535"/>
    </row>
    <row r="693" spans="1:11" ht="14.4">
      <c r="A693" s="518"/>
      <c r="B693" s="519" t="s">
        <v>2783</v>
      </c>
      <c r="C693" s="517"/>
      <c r="D693" s="1284" t="s">
        <v>1136</v>
      </c>
      <c r="E693" s="1284"/>
      <c r="F693" s="1284"/>
      <c r="H693" s="535"/>
      <c r="I693" s="517" t="s">
        <v>2107</v>
      </c>
      <c r="J693" s="535"/>
      <c r="K693" s="535"/>
    </row>
    <row r="694" spans="1:11">
      <c r="A694" s="517"/>
      <c r="B694" s="517"/>
      <c r="C694" s="517"/>
      <c r="D694" s="1284"/>
      <c r="E694" s="1284"/>
      <c r="F694" s="1284"/>
      <c r="H694" s="535"/>
      <c r="I694" s="517"/>
      <c r="J694" s="535"/>
      <c r="K694" s="535"/>
    </row>
    <row r="695" spans="1:11">
      <c r="A695" s="517"/>
      <c r="B695" s="517"/>
      <c r="C695" s="517"/>
      <c r="D695" s="1284"/>
      <c r="E695" s="1284"/>
      <c r="F695" s="1284"/>
      <c r="H695" s="535"/>
      <c r="I695" s="517"/>
      <c r="J695" s="535"/>
      <c r="K695" s="535"/>
    </row>
    <row r="696" spans="1:11">
      <c r="A696" s="517"/>
      <c r="B696" s="517"/>
      <c r="C696" s="517"/>
      <c r="D696" s="1284"/>
      <c r="E696" s="1284"/>
      <c r="F696" s="1284"/>
      <c r="H696" s="535"/>
      <c r="I696" s="517"/>
      <c r="J696" s="535"/>
      <c r="K696" s="535"/>
    </row>
    <row r="697" spans="1:11">
      <c r="A697" s="517"/>
      <c r="B697" s="517"/>
      <c r="C697" s="517"/>
      <c r="D697" s="1284"/>
      <c r="E697" s="1284"/>
      <c r="F697" s="1284"/>
      <c r="H697" s="535"/>
      <c r="I697" s="517"/>
      <c r="J697" s="535"/>
      <c r="K697" s="535"/>
    </row>
    <row r="698" spans="1:11">
      <c r="A698" s="517"/>
      <c r="B698" s="517"/>
      <c r="C698" s="517"/>
      <c r="D698" s="1284"/>
      <c r="E698" s="1284"/>
      <c r="F698" s="1284"/>
      <c r="H698" s="535"/>
      <c r="I698" s="517"/>
      <c r="J698" s="535"/>
      <c r="K698" s="535"/>
    </row>
    <row r="699" spans="1:11">
      <c r="A699" s="517"/>
      <c r="B699" s="517"/>
      <c r="C699" s="517"/>
      <c r="D699" s="479"/>
      <c r="E699" s="479"/>
      <c r="F699" s="479"/>
      <c r="H699" s="535"/>
      <c r="I699" s="517"/>
      <c r="J699" s="535"/>
      <c r="K699" s="535"/>
    </row>
    <row r="700" spans="1:11">
      <c r="A700" s="517"/>
      <c r="B700" s="519" t="s">
        <v>2783</v>
      </c>
      <c r="C700" s="517"/>
      <c r="D700" s="1284" t="s">
        <v>1307</v>
      </c>
      <c r="E700" s="1284"/>
      <c r="F700" s="1284"/>
      <c r="H700" s="535"/>
      <c r="I700" s="517" t="s">
        <v>2107</v>
      </c>
      <c r="J700" s="535"/>
      <c r="K700" s="535"/>
    </row>
    <row r="701" spans="1:11">
      <c r="A701" s="517"/>
      <c r="B701" s="517"/>
      <c r="C701" s="517"/>
      <c r="D701" s="1284"/>
      <c r="E701" s="1284"/>
      <c r="F701" s="1284"/>
      <c r="H701" s="535"/>
      <c r="I701" s="517"/>
      <c r="J701" s="535"/>
      <c r="K701" s="535"/>
    </row>
    <row r="702" spans="1:11">
      <c r="A702" s="517"/>
      <c r="B702" s="517"/>
      <c r="C702" s="517"/>
      <c r="D702" s="479"/>
      <c r="E702" s="479"/>
      <c r="F702" s="479"/>
      <c r="H702" s="535"/>
      <c r="I702" s="517"/>
      <c r="J702" s="535"/>
      <c r="K702" s="535"/>
    </row>
    <row r="703" spans="1:11" ht="14.4">
      <c r="A703" s="518"/>
      <c r="B703" s="519" t="s">
        <v>2783</v>
      </c>
      <c r="C703" s="517"/>
      <c r="D703" s="1284" t="s">
        <v>1127</v>
      </c>
      <c r="E703" s="1284"/>
      <c r="F703" s="1284"/>
      <c r="H703" s="535"/>
      <c r="I703" s="517" t="s">
        <v>2107</v>
      </c>
      <c r="J703" s="535"/>
      <c r="K703" s="535"/>
    </row>
    <row r="704" spans="1:11">
      <c r="A704" s="517"/>
      <c r="B704" s="517"/>
      <c r="C704" s="517"/>
      <c r="D704" s="1284"/>
      <c r="E704" s="1284"/>
      <c r="F704" s="1284"/>
      <c r="H704" s="535"/>
      <c r="I704" s="517"/>
      <c r="J704" s="535"/>
      <c r="K704" s="535"/>
    </row>
    <row r="705" spans="1:11">
      <c r="A705" s="517"/>
      <c r="B705" s="517"/>
      <c r="C705" s="517"/>
      <c r="D705" s="1284"/>
      <c r="E705" s="1284"/>
      <c r="F705" s="1284"/>
      <c r="H705" s="535"/>
      <c r="I705" s="517"/>
      <c r="J705" s="535"/>
      <c r="K705" s="535"/>
    </row>
    <row r="706" spans="1:11" ht="15" customHeight="1">
      <c r="A706" s="517"/>
      <c r="B706" s="517"/>
      <c r="C706" s="517"/>
      <c r="D706" s="1284"/>
      <c r="E706" s="1284"/>
      <c r="F706" s="1284"/>
      <c r="H706" s="535"/>
      <c r="I706" s="517"/>
      <c r="J706" s="535"/>
      <c r="K706" s="535"/>
    </row>
    <row r="707" spans="1:11" ht="15" customHeight="1">
      <c r="A707" s="517"/>
      <c r="B707" s="517"/>
      <c r="C707" s="517"/>
      <c r="D707" s="1284"/>
      <c r="E707" s="1284"/>
      <c r="F707" s="1284"/>
      <c r="H707" s="535"/>
      <c r="I707" s="517"/>
      <c r="J707" s="535"/>
      <c r="K707" s="535"/>
    </row>
    <row r="708" spans="1:11">
      <c r="A708" s="517"/>
      <c r="B708" s="517"/>
      <c r="C708" s="517"/>
      <c r="D708" s="1284"/>
      <c r="E708" s="1284"/>
      <c r="F708" s="1284"/>
      <c r="H708" s="535"/>
      <c r="I708" s="517"/>
      <c r="J708" s="535"/>
      <c r="K708" s="535"/>
    </row>
    <row r="709" spans="1:11">
      <c r="A709" s="517"/>
      <c r="B709" s="517"/>
      <c r="C709" s="517"/>
      <c r="D709" s="1284"/>
      <c r="E709" s="1284"/>
      <c r="F709" s="1284"/>
      <c r="H709" s="535"/>
      <c r="I709" s="517"/>
      <c r="J709" s="535"/>
      <c r="K709" s="535"/>
    </row>
    <row r="710" spans="1:11">
      <c r="A710" s="517"/>
      <c r="B710" s="517"/>
      <c r="C710" s="517"/>
      <c r="D710" s="1284"/>
      <c r="E710" s="1284"/>
      <c r="F710" s="1284"/>
      <c r="H710" s="535"/>
      <c r="I710" s="517"/>
      <c r="J710" s="535"/>
      <c r="K710" s="535"/>
    </row>
    <row r="711" spans="1:11" ht="15" customHeight="1">
      <c r="A711" s="517"/>
      <c r="B711" s="517"/>
      <c r="C711" s="517"/>
      <c r="D711" s="1284"/>
      <c r="E711" s="1284"/>
      <c r="F711" s="1284"/>
      <c r="H711" s="535"/>
      <c r="I711" s="517"/>
      <c r="J711" s="535"/>
      <c r="K711" s="535"/>
    </row>
    <row r="712" spans="1:11">
      <c r="A712" s="517"/>
      <c r="B712" s="517"/>
      <c r="C712" s="517"/>
      <c r="D712" s="1284"/>
      <c r="E712" s="1284"/>
      <c r="F712" s="1284"/>
      <c r="H712" s="535"/>
      <c r="I712" s="517"/>
      <c r="J712" s="535"/>
      <c r="K712" s="535"/>
    </row>
    <row r="713" spans="1:11">
      <c r="A713" s="517"/>
      <c r="B713" s="517"/>
      <c r="C713" s="517"/>
      <c r="D713" s="1284"/>
      <c r="E713" s="1284"/>
      <c r="F713" s="1284"/>
      <c r="H713" s="535"/>
      <c r="I713" s="517"/>
      <c r="J713" s="535"/>
      <c r="K713" s="535"/>
    </row>
    <row r="714" spans="1:11">
      <c r="A714" s="517"/>
      <c r="B714" s="517"/>
      <c r="C714" s="517"/>
      <c r="D714" s="1284"/>
      <c r="E714" s="1284"/>
      <c r="F714" s="1284"/>
      <c r="H714" s="535"/>
      <c r="I714" s="517"/>
      <c r="J714" s="535"/>
      <c r="K714" s="535"/>
    </row>
    <row r="715" spans="1:11">
      <c r="A715" s="517"/>
      <c r="B715" s="517"/>
      <c r="C715" s="517"/>
      <c r="D715" s="1284"/>
      <c r="E715" s="1284"/>
      <c r="F715" s="1284"/>
      <c r="H715" s="535"/>
      <c r="I715" s="517"/>
      <c r="J715" s="535"/>
      <c r="K715" s="535"/>
    </row>
    <row r="716" spans="1:11">
      <c r="A716" s="517"/>
      <c r="B716" s="519" t="s">
        <v>2783</v>
      </c>
      <c r="C716" s="517"/>
      <c r="D716" s="1284" t="s">
        <v>1134</v>
      </c>
      <c r="E716" s="1284"/>
      <c r="F716" s="1284"/>
      <c r="H716" s="535"/>
      <c r="I716" s="517" t="s">
        <v>2157</v>
      </c>
      <c r="J716" s="535"/>
      <c r="K716" s="535"/>
    </row>
    <row r="717" spans="1:11">
      <c r="A717" s="517"/>
      <c r="B717" s="517"/>
      <c r="C717" s="517"/>
      <c r="D717" s="1284"/>
      <c r="E717" s="1284"/>
      <c r="F717" s="1284"/>
      <c r="H717" s="535"/>
      <c r="I717" s="517"/>
      <c r="J717" s="535"/>
      <c r="K717" s="535"/>
    </row>
    <row r="718" spans="1:11">
      <c r="A718" s="517"/>
      <c r="B718" s="517"/>
      <c r="C718" s="517"/>
      <c r="D718" s="479"/>
      <c r="E718" s="479"/>
      <c r="F718" s="479"/>
      <c r="H718" s="535"/>
      <c r="I718" s="517"/>
      <c r="J718" s="535"/>
      <c r="K718" s="535"/>
    </row>
    <row r="719" spans="1:11">
      <c r="A719" s="517"/>
      <c r="B719" s="519" t="s">
        <v>2783</v>
      </c>
      <c r="C719" s="517"/>
      <c r="D719" s="1284" t="s">
        <v>1128</v>
      </c>
      <c r="E719" s="1284"/>
      <c r="F719" s="1284"/>
      <c r="H719" s="535"/>
      <c r="I719" s="517" t="s">
        <v>2157</v>
      </c>
      <c r="J719" s="535"/>
      <c r="K719" s="535"/>
    </row>
    <row r="720" spans="1:11">
      <c r="A720" s="517"/>
      <c r="B720" s="517"/>
      <c r="C720" s="517"/>
      <c r="D720" s="1284"/>
      <c r="E720" s="1284"/>
      <c r="F720" s="1284"/>
      <c r="H720" s="535"/>
      <c r="I720" s="517"/>
      <c r="J720" s="535"/>
      <c r="K720" s="535"/>
    </row>
    <row r="721" spans="1:11">
      <c r="A721" s="517"/>
      <c r="B721" s="517"/>
      <c r="C721" s="517"/>
      <c r="D721" s="1284"/>
      <c r="E721" s="1284"/>
      <c r="F721" s="1284"/>
      <c r="H721" s="535"/>
      <c r="I721" s="517"/>
      <c r="J721" s="535"/>
      <c r="K721" s="535"/>
    </row>
    <row r="722" spans="1:11">
      <c r="A722" s="517"/>
      <c r="B722" s="517"/>
      <c r="C722" s="517"/>
      <c r="H722" s="535"/>
      <c r="I722" s="517"/>
      <c r="J722" s="535"/>
      <c r="K722" s="535"/>
    </row>
    <row r="723" spans="1:11">
      <c r="A723" s="517"/>
      <c r="B723" s="519" t="s">
        <v>2783</v>
      </c>
      <c r="C723" s="517"/>
      <c r="D723" s="1284" t="s">
        <v>1129</v>
      </c>
      <c r="E723" s="1284"/>
      <c r="F723" s="1284"/>
      <c r="H723" s="535"/>
      <c r="I723" s="517" t="s">
        <v>2157</v>
      </c>
      <c r="J723" s="535"/>
      <c r="K723" s="535"/>
    </row>
    <row r="724" spans="1:11">
      <c r="A724" s="517"/>
      <c r="B724" s="517"/>
      <c r="C724" s="517"/>
      <c r="D724" s="1284"/>
      <c r="E724" s="1284"/>
      <c r="F724" s="1284"/>
      <c r="H724" s="535"/>
      <c r="I724" s="517"/>
      <c r="J724" s="535"/>
      <c r="K724" s="535"/>
    </row>
    <row r="725" spans="1:11">
      <c r="A725" s="517"/>
      <c r="B725" s="517"/>
      <c r="C725" s="517"/>
      <c r="D725" s="1284"/>
      <c r="E725" s="1284"/>
      <c r="F725" s="1284"/>
      <c r="H725" s="535"/>
      <c r="I725" s="517"/>
      <c r="J725" s="535"/>
      <c r="K725" s="535"/>
    </row>
    <row r="726" spans="1:11">
      <c r="A726" s="517"/>
      <c r="B726" s="517"/>
      <c r="C726" s="517"/>
      <c r="H726" s="535"/>
      <c r="I726" s="517"/>
      <c r="J726" s="535"/>
      <c r="K726" s="535"/>
    </row>
    <row r="727" spans="1:11" ht="14.4">
      <c r="A727" s="518"/>
      <c r="B727" s="519" t="s">
        <v>2783</v>
      </c>
      <c r="C727" s="517"/>
      <c r="D727" s="1284" t="s">
        <v>1130</v>
      </c>
      <c r="E727" s="1284"/>
      <c r="F727" s="1284"/>
      <c r="H727" s="535"/>
      <c r="I727" s="517" t="s">
        <v>2108</v>
      </c>
      <c r="J727" s="535"/>
      <c r="K727" s="535"/>
    </row>
    <row r="728" spans="1:11">
      <c r="A728" s="517"/>
      <c r="B728" s="517"/>
      <c r="C728" s="517"/>
      <c r="D728" s="1284"/>
      <c r="E728" s="1284"/>
      <c r="F728" s="1284"/>
      <c r="H728" s="535"/>
      <c r="I728" s="517"/>
      <c r="J728" s="535"/>
      <c r="K728" s="535"/>
    </row>
    <row r="729" spans="1:11">
      <c r="A729" s="517"/>
      <c r="B729" s="517"/>
      <c r="C729" s="517"/>
      <c r="D729" s="1284"/>
      <c r="E729" s="1284"/>
      <c r="F729" s="1284"/>
      <c r="H729" s="535"/>
      <c r="I729" s="517"/>
      <c r="J729" s="535"/>
      <c r="K729" s="535"/>
    </row>
    <row r="730" spans="1:11">
      <c r="A730" s="517"/>
      <c r="B730" s="517"/>
      <c r="C730" s="517"/>
      <c r="D730" s="1284"/>
      <c r="E730" s="1284"/>
      <c r="F730" s="1284"/>
      <c r="H730" s="535"/>
      <c r="I730" s="517"/>
      <c r="J730" s="535"/>
      <c r="K730" s="535"/>
    </row>
    <row r="731" spans="1:11">
      <c r="A731" s="517"/>
      <c r="B731" s="517"/>
      <c r="C731" s="517"/>
      <c r="D731" s="526"/>
      <c r="H731" s="535"/>
      <c r="I731" s="517"/>
      <c r="J731" s="535"/>
      <c r="K731" s="535"/>
    </row>
    <row r="732" spans="1:11" ht="14.4">
      <c r="A732" s="518"/>
      <c r="B732" s="519" t="s">
        <v>2778</v>
      </c>
      <c r="C732" s="517"/>
      <c r="D732" s="1284" t="s">
        <v>2497</v>
      </c>
      <c r="E732" s="1284"/>
      <c r="F732" s="1284"/>
      <c r="H732" s="535"/>
      <c r="I732" s="517" t="s">
        <v>2124</v>
      </c>
      <c r="J732" s="535"/>
      <c r="K732" s="535"/>
    </row>
    <row r="733" spans="1:11">
      <c r="A733" s="517"/>
      <c r="B733" s="517"/>
      <c r="C733" s="517"/>
      <c r="D733" s="1284"/>
      <c r="E733" s="1284"/>
      <c r="F733" s="1284"/>
      <c r="H733" s="535"/>
      <c r="I733" s="517"/>
      <c r="J733" s="535"/>
      <c r="K733" s="535"/>
    </row>
    <row r="734" spans="1:11">
      <c r="A734" s="517"/>
      <c r="B734" s="517"/>
      <c r="C734" s="517"/>
      <c r="D734" s="1284"/>
      <c r="E734" s="1284"/>
      <c r="F734" s="1284"/>
      <c r="H734" s="535"/>
      <c r="I734" s="517"/>
      <c r="J734" s="535"/>
      <c r="K734" s="535"/>
    </row>
    <row r="735" spans="1:11">
      <c r="A735" s="517"/>
      <c r="B735" s="517"/>
      <c r="C735" s="517"/>
      <c r="D735" s="1284"/>
      <c r="E735" s="1284"/>
      <c r="F735" s="1284"/>
      <c r="H735" s="535"/>
      <c r="I735" s="517"/>
      <c r="J735" s="535"/>
      <c r="K735" s="535"/>
    </row>
    <row r="736" spans="1:11">
      <c r="A736" s="517"/>
      <c r="B736" s="517"/>
      <c r="C736" s="517"/>
      <c r="D736" s="1284"/>
      <c r="E736" s="1284"/>
      <c r="F736" s="1284"/>
      <c r="H736" s="535"/>
      <c r="I736" s="517"/>
      <c r="J736" s="535"/>
      <c r="K736" s="535"/>
    </row>
    <row r="737" spans="1:11">
      <c r="A737" s="517"/>
      <c r="B737" s="517"/>
      <c r="C737" s="517"/>
      <c r="D737" s="1284"/>
      <c r="E737" s="1284"/>
      <c r="F737" s="1284"/>
      <c r="H737" s="535"/>
      <c r="I737" s="517"/>
      <c r="J737" s="535"/>
      <c r="K737" s="535"/>
    </row>
    <row r="738" spans="1:11">
      <c r="A738" s="517"/>
      <c r="B738" s="517"/>
      <c r="C738" s="517"/>
      <c r="D738" s="1284"/>
      <c r="E738" s="1284"/>
      <c r="F738" s="1284"/>
      <c r="H738" s="535"/>
      <c r="I738" s="517"/>
      <c r="J738" s="535"/>
      <c r="K738" s="535"/>
    </row>
    <row r="739" spans="1:11">
      <c r="A739" s="517"/>
      <c r="B739" s="517"/>
      <c r="C739" s="517"/>
      <c r="D739" s="1296" t="s">
        <v>2387</v>
      </c>
      <c r="E739" s="1296"/>
      <c r="F739" s="1296"/>
      <c r="H739" s="535"/>
      <c r="I739" s="517"/>
      <c r="J739" s="535"/>
      <c r="K739" s="535"/>
    </row>
    <row r="740" spans="1:11">
      <c r="A740" s="517"/>
      <c r="B740" s="517"/>
      <c r="C740" s="517"/>
      <c r="D740" s="369"/>
      <c r="H740" s="535"/>
      <c r="I740" s="517"/>
      <c r="J740" s="535"/>
      <c r="K740" s="535"/>
    </row>
    <row r="741" spans="1:11">
      <c r="A741" s="1291" t="s">
        <v>1088</v>
      </c>
      <c r="B741" s="1291"/>
      <c r="C741" s="1291"/>
      <c r="D741" s="1291"/>
      <c r="E741" s="1291"/>
      <c r="F741" s="1291"/>
      <c r="G741" s="1291"/>
      <c r="H741" s="1065"/>
      <c r="I741" s="1263"/>
      <c r="J741" s="535"/>
      <c r="K741" s="535"/>
    </row>
    <row r="742" spans="1:11">
      <c r="A742" s="517"/>
      <c r="B742" s="517"/>
      <c r="C742" s="517"/>
      <c r="D742" s="526"/>
      <c r="G742" s="535"/>
      <c r="H742" s="535"/>
      <c r="I742" s="517"/>
      <c r="J742" s="535"/>
      <c r="K742" s="535"/>
    </row>
    <row r="743" spans="1:11" ht="13.8" customHeight="1">
      <c r="C743" s="517"/>
      <c r="D743" s="1312" t="s">
        <v>1104</v>
      </c>
      <c r="E743" s="1312"/>
      <c r="F743" s="1312"/>
      <c r="G743" s="535"/>
      <c r="H743" s="535"/>
      <c r="I743" s="517"/>
      <c r="J743" s="535"/>
      <c r="K743" s="535"/>
    </row>
    <row r="744" spans="1:11">
      <c r="A744" s="517"/>
      <c r="B744" s="517"/>
      <c r="C744" s="517"/>
      <c r="D744" s="1299" t="s">
        <v>1105</v>
      </c>
      <c r="E744" s="1299"/>
      <c r="F744" s="1299"/>
      <c r="G744" s="535"/>
      <c r="H744" s="535"/>
      <c r="I744" s="517"/>
      <c r="J744" s="535"/>
      <c r="K744" s="535"/>
    </row>
    <row r="745" spans="1:11">
      <c r="A745" s="517"/>
      <c r="B745" s="517"/>
      <c r="C745" s="517"/>
      <c r="G745" s="535"/>
      <c r="H745" s="535"/>
      <c r="I745" s="517"/>
      <c r="J745" s="535"/>
      <c r="K745" s="535"/>
    </row>
    <row r="746" spans="1:11" ht="14.4">
      <c r="A746" s="518"/>
      <c r="B746" s="519" t="s">
        <v>2778</v>
      </c>
      <c r="D746" s="1284" t="s">
        <v>1106</v>
      </c>
      <c r="E746" s="1284"/>
      <c r="F746" s="1284"/>
      <c r="G746" s="535"/>
      <c r="H746" s="535"/>
      <c r="I746" s="517" t="s">
        <v>2109</v>
      </c>
      <c r="J746" s="535"/>
      <c r="K746" s="535"/>
    </row>
    <row r="747" spans="1:11" ht="10.5" customHeight="1">
      <c r="D747" s="1284"/>
      <c r="E747" s="1284"/>
      <c r="F747" s="1284"/>
      <c r="G747" s="535"/>
      <c r="H747" s="535"/>
      <c r="I747" s="517"/>
      <c r="J747" s="535"/>
      <c r="K747" s="535"/>
    </row>
    <row r="748" spans="1:11">
      <c r="D748" s="1284"/>
      <c r="E748" s="1284"/>
      <c r="F748" s="1284"/>
      <c r="G748" s="535"/>
      <c r="H748" s="535"/>
      <c r="I748" s="517"/>
      <c r="J748" s="535"/>
      <c r="K748" s="535"/>
    </row>
    <row r="749" spans="1:11">
      <c r="D749" s="1284"/>
      <c r="E749" s="1284"/>
      <c r="F749" s="1284"/>
      <c r="G749" s="535"/>
      <c r="H749" s="535"/>
      <c r="I749" s="517"/>
      <c r="J749" s="535"/>
      <c r="K749" s="535"/>
    </row>
    <row r="750" spans="1:11">
      <c r="D750" s="1284"/>
      <c r="E750" s="1284"/>
      <c r="F750" s="1284"/>
      <c r="G750" s="535"/>
      <c r="H750" s="535"/>
      <c r="I750" s="517"/>
      <c r="J750" s="535"/>
      <c r="K750" s="535"/>
    </row>
    <row r="751" spans="1:11" ht="15.45" customHeight="1">
      <c r="D751" s="1284"/>
      <c r="E751" s="1284"/>
      <c r="F751" s="1284"/>
      <c r="G751" s="535"/>
      <c r="H751" s="535"/>
      <c r="I751" s="517"/>
      <c r="J751" s="535"/>
      <c r="K751" s="535"/>
    </row>
    <row r="752" spans="1:11">
      <c r="D752" s="533"/>
      <c r="E752" s="480"/>
      <c r="F752" s="480"/>
      <c r="G752" s="535"/>
      <c r="H752" s="535"/>
      <c r="I752" s="517"/>
      <c r="J752" s="535"/>
      <c r="K752" s="535"/>
    </row>
    <row r="753" spans="1:11" s="539" customFormat="1" ht="14.4">
      <c r="A753" s="537"/>
      <c r="B753" s="519" t="s">
        <v>2783</v>
      </c>
      <c r="C753" s="538"/>
      <c r="D753" s="1284" t="s">
        <v>1348</v>
      </c>
      <c r="E753" s="1284"/>
      <c r="F753" s="1284"/>
      <c r="I753" s="1264" t="s">
        <v>2109</v>
      </c>
    </row>
    <row r="754" spans="1:11" s="539" customFormat="1">
      <c r="A754" s="538"/>
      <c r="B754" s="538"/>
      <c r="C754" s="538"/>
      <c r="D754" s="1284"/>
      <c r="E754" s="1284"/>
      <c r="F754" s="1284"/>
      <c r="I754" s="1264"/>
    </row>
    <row r="755" spans="1:11" s="539" customFormat="1">
      <c r="A755" s="538"/>
      <c r="B755" s="538"/>
      <c r="C755" s="538"/>
      <c r="D755" s="1284"/>
      <c r="E755" s="1284"/>
      <c r="F755" s="1284"/>
      <c r="I755" s="1264"/>
    </row>
    <row r="756" spans="1:11" s="539" customFormat="1">
      <c r="A756" s="538"/>
      <c r="B756" s="538"/>
      <c r="C756" s="538"/>
      <c r="D756" s="1284"/>
      <c r="E756" s="1284"/>
      <c r="F756" s="1284"/>
      <c r="I756" s="1264"/>
    </row>
    <row r="757" spans="1:11" s="539" customFormat="1">
      <c r="A757" s="538"/>
      <c r="B757" s="538"/>
      <c r="C757" s="538"/>
      <c r="D757" s="533"/>
      <c r="I757" s="1264"/>
    </row>
    <row r="758" spans="1:11" s="539" customFormat="1" ht="14.4">
      <c r="A758" s="518"/>
      <c r="B758" s="519" t="s">
        <v>2778</v>
      </c>
      <c r="C758" s="538"/>
      <c r="D758" s="1286" t="s">
        <v>1349</v>
      </c>
      <c r="E758" s="1286"/>
      <c r="F758" s="1286"/>
      <c r="I758" s="1264" t="s">
        <v>2110</v>
      </c>
    </row>
    <row r="759" spans="1:11" s="539" customFormat="1">
      <c r="A759" s="538"/>
      <c r="B759" s="538"/>
      <c r="C759" s="538"/>
      <c r="D759" s="1286"/>
      <c r="E759" s="1286"/>
      <c r="F759" s="1286"/>
      <c r="I759" s="1264"/>
    </row>
    <row r="760" spans="1:11" s="539" customFormat="1">
      <c r="A760" s="538"/>
      <c r="B760" s="538"/>
      <c r="C760" s="538"/>
      <c r="D760" s="1286"/>
      <c r="E760" s="1286"/>
      <c r="F760" s="1286"/>
      <c r="I760" s="1264"/>
    </row>
    <row r="761" spans="1:11">
      <c r="D761" s="533"/>
      <c r="E761" s="480"/>
      <c r="F761" s="480"/>
      <c r="G761" s="535"/>
      <c r="H761" s="535"/>
      <c r="I761" s="517"/>
      <c r="J761" s="535"/>
      <c r="K761" s="535"/>
    </row>
    <row r="762" spans="1:11" ht="14.4">
      <c r="A762" s="518"/>
      <c r="B762" s="519" t="s">
        <v>2783</v>
      </c>
      <c r="D762" s="1284" t="s">
        <v>1304</v>
      </c>
      <c r="E762" s="1284"/>
      <c r="F762" s="1284"/>
      <c r="G762" s="535"/>
      <c r="H762" s="535"/>
      <c r="I762" s="517" t="s">
        <v>2109</v>
      </c>
      <c r="J762" s="535"/>
      <c r="K762" s="535"/>
    </row>
    <row r="763" spans="1:11">
      <c r="D763" s="1284"/>
      <c r="E763" s="1284"/>
      <c r="F763" s="1284"/>
      <c r="G763" s="535"/>
      <c r="H763" s="535"/>
      <c r="I763" s="517"/>
      <c r="J763" s="535"/>
      <c r="K763" s="535"/>
    </row>
    <row r="764" spans="1:11">
      <c r="D764" s="479"/>
      <c r="E764" s="479"/>
      <c r="F764" s="479"/>
      <c r="G764" s="535"/>
      <c r="H764" s="535"/>
      <c r="I764" s="517"/>
      <c r="J764" s="535"/>
      <c r="K764" s="535"/>
    </row>
    <row r="765" spans="1:11">
      <c r="B765" s="519" t="s">
        <v>2783</v>
      </c>
      <c r="D765" s="1284" t="s">
        <v>1321</v>
      </c>
      <c r="E765" s="1284"/>
      <c r="F765" s="1284"/>
      <c r="G765" s="535"/>
      <c r="H765" s="535"/>
      <c r="I765" s="517" t="s">
        <v>2109</v>
      </c>
      <c r="J765" s="535"/>
      <c r="K765" s="535"/>
    </row>
    <row r="766" spans="1:11">
      <c r="D766" s="1284"/>
      <c r="E766" s="1284"/>
      <c r="F766" s="1284"/>
      <c r="G766" s="535"/>
      <c r="H766" s="535"/>
      <c r="I766" s="517"/>
      <c r="J766" s="535"/>
      <c r="K766" s="535"/>
    </row>
    <row r="767" spans="1:11">
      <c r="D767" s="1284"/>
      <c r="E767" s="1284"/>
      <c r="F767" s="1284"/>
      <c r="G767" s="535"/>
      <c r="H767" s="535"/>
      <c r="I767" s="517"/>
      <c r="J767" s="535"/>
      <c r="K767" s="535"/>
    </row>
    <row r="768" spans="1:11">
      <c r="D768" s="479"/>
      <c r="E768" s="479"/>
      <c r="F768" s="479"/>
      <c r="G768" s="535"/>
      <c r="H768" s="535"/>
      <c r="I768" s="517"/>
      <c r="J768" s="535"/>
      <c r="K768" s="535"/>
    </row>
    <row r="769" spans="1:9">
      <c r="A769" s="1338" t="s">
        <v>1992</v>
      </c>
      <c r="B769" s="1338"/>
      <c r="C769" s="1338"/>
      <c r="D769" s="1338"/>
      <c r="E769" s="1338"/>
      <c r="F769" s="1338"/>
      <c r="G769" s="1338"/>
      <c r="H769" s="1063"/>
      <c r="I769" s="1259"/>
    </row>
    <row r="770" spans="1:9">
      <c r="A770" s="57"/>
      <c r="B770" s="57"/>
      <c r="C770" s="385"/>
      <c r="D770" s="3"/>
      <c r="E770" s="3"/>
      <c r="F770" s="3"/>
      <c r="G770" s="3"/>
      <c r="I770" s="524"/>
    </row>
    <row r="771" spans="1:9">
      <c r="A771" s="57"/>
      <c r="B771" s="57"/>
      <c r="C771" s="385"/>
      <c r="D771" s="1348" t="s">
        <v>2046</v>
      </c>
      <c r="E771" s="1348"/>
      <c r="F771" s="1348"/>
      <c r="G771" s="3"/>
      <c r="I771" s="524"/>
    </row>
    <row r="772" spans="1:9">
      <c r="A772" s="57"/>
      <c r="B772" s="57"/>
      <c r="C772" s="385"/>
      <c r="D772" s="1317" t="s">
        <v>1945</v>
      </c>
      <c r="E772" s="1317"/>
      <c r="F772" s="1317"/>
      <c r="G772" s="3"/>
      <c r="I772" s="524"/>
    </row>
    <row r="773" spans="1:9">
      <c r="A773" s="57"/>
      <c r="B773" s="57"/>
      <c r="C773" s="385"/>
      <c r="D773" s="481"/>
      <c r="E773" s="481"/>
      <c r="F773" s="481"/>
      <c r="G773" s="3"/>
      <c r="I773" s="524"/>
    </row>
    <row r="774" spans="1:9">
      <c r="A774" s="57"/>
      <c r="B774" s="519" t="s">
        <v>2778</v>
      </c>
      <c r="C774" s="385"/>
      <c r="D774" s="1302" t="s">
        <v>1946</v>
      </c>
      <c r="E774" s="1302"/>
      <c r="F774" s="1302"/>
      <c r="G774" s="3"/>
      <c r="I774" s="517" t="s">
        <v>2159</v>
      </c>
    </row>
    <row r="775" spans="1:9">
      <c r="A775" s="57"/>
      <c r="B775" s="57"/>
      <c r="C775" s="385"/>
      <c r="D775" s="1302"/>
      <c r="E775" s="1302"/>
      <c r="F775" s="1302"/>
      <c r="G775" s="3"/>
      <c r="I775" s="524"/>
    </row>
    <row r="776" spans="1:9">
      <c r="A776" s="175"/>
      <c r="B776" s="175"/>
      <c r="C776" s="175"/>
      <c r="D776" s="1302"/>
      <c r="E776" s="1302"/>
      <c r="F776" s="1302"/>
      <c r="G776" s="118"/>
      <c r="I776" s="524"/>
    </row>
    <row r="777" spans="1:9">
      <c r="A777" s="385"/>
      <c r="B777" s="385"/>
      <c r="C777" s="385"/>
      <c r="D777" s="174"/>
      <c r="E777" s="3"/>
      <c r="F777" s="3"/>
      <c r="G777" s="3"/>
      <c r="I777" s="524"/>
    </row>
    <row r="778" spans="1:9">
      <c r="A778" s="172"/>
      <c r="B778" s="519" t="s">
        <v>2783</v>
      </c>
      <c r="C778" s="172"/>
      <c r="D778" s="1302" t="s">
        <v>1947</v>
      </c>
      <c r="E778" s="1302"/>
      <c r="F778" s="1302"/>
      <c r="G778" s="3"/>
      <c r="I778" s="517" t="s">
        <v>2159</v>
      </c>
    </row>
    <row r="779" spans="1:9">
      <c r="A779" s="172"/>
      <c r="B779" s="172"/>
      <c r="C779" s="172"/>
      <c r="D779" s="1302"/>
      <c r="E779" s="1302"/>
      <c r="F779" s="1302"/>
      <c r="G779" s="3"/>
      <c r="I779" s="524"/>
    </row>
    <row r="780" spans="1:9">
      <c r="A780" s="172"/>
      <c r="B780" s="172"/>
      <c r="C780" s="172"/>
      <c r="D780" s="1302"/>
      <c r="E780" s="1302"/>
      <c r="F780" s="1302"/>
      <c r="G780" s="3"/>
      <c r="I780" s="524"/>
    </row>
    <row r="781" spans="1:9">
      <c r="A781" s="175"/>
      <c r="B781" s="175"/>
      <c r="C781" s="175"/>
      <c r="D781" s="3"/>
      <c r="E781" s="1023"/>
      <c r="F781" s="1023"/>
      <c r="G781" s="1023"/>
      <c r="I781" s="524"/>
    </row>
    <row r="782" spans="1:9" ht="14.4">
      <c r="A782" s="176"/>
      <c r="B782" s="519" t="s">
        <v>2783</v>
      </c>
      <c r="C782" s="1024"/>
      <c r="D782" s="1302" t="s">
        <v>1948</v>
      </c>
      <c r="E782" s="1302"/>
      <c r="F782" s="1302"/>
      <c r="G782" s="1023"/>
      <c r="I782" s="517" t="s">
        <v>2159</v>
      </c>
    </row>
    <row r="783" spans="1:9" ht="14.4">
      <c r="A783" s="176"/>
      <c r="B783" s="176"/>
      <c r="C783" s="1024"/>
      <c r="D783" s="1302"/>
      <c r="E783" s="1302"/>
      <c r="F783" s="1302"/>
      <c r="G783" s="1023"/>
      <c r="I783" s="524"/>
    </row>
    <row r="784" spans="1:9" ht="14.4">
      <c r="A784" s="176"/>
      <c r="B784" s="176"/>
      <c r="C784" s="1024"/>
      <c r="D784" s="1302"/>
      <c r="E784" s="1302"/>
      <c r="F784" s="1302"/>
      <c r="G784" s="1023"/>
      <c r="I784" s="524"/>
    </row>
    <row r="785" spans="1:9" ht="14.4">
      <c r="A785" s="176"/>
      <c r="B785" s="176"/>
      <c r="C785" s="1024"/>
      <c r="D785" s="118"/>
      <c r="E785" s="3"/>
      <c r="F785" s="3"/>
      <c r="G785" s="1023"/>
      <c r="I785" s="524"/>
    </row>
    <row r="786" spans="1:9" ht="14.4">
      <c r="A786" s="176"/>
      <c r="B786" s="519" t="s">
        <v>2783</v>
      </c>
      <c r="C786" s="1024"/>
      <c r="D786" s="1302" t="s">
        <v>1949</v>
      </c>
      <c r="E786" s="1302"/>
      <c r="F786" s="1302"/>
      <c r="G786" s="1023"/>
      <c r="I786" s="517" t="s">
        <v>2159</v>
      </c>
    </row>
    <row r="787" spans="1:9" ht="14.4">
      <c r="A787" s="176"/>
      <c r="B787" s="176"/>
      <c r="C787" s="1024"/>
      <c r="D787" s="1302"/>
      <c r="E787" s="1302"/>
      <c r="F787" s="1302"/>
      <c r="G787" s="1023"/>
      <c r="I787" s="524"/>
    </row>
    <row r="788" spans="1:9" ht="14.4">
      <c r="A788" s="176"/>
      <c r="B788" s="176"/>
      <c r="C788" s="1024"/>
      <c r="D788" s="1302"/>
      <c r="E788" s="1302"/>
      <c r="F788" s="1302"/>
      <c r="G788" s="1023"/>
      <c r="I788" s="524"/>
    </row>
    <row r="789" spans="1:9" ht="14.4">
      <c r="A789" s="176"/>
      <c r="B789" s="176"/>
      <c r="C789" s="1024"/>
      <c r="D789" s="1302"/>
      <c r="E789" s="1302"/>
      <c r="F789" s="1302"/>
      <c r="G789" s="1023"/>
      <c r="I789" s="524"/>
    </row>
    <row r="790" spans="1:9" ht="14.4">
      <c r="A790" s="176"/>
      <c r="B790" s="176"/>
      <c r="C790" s="1024"/>
      <c r="D790" s="1302"/>
      <c r="E790" s="1302"/>
      <c r="F790" s="1302"/>
      <c r="G790" s="1023"/>
      <c r="I790" s="524"/>
    </row>
    <row r="791" spans="1:9" ht="14.4">
      <c r="A791" s="176"/>
      <c r="B791" s="176"/>
      <c r="C791" s="1024"/>
      <c r="D791" s="1302"/>
      <c r="E791" s="1302"/>
      <c r="F791" s="1302"/>
      <c r="G791" s="1023"/>
      <c r="I791" s="524"/>
    </row>
    <row r="792" spans="1:9" ht="14.4">
      <c r="A792" s="176"/>
      <c r="B792" s="176"/>
      <c r="C792" s="1024"/>
      <c r="D792" s="1302" t="s">
        <v>1993</v>
      </c>
      <c r="E792" s="1302"/>
      <c r="F792" s="1302"/>
      <c r="G792" s="1023"/>
      <c r="I792" s="524"/>
    </row>
    <row r="793" spans="1:9" ht="14.4">
      <c r="A793" s="176"/>
      <c r="B793" s="176"/>
      <c r="C793" s="1024"/>
      <c r="D793" s="1302"/>
      <c r="E793" s="1302"/>
      <c r="F793" s="1302"/>
      <c r="G793" s="1023"/>
      <c r="I793" s="524"/>
    </row>
    <row r="794" spans="1:9" ht="14.4">
      <c r="A794" s="176"/>
      <c r="B794" s="176"/>
      <c r="C794" s="1024"/>
      <c r="D794" s="1302"/>
      <c r="E794" s="1302"/>
      <c r="F794" s="1302"/>
      <c r="G794" s="1023"/>
      <c r="I794" s="524"/>
    </row>
    <row r="795" spans="1:9" ht="14.4">
      <c r="A795" s="176"/>
      <c r="B795" s="385"/>
      <c r="C795" s="1024"/>
      <c r="D795" s="1025"/>
      <c r="E795" s="1025"/>
      <c r="F795" s="1025"/>
      <c r="G795" s="1023"/>
      <c r="I795" s="524"/>
    </row>
    <row r="796" spans="1:9" ht="14.4">
      <c r="A796" s="176"/>
      <c r="B796" s="519" t="s">
        <v>2783</v>
      </c>
      <c r="C796" s="1024"/>
      <c r="D796" s="1302" t="s">
        <v>1950</v>
      </c>
      <c r="E796" s="1302"/>
      <c r="F796" s="1302"/>
      <c r="G796" s="1023"/>
      <c r="I796" s="517" t="s">
        <v>2159</v>
      </c>
    </row>
    <row r="797" spans="1:9" ht="14.4">
      <c r="A797" s="176"/>
      <c r="B797" s="176"/>
      <c r="C797" s="1024"/>
      <c r="D797" s="1302"/>
      <c r="E797" s="1302"/>
      <c r="F797" s="1302"/>
      <c r="G797" s="1023"/>
      <c r="I797" s="524"/>
    </row>
    <row r="798" spans="1:9" ht="14.4">
      <c r="A798" s="176"/>
      <c r="B798" s="176"/>
      <c r="C798" s="1024"/>
      <c r="D798" s="1302"/>
      <c r="E798" s="1302"/>
      <c r="F798" s="1302"/>
      <c r="G798" s="1023"/>
      <c r="I798" s="524"/>
    </row>
    <row r="799" spans="1:9" ht="14.4">
      <c r="A799" s="176"/>
      <c r="B799" s="176"/>
      <c r="C799" s="1024"/>
      <c r="D799" s="1302"/>
      <c r="E799" s="1302"/>
      <c r="F799" s="1302"/>
      <c r="G799" s="1023"/>
      <c r="I799" s="524"/>
    </row>
    <row r="800" spans="1:9" ht="14.4">
      <c r="A800" s="176"/>
      <c r="B800" s="176"/>
      <c r="C800" s="1024"/>
      <c r="D800" s="1302"/>
      <c r="E800" s="1302"/>
      <c r="F800" s="1302"/>
      <c r="G800" s="1023"/>
      <c r="I800" s="524"/>
    </row>
    <row r="801" spans="1:9" ht="14.4">
      <c r="A801" s="176"/>
      <c r="B801" s="176"/>
      <c r="C801" s="1024"/>
      <c r="D801" s="1302"/>
      <c r="E801" s="1302"/>
      <c r="F801" s="1302"/>
      <c r="G801" s="1023"/>
      <c r="I801" s="524"/>
    </row>
    <row r="802" spans="1:9" ht="14.4">
      <c r="A802" s="176"/>
      <c r="B802" s="176"/>
      <c r="C802" s="1024"/>
      <c r="D802" s="1017"/>
      <c r="E802" s="1017"/>
      <c r="F802" s="1017"/>
      <c r="G802" s="1023"/>
      <c r="I802" s="524"/>
    </row>
    <row r="803" spans="1:9" ht="14.4">
      <c r="A803" s="176"/>
      <c r="B803" s="519" t="s">
        <v>2783</v>
      </c>
      <c r="C803" s="1024"/>
      <c r="D803" s="1302" t="s">
        <v>1951</v>
      </c>
      <c r="E803" s="1302"/>
      <c r="F803" s="1302"/>
      <c r="G803" s="1023"/>
      <c r="I803" s="517" t="s">
        <v>2159</v>
      </c>
    </row>
    <row r="804" spans="1:9" ht="14.4">
      <c r="A804" s="176"/>
      <c r="B804" s="176"/>
      <c r="C804" s="1024"/>
      <c r="D804" s="1302"/>
      <c r="E804" s="1302"/>
      <c r="F804" s="1302"/>
      <c r="G804" s="1023"/>
      <c r="I804" s="524"/>
    </row>
    <row r="805" spans="1:9" ht="14.4">
      <c r="A805" s="176"/>
      <c r="B805" s="176"/>
      <c r="C805" s="1024"/>
      <c r="D805" s="1302"/>
      <c r="E805" s="1302"/>
      <c r="F805" s="1302"/>
      <c r="G805" s="1023"/>
      <c r="I805" s="524"/>
    </row>
    <row r="806" spans="1:9" ht="14.4">
      <c r="A806" s="176"/>
      <c r="B806" s="176"/>
      <c r="C806" s="1024"/>
      <c r="D806" s="1302"/>
      <c r="E806" s="1302"/>
      <c r="F806" s="1302"/>
      <c r="G806" s="1023"/>
      <c r="I806" s="524"/>
    </row>
    <row r="807" spans="1:9" ht="14.4">
      <c r="A807" s="176"/>
      <c r="B807" s="176"/>
      <c r="C807" s="1024"/>
      <c r="D807" s="1302"/>
      <c r="E807" s="1302"/>
      <c r="F807" s="1302"/>
      <c r="G807" s="1023"/>
      <c r="I807" s="524"/>
    </row>
    <row r="808" spans="1:9" ht="14.4">
      <c r="A808" s="176"/>
      <c r="B808" s="176"/>
      <c r="C808" s="1024"/>
      <c r="D808" s="1302"/>
      <c r="E808" s="1302"/>
      <c r="F808" s="1302"/>
      <c r="G808" s="1023"/>
      <c r="I808" s="524"/>
    </row>
    <row r="809" spans="1:9" ht="14.4">
      <c r="A809" s="176"/>
      <c r="B809" s="176"/>
      <c r="C809" s="1024"/>
      <c r="D809" s="1017"/>
      <c r="E809" s="1017"/>
      <c r="F809" s="1017"/>
      <c r="G809" s="1023"/>
      <c r="I809" s="524"/>
    </row>
    <row r="810" spans="1:9" ht="14.4">
      <c r="A810" s="176"/>
      <c r="B810" s="519" t="s">
        <v>2783</v>
      </c>
      <c r="C810" s="1024"/>
      <c r="D810" s="1310" t="s">
        <v>1952</v>
      </c>
      <c r="E810" s="1310"/>
      <c r="F810" s="1310"/>
      <c r="G810" s="1023"/>
      <c r="I810" s="517" t="s">
        <v>2159</v>
      </c>
    </row>
    <row r="811" spans="1:9" ht="14.4">
      <c r="A811" s="176"/>
      <c r="B811" s="176"/>
      <c r="C811" s="1024"/>
      <c r="D811" s="1310"/>
      <c r="E811" s="1310"/>
      <c r="F811" s="1310"/>
      <c r="G811" s="1023"/>
      <c r="I811" s="524"/>
    </row>
    <row r="812" spans="1:9">
      <c r="A812" s="13"/>
      <c r="B812" s="13"/>
      <c r="C812" s="1024"/>
      <c r="D812" s="1310"/>
      <c r="E812" s="1310"/>
      <c r="F812" s="1310"/>
      <c r="G812" s="1023"/>
      <c r="I812" s="524"/>
    </row>
    <row r="813" spans="1:9" ht="14.4">
      <c r="A813" s="176"/>
      <c r="B813" s="13"/>
      <c r="C813" s="1024"/>
      <c r="D813" s="1310"/>
      <c r="E813" s="1310"/>
      <c r="F813" s="1310"/>
      <c r="G813" s="1023"/>
      <c r="I813" s="524"/>
    </row>
    <row r="814" spans="1:9" ht="12.75" customHeight="1">
      <c r="A814" s="176"/>
      <c r="B814" s="13"/>
      <c r="C814" s="1024"/>
      <c r="D814" s="1310"/>
      <c r="E814" s="1310"/>
      <c r="F814" s="1310"/>
      <c r="G814" s="1023"/>
      <c r="I814" s="524"/>
    </row>
    <row r="815" spans="1:9" ht="12.75" customHeight="1">
      <c r="A815" s="176"/>
      <c r="B815" s="13"/>
      <c r="C815" s="1024"/>
      <c r="D815" s="1310"/>
      <c r="E815" s="1310"/>
      <c r="F815" s="1310"/>
      <c r="G815" s="1023"/>
      <c r="I815" s="524"/>
    </row>
    <row r="816" spans="1:9" ht="12.75" customHeight="1">
      <c r="A816" s="13"/>
      <c r="B816" s="13"/>
      <c r="C816" s="1024"/>
      <c r="D816" s="1023"/>
      <c r="E816" s="3"/>
      <c r="F816" s="3"/>
      <c r="G816" s="1023"/>
      <c r="I816" s="524"/>
    </row>
    <row r="817" spans="1:9" ht="12.75" customHeight="1">
      <c r="A817" s="1297" t="s">
        <v>1953</v>
      </c>
      <c r="B817" s="1297"/>
      <c r="C817" s="1297"/>
      <c r="D817" s="1297"/>
      <c r="E817" s="1297"/>
      <c r="F817" s="1297"/>
      <c r="G817" s="1297"/>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1994</v>
      </c>
      <c r="E819" s="1301"/>
      <c r="F819" s="1301"/>
      <c r="G819" s="3"/>
      <c r="I819" s="524"/>
    </row>
    <row r="820" spans="1:9" ht="14.25" customHeight="1">
      <c r="A820" s="176"/>
      <c r="B820" s="176"/>
      <c r="C820" s="385"/>
      <c r="D820" s="1269" t="s">
        <v>1954</v>
      </c>
      <c r="E820" s="1269"/>
      <c r="F820" s="1269"/>
      <c r="G820" s="3"/>
      <c r="I820" s="524"/>
    </row>
    <row r="821" spans="1:9" ht="12.75" customHeight="1">
      <c r="A821" s="176"/>
      <c r="B821" s="176"/>
      <c r="C821" s="385"/>
      <c r="D821" s="474"/>
      <c r="E821" s="474"/>
      <c r="F821" s="474"/>
      <c r="G821" s="3"/>
      <c r="I821" s="524"/>
    </row>
    <row r="822" spans="1:9" ht="12.75" customHeight="1">
      <c r="A822" s="385"/>
      <c r="B822" s="519" t="s">
        <v>2778</v>
      </c>
      <c r="C822" s="1024"/>
      <c r="D822" s="1269" t="s">
        <v>1955</v>
      </c>
      <c r="E822" s="1269"/>
      <c r="F822" s="1269"/>
      <c r="G822" s="3"/>
      <c r="I822" s="524" t="s">
        <v>2127</v>
      </c>
    </row>
    <row r="823" spans="1:9" ht="14.25" customHeight="1">
      <c r="A823" s="13"/>
      <c r="B823" s="13"/>
      <c r="C823" s="1024"/>
      <c r="E823" s="1071" t="s">
        <v>2192</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6" t="s">
        <v>2388</v>
      </c>
      <c r="E825" s="1346"/>
      <c r="F825" s="1346"/>
      <c r="G825" s="3"/>
      <c r="I825" s="524"/>
    </row>
    <row r="826" spans="1:9" ht="12.75" hidden="1" customHeight="1">
      <c r="A826" s="13"/>
      <c r="B826" s="13"/>
      <c r="C826" s="1024"/>
      <c r="D826" s="1346"/>
      <c r="E826" s="1346"/>
      <c r="F826" s="1346"/>
      <c r="G826" s="3"/>
      <c r="I826" s="524"/>
    </row>
    <row r="827" spans="1:9" ht="12.75" hidden="1" customHeight="1">
      <c r="A827" s="13"/>
      <c r="B827" s="13"/>
      <c r="C827" s="1024"/>
      <c r="D827" s="1346"/>
      <c r="E827" s="1346"/>
      <c r="F827" s="1346"/>
      <c r="G827" s="3"/>
      <c r="I827" s="524"/>
    </row>
    <row r="828" spans="1:9" ht="12.75" hidden="1" customHeight="1">
      <c r="A828" s="13"/>
      <c r="B828" s="13"/>
      <c r="C828" s="1024"/>
      <c r="D828" s="1346"/>
      <c r="E828" s="1346"/>
      <c r="F828" s="1346"/>
      <c r="G828" s="3"/>
      <c r="I828" s="524"/>
    </row>
    <row r="829" spans="1:9" ht="12.75" hidden="1" customHeight="1">
      <c r="A829" s="13"/>
      <c r="B829" s="13"/>
      <c r="C829" s="1024"/>
      <c r="D829" s="1346"/>
      <c r="E829" s="1346"/>
      <c r="F829" s="1346"/>
      <c r="G829" s="3"/>
      <c r="I829" s="524"/>
    </row>
    <row r="830" spans="1:9" ht="12.75" hidden="1" customHeight="1">
      <c r="A830" s="13"/>
      <c r="B830" s="13"/>
      <c r="C830" s="1024"/>
      <c r="D830" s="1346"/>
      <c r="E830" s="1346"/>
      <c r="F830" s="1346"/>
      <c r="G830" s="3"/>
      <c r="I830" s="524"/>
    </row>
    <row r="831" spans="1:9" ht="12.75" hidden="1" customHeight="1">
      <c r="A831" s="13"/>
      <c r="B831" s="13"/>
      <c r="C831" s="1024"/>
      <c r="D831" s="1346"/>
      <c r="E831" s="1346"/>
      <c r="F831" s="1346"/>
      <c r="G831" s="3"/>
      <c r="I831" s="524"/>
    </row>
    <row r="832" spans="1:9" ht="12.75" hidden="1" customHeight="1">
      <c r="A832" s="13"/>
      <c r="B832" s="13"/>
      <c r="C832" s="1024"/>
      <c r="D832" s="1346"/>
      <c r="E832" s="1346"/>
      <c r="F832" s="1346"/>
      <c r="G832" s="3"/>
      <c r="I832" s="524"/>
    </row>
    <row r="833" spans="1:9" ht="12.75" hidden="1" customHeight="1">
      <c r="A833" s="13"/>
      <c r="B833" s="13"/>
      <c r="C833" s="1024"/>
      <c r="D833" s="1346"/>
      <c r="E833" s="1346"/>
      <c r="F833" s="1346"/>
      <c r="G833" s="3"/>
      <c r="I833" s="524"/>
    </row>
    <row r="834" spans="1:9" ht="12.75" hidden="1" customHeight="1">
      <c r="A834" s="13"/>
      <c r="B834" s="13"/>
      <c r="C834" s="1024"/>
      <c r="D834" s="1346"/>
      <c r="E834" s="1346"/>
      <c r="F834" s="1346"/>
      <c r="G834" s="3"/>
      <c r="I834" s="524"/>
    </row>
    <row r="835" spans="1:9" ht="12.75" hidden="1" customHeight="1">
      <c r="A835" s="13"/>
      <c r="B835" s="13"/>
      <c r="C835" s="1024"/>
      <c r="D835" s="1026"/>
      <c r="E835" s="3"/>
      <c r="F835" s="3"/>
      <c r="G835" s="3"/>
      <c r="I835" s="524"/>
    </row>
    <row r="836" spans="1:9" ht="12.75" customHeight="1">
      <c r="A836" s="176"/>
      <c r="B836" s="519" t="s">
        <v>2778</v>
      </c>
      <c r="C836" s="1024"/>
      <c r="D836" s="1269" t="s">
        <v>1956</v>
      </c>
      <c r="E836" s="1269"/>
      <c r="F836" s="1269"/>
      <c r="G836" s="3"/>
      <c r="I836" s="524" t="s">
        <v>2145</v>
      </c>
    </row>
    <row r="837" spans="1:9" ht="12.75" customHeight="1">
      <c r="A837" s="176"/>
      <c r="B837" s="176"/>
      <c r="C837" s="1024"/>
      <c r="D837" s="1269"/>
      <c r="E837" s="1269"/>
      <c r="F837" s="1269"/>
      <c r="G837" s="3"/>
      <c r="I837" s="524"/>
    </row>
    <row r="838" spans="1:9" ht="12.75" customHeight="1">
      <c r="A838" s="176"/>
      <c r="B838" s="176"/>
      <c r="C838" s="1024"/>
      <c r="D838" s="1269"/>
      <c r="E838" s="1269"/>
      <c r="F838" s="1269"/>
      <c r="G838" s="3"/>
      <c r="I838" s="524"/>
    </row>
    <row r="839" spans="1:9" ht="12.75" customHeight="1">
      <c r="A839" s="176"/>
      <c r="B839" s="176"/>
      <c r="C839" s="1024"/>
      <c r="D839" s="118"/>
      <c r="E839" s="3"/>
      <c r="F839" s="3"/>
      <c r="G839" s="3"/>
      <c r="I839" s="524"/>
    </row>
    <row r="840" spans="1:9" ht="12.75" customHeight="1">
      <c r="A840" s="1027"/>
      <c r="B840" s="519" t="s">
        <v>2778</v>
      </c>
      <c r="C840" s="1024"/>
      <c r="D840" s="1301" t="s">
        <v>1957</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9" t="s">
        <v>2379</v>
      </c>
      <c r="E842" s="1269"/>
      <c r="F842" s="1269"/>
      <c r="G842" s="3"/>
      <c r="I842" s="524"/>
    </row>
    <row r="843" spans="1:9" ht="12.75" customHeight="1">
      <c r="A843" s="176"/>
      <c r="B843" s="176"/>
      <c r="C843" s="1024"/>
      <c r="D843" s="1269"/>
      <c r="E843" s="1269"/>
      <c r="F843" s="1269"/>
      <c r="G843" s="3"/>
      <c r="I843" s="524"/>
    </row>
    <row r="844" spans="1:9" ht="12.75" customHeight="1">
      <c r="A844" s="176"/>
      <c r="B844" s="176"/>
      <c r="C844" s="1024"/>
      <c r="D844" s="1269"/>
      <c r="E844" s="1269"/>
      <c r="F844" s="1269"/>
      <c r="G844" s="3"/>
      <c r="I844" s="524"/>
    </row>
    <row r="845" spans="1:9" ht="12.75" customHeight="1">
      <c r="A845" s="176"/>
      <c r="B845" s="176"/>
      <c r="C845" s="1024"/>
      <c r="D845" s="1269"/>
      <c r="E845" s="1269"/>
      <c r="F845" s="1269"/>
      <c r="G845" s="3"/>
      <c r="I845" s="524"/>
    </row>
    <row r="846" spans="1:9" ht="12.75" customHeight="1">
      <c r="A846" s="176"/>
      <c r="B846" s="176"/>
      <c r="C846" s="1024"/>
      <c r="D846" s="1269"/>
      <c r="E846" s="1269"/>
      <c r="F846" s="1269"/>
      <c r="G846" s="3"/>
      <c r="I846" s="524"/>
    </row>
    <row r="847" spans="1:9" ht="12.75" customHeight="1">
      <c r="A847" s="176"/>
      <c r="B847" s="176"/>
      <c r="C847" s="1024"/>
      <c r="D847" s="1269"/>
      <c r="E847" s="1269"/>
      <c r="F847" s="1269"/>
      <c r="G847" s="3"/>
      <c r="I847" s="524"/>
    </row>
    <row r="848" spans="1:9" ht="12.75" customHeight="1">
      <c r="A848" s="176"/>
      <c r="B848" s="176"/>
      <c r="C848" s="1024"/>
      <c r="D848" s="118"/>
      <c r="E848" s="3"/>
      <c r="F848" s="3"/>
      <c r="G848" s="3"/>
      <c r="I848" s="524"/>
    </row>
    <row r="849" spans="1:9" ht="12.75" customHeight="1">
      <c r="A849" s="176"/>
      <c r="B849" s="519" t="s">
        <v>2783</v>
      </c>
      <c r="C849" s="1024"/>
      <c r="D849" s="1269" t="s">
        <v>1958</v>
      </c>
      <c r="E849" s="1269"/>
      <c r="F849" s="1269"/>
      <c r="G849" s="3"/>
      <c r="I849" s="524" t="s">
        <v>2128</v>
      </c>
    </row>
    <row r="850" spans="1:9" ht="12.75" customHeight="1">
      <c r="A850" s="176"/>
      <c r="B850" s="176"/>
      <c r="C850" s="1024"/>
      <c r="D850" s="1269" t="s">
        <v>1959</v>
      </c>
      <c r="E850" s="1269"/>
      <c r="F850" s="1269"/>
      <c r="G850" s="3"/>
      <c r="I850" s="524"/>
    </row>
    <row r="851" spans="1:9" ht="12.75" customHeight="1">
      <c r="A851" s="176"/>
      <c r="B851" s="176"/>
      <c r="C851" s="1024"/>
      <c r="E851" s="1071" t="s">
        <v>2194</v>
      </c>
      <c r="F851" s="1073"/>
      <c r="G851" s="3"/>
      <c r="I851" s="524"/>
    </row>
    <row r="852" spans="1:9" ht="12.75" customHeight="1">
      <c r="A852" s="176"/>
      <c r="B852" s="176"/>
      <c r="C852" s="1024"/>
      <c r="D852" s="118"/>
      <c r="E852" s="3"/>
      <c r="F852" s="3"/>
      <c r="G852" s="3"/>
      <c r="I852" s="524"/>
    </row>
    <row r="853" spans="1:9" ht="12.75" customHeight="1">
      <c r="A853" s="176"/>
      <c r="B853" s="519" t="s">
        <v>2783</v>
      </c>
      <c r="C853" s="1024"/>
      <c r="D853" s="1269" t="s">
        <v>1960</v>
      </c>
      <c r="E853" s="1269"/>
      <c r="F853" s="1269"/>
      <c r="G853" s="3"/>
      <c r="I853" s="524" t="s">
        <v>2146</v>
      </c>
    </row>
    <row r="854" spans="1:9" ht="12.75" customHeight="1">
      <c r="A854" s="176"/>
      <c r="B854" s="176"/>
      <c r="C854" s="1024"/>
      <c r="D854" s="1269"/>
      <c r="E854" s="1269"/>
      <c r="F854" s="1269"/>
      <c r="G854" s="3"/>
      <c r="I854" s="524"/>
    </row>
    <row r="855" spans="1:9" ht="12.75" customHeight="1">
      <c r="A855" s="176"/>
      <c r="B855" s="176"/>
      <c r="C855" s="1024"/>
      <c r="D855" s="1269"/>
      <c r="E855" s="1269"/>
      <c r="F855" s="1269"/>
      <c r="G855" s="3"/>
      <c r="I855" s="524"/>
    </row>
    <row r="856" spans="1:9" ht="12.75" customHeight="1">
      <c r="A856" s="176"/>
      <c r="B856" s="176"/>
      <c r="C856" s="1024"/>
      <c r="D856" s="1269"/>
      <c r="E856" s="1269"/>
      <c r="F856" s="1269"/>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8" t="s">
        <v>1995</v>
      </c>
      <c r="E860" s="1288"/>
      <c r="F860" s="1288"/>
      <c r="G860" s="1023"/>
      <c r="I860" s="524"/>
    </row>
    <row r="861" spans="1:9" ht="12.75" customHeight="1">
      <c r="A861" s="385"/>
      <c r="B861" s="385"/>
      <c r="C861" s="175"/>
      <c r="D861" s="1345" t="s">
        <v>1962</v>
      </c>
      <c r="E861" s="1345"/>
      <c r="F861" s="1345"/>
      <c r="G861" s="1023"/>
      <c r="I861" s="524"/>
    </row>
    <row r="862" spans="1:9" ht="12.75" customHeight="1">
      <c r="A862" s="385"/>
      <c r="B862" s="385"/>
      <c r="C862" s="175"/>
      <c r="D862" s="1030"/>
      <c r="E862" s="1030"/>
      <c r="F862" s="1030"/>
      <c r="G862" s="1023"/>
      <c r="I862" s="524"/>
    </row>
    <row r="863" spans="1:9" ht="12.75" customHeight="1">
      <c r="A863" s="176"/>
      <c r="B863" s="519" t="s">
        <v>2778</v>
      </c>
      <c r="C863" s="385"/>
      <c r="D863" s="1289" t="s">
        <v>1963</v>
      </c>
      <c r="E863" s="1289"/>
      <c r="F863" s="1289"/>
      <c r="G863" s="1023"/>
      <c r="I863" s="524" t="s">
        <v>2128</v>
      </c>
    </row>
    <row r="864" spans="1:9" ht="12.75" customHeight="1">
      <c r="A864" s="385"/>
      <c r="B864" s="385"/>
      <c r="C864" s="385"/>
      <c r="D864" s="2" t="s">
        <v>1938</v>
      </c>
      <c r="E864" s="1071" t="s">
        <v>2194</v>
      </c>
      <c r="F864" s="1074"/>
      <c r="G864" s="1023"/>
      <c r="I864" s="524"/>
    </row>
    <row r="865" spans="1:9" ht="12.75" customHeight="1">
      <c r="A865" s="385"/>
      <c r="B865" s="385"/>
      <c r="C865" s="385"/>
      <c r="D865" s="118"/>
      <c r="E865" s="1023"/>
      <c r="F865" s="1023"/>
      <c r="G865" s="1023"/>
      <c r="I865" s="524"/>
    </row>
    <row r="866" spans="1:9" ht="12.75" customHeight="1">
      <c r="A866" s="176"/>
      <c r="B866" s="519" t="s">
        <v>2778</v>
      </c>
      <c r="C866" s="385"/>
      <c r="D866" s="1269" t="s">
        <v>1964</v>
      </c>
      <c r="E866" s="1318"/>
      <c r="F866" s="1318"/>
      <c r="G866" s="3"/>
      <c r="I866" s="524" t="s">
        <v>2146</v>
      </c>
    </row>
    <row r="867" spans="1:9" ht="12.75" customHeight="1">
      <c r="A867" s="385"/>
      <c r="B867" s="385"/>
      <c r="C867" s="385"/>
      <c r="D867" s="1318"/>
      <c r="E867" s="1318"/>
      <c r="F867" s="1318"/>
      <c r="G867" s="3"/>
      <c r="I867" s="524"/>
    </row>
    <row r="868" spans="1:9" ht="12.75" customHeight="1">
      <c r="A868" s="385"/>
      <c r="B868" s="385"/>
      <c r="C868" s="385"/>
      <c r="D868" s="118"/>
      <c r="E868" s="3"/>
      <c r="F868" s="3"/>
      <c r="G868" s="3"/>
      <c r="I868" s="524"/>
    </row>
    <row r="869" spans="1:9" ht="12.75" customHeight="1">
      <c r="A869" s="385"/>
      <c r="B869" s="519" t="s">
        <v>2783</v>
      </c>
      <c r="C869" s="385"/>
      <c r="D869" s="1349" t="s">
        <v>1965</v>
      </c>
      <c r="E869" s="1349"/>
      <c r="F869" s="1349"/>
      <c r="G869" s="1023"/>
      <c r="I869" s="524"/>
    </row>
    <row r="870" spans="1:9" ht="12.75" customHeight="1">
      <c r="A870" s="385"/>
      <c r="B870" s="1031"/>
      <c r="C870" s="385"/>
      <c r="D870" s="1349"/>
      <c r="E870" s="1349"/>
      <c r="F870" s="1349"/>
      <c r="G870" s="1023"/>
      <c r="I870" s="524"/>
    </row>
    <row r="871" spans="1:9" ht="12.75" customHeight="1">
      <c r="A871" s="176"/>
      <c r="B871"/>
      <c r="C871" s="385"/>
      <c r="D871" s="1269" t="s">
        <v>2379</v>
      </c>
      <c r="E871" s="1269"/>
      <c r="F871" s="1269"/>
      <c r="G871" s="1023"/>
      <c r="I871" s="524"/>
    </row>
    <row r="872" spans="1:9" ht="12.75" customHeight="1">
      <c r="A872" s="176"/>
      <c r="B872" s="176"/>
      <c r="C872" s="385"/>
      <c r="D872" s="1269"/>
      <c r="E872" s="1269"/>
      <c r="F872" s="1269"/>
      <c r="G872" s="1023"/>
      <c r="I872" s="524"/>
    </row>
    <row r="873" spans="1:9" ht="12.75" customHeight="1">
      <c r="A873" s="176"/>
      <c r="B873" s="176"/>
      <c r="C873" s="385"/>
      <c r="D873" s="1269"/>
      <c r="E873" s="1269"/>
      <c r="F873" s="1269"/>
      <c r="G873" s="1023"/>
      <c r="I873" s="524"/>
    </row>
    <row r="874" spans="1:9" ht="12.75" customHeight="1">
      <c r="A874" s="176"/>
      <c r="B874" s="176"/>
      <c r="C874" s="385"/>
      <c r="D874" s="1269"/>
      <c r="E874" s="1269"/>
      <c r="F874" s="1269"/>
      <c r="G874" s="1023"/>
      <c r="I874" s="524"/>
    </row>
    <row r="875" spans="1:9" ht="12.75" customHeight="1">
      <c r="A875" s="176"/>
      <c r="B875" s="176"/>
      <c r="C875" s="385"/>
      <c r="D875" s="1269"/>
      <c r="E875" s="1269"/>
      <c r="F875" s="1269"/>
      <c r="G875" s="1023"/>
      <c r="I875" s="524"/>
    </row>
    <row r="876" spans="1:9" ht="12.75" customHeight="1">
      <c r="A876" s="176"/>
      <c r="B876" s="176"/>
      <c r="C876" s="385"/>
      <c r="D876" s="1269"/>
      <c r="E876" s="1269"/>
      <c r="F876" s="1269"/>
      <c r="G876" s="1023"/>
      <c r="I876" s="524"/>
    </row>
    <row r="877" spans="1:9" ht="12.75" customHeight="1">
      <c r="A877" s="176"/>
      <c r="B877" s="176"/>
      <c r="C877" s="385"/>
      <c r="D877" s="118"/>
      <c r="E877" s="1023"/>
      <c r="F877" s="1023"/>
      <c r="G877" s="1023"/>
      <c r="I877" s="524"/>
    </row>
    <row r="878" spans="1:9" ht="12.75" customHeight="1">
      <c r="A878" s="176"/>
      <c r="B878" s="519" t="s">
        <v>2783</v>
      </c>
      <c r="C878" s="385"/>
      <c r="D878" s="1293" t="s">
        <v>1958</v>
      </c>
      <c r="E878" s="1293"/>
      <c r="F878" s="1293"/>
      <c r="G878" s="1023"/>
      <c r="I878" s="524" t="s">
        <v>2128</v>
      </c>
    </row>
    <row r="879" spans="1:9" ht="12.75" customHeight="1">
      <c r="A879" s="176"/>
      <c r="B879" s="176"/>
      <c r="C879" s="385"/>
      <c r="D879" s="1293" t="s">
        <v>1959</v>
      </c>
      <c r="E879" s="1293"/>
      <c r="F879" s="1293"/>
      <c r="G879" s="1023"/>
      <c r="I879" s="524"/>
    </row>
    <row r="880" spans="1:9" ht="12.75" customHeight="1">
      <c r="A880" s="176"/>
      <c r="B880" s="176"/>
      <c r="C880" s="385"/>
      <c r="D880" s="2" t="s">
        <v>1380</v>
      </c>
      <c r="E880" s="1071" t="s">
        <v>2194</v>
      </c>
      <c r="F880" s="1075"/>
      <c r="G880" s="1023"/>
      <c r="I880" s="524"/>
    </row>
    <row r="881" spans="1:9" ht="12.75" customHeight="1">
      <c r="A881" s="176"/>
      <c r="B881" s="176"/>
      <c r="C881" s="385"/>
      <c r="D881" s="118"/>
      <c r="E881" s="1023"/>
      <c r="F881" s="1023"/>
      <c r="G881" s="1023"/>
      <c r="I881" s="524"/>
    </row>
    <row r="882" spans="1:9" ht="12.75" customHeight="1">
      <c r="A882" s="176"/>
      <c r="B882" s="519" t="s">
        <v>2783</v>
      </c>
      <c r="C882" s="385"/>
      <c r="D882" s="1269" t="s">
        <v>1960</v>
      </c>
      <c r="E882" s="1269"/>
      <c r="F882" s="1269"/>
      <c r="G882" s="1023"/>
      <c r="I882" s="524" t="s">
        <v>2146</v>
      </c>
    </row>
    <row r="883" spans="1:9" ht="12.75" customHeight="1">
      <c r="A883" s="176"/>
      <c r="B883" s="176"/>
      <c r="C883" s="385"/>
      <c r="D883" s="1269"/>
      <c r="E883" s="1269"/>
      <c r="F883" s="1269"/>
      <c r="G883" s="1023"/>
      <c r="I883" s="524"/>
    </row>
    <row r="884" spans="1:9" ht="12.75" customHeight="1">
      <c r="A884" s="176"/>
      <c r="B884" s="176"/>
      <c r="C884" s="385"/>
      <c r="D884" s="1269"/>
      <c r="E884" s="1269"/>
      <c r="F884" s="1269"/>
      <c r="G884" s="1023"/>
      <c r="I884" s="524"/>
    </row>
    <row r="885" spans="1:9" ht="12.75" customHeight="1">
      <c r="A885" s="176"/>
      <c r="B885" s="176"/>
      <c r="C885" s="385"/>
      <c r="D885" s="1269"/>
      <c r="E885" s="1269"/>
      <c r="F885" s="1269"/>
      <c r="G885" s="1023"/>
      <c r="I885" s="524"/>
    </row>
    <row r="886" spans="1:9" ht="12.75" customHeight="1">
      <c r="A886" s="118"/>
      <c r="B886" s="118"/>
      <c r="C886" s="1024"/>
      <c r="D886" s="1023"/>
      <c r="E886" s="1023"/>
      <c r="F886" s="1023"/>
      <c r="G886" s="1023"/>
      <c r="I886" s="524"/>
    </row>
    <row r="887" spans="1:9" ht="12.75" customHeight="1">
      <c r="A887" s="1297" t="s">
        <v>1996</v>
      </c>
      <c r="B887" s="1297"/>
      <c r="C887" s="1297"/>
      <c r="D887" s="1297"/>
      <c r="E887" s="1297"/>
      <c r="F887" s="1297"/>
      <c r="G887" s="1297"/>
      <c r="H887" s="1063"/>
      <c r="I887" s="1259"/>
    </row>
    <row r="888" spans="1:9" ht="12.75" customHeight="1">
      <c r="A888" s="57"/>
      <c r="B888" s="57"/>
      <c r="C888" s="57"/>
      <c r="D888" s="57"/>
      <c r="E888" s="57"/>
      <c r="F888" s="57"/>
      <c r="G888" s="57"/>
      <c r="I888" s="524"/>
    </row>
    <row r="889" spans="1:9" ht="12.75" customHeight="1">
      <c r="A889" s="57"/>
      <c r="B889" s="57"/>
      <c r="C889" s="57"/>
      <c r="D889" s="1303" t="s">
        <v>2002</v>
      </c>
      <c r="E889" s="1303"/>
      <c r="F889" s="1303"/>
      <c r="G889" s="57"/>
      <c r="I889" s="524"/>
    </row>
    <row r="890" spans="1:9" ht="12.75" customHeight="1">
      <c r="A890" s="57"/>
      <c r="B890" s="57"/>
      <c r="C890" s="57"/>
      <c r="D890" s="1016"/>
      <c r="E890" s="1016"/>
      <c r="F890" s="1016"/>
      <c r="G890" s="57"/>
      <c r="I890" s="524"/>
    </row>
    <row r="891" spans="1:9" ht="12.75" customHeight="1">
      <c r="A891" s="57"/>
      <c r="B891" s="519" t="s">
        <v>2778</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3" t="s">
        <v>1997</v>
      </c>
      <c r="E893" s="1303"/>
      <c r="F893" s="1303"/>
      <c r="G893" s="1023"/>
      <c r="I893" s="524"/>
    </row>
    <row r="894" spans="1:9" ht="12.75" customHeight="1">
      <c r="A894" s="172"/>
      <c r="B894" s="172"/>
      <c r="C894" s="172"/>
      <c r="D894" s="1289" t="s">
        <v>1966</v>
      </c>
      <c r="E894" s="1289"/>
      <c r="F894" s="1289"/>
      <c r="G894" s="1023"/>
      <c r="I894" s="524"/>
    </row>
    <row r="895" spans="1:9" ht="12.75" customHeight="1">
      <c r="A895" s="1024"/>
      <c r="B895" s="1024"/>
      <c r="C895" s="1024"/>
      <c r="D895" s="2"/>
      <c r="E895" s="1023"/>
      <c r="F895" s="1023"/>
      <c r="G895" s="1023"/>
      <c r="I895" s="524"/>
    </row>
    <row r="896" spans="1:9" ht="12.75" customHeight="1">
      <c r="A896" s="176"/>
      <c r="B896" s="519" t="s">
        <v>2778</v>
      </c>
      <c r="C896" s="385"/>
      <c r="D896" s="1269" t="s">
        <v>1970</v>
      </c>
      <c r="E896" s="1269"/>
      <c r="F896" s="1269"/>
      <c r="G896" s="3"/>
      <c r="I896" s="524" t="s">
        <v>2112</v>
      </c>
    </row>
    <row r="897" spans="1:9" ht="12.75" customHeight="1">
      <c r="A897" s="385"/>
      <c r="B897" s="385"/>
      <c r="C897" s="385"/>
      <c r="D897" s="1269"/>
      <c r="E897" s="1269"/>
      <c r="F897" s="1269"/>
      <c r="G897" s="3"/>
      <c r="I897" s="524"/>
    </row>
    <row r="898" spans="1:9" ht="12.75" customHeight="1">
      <c r="A898" s="172"/>
      <c r="B898" s="172"/>
      <c r="C898" s="172"/>
      <c r="D898" s="1269" t="s">
        <v>1969</v>
      </c>
      <c r="E898" s="1269"/>
      <c r="F898" s="1269"/>
      <c r="G898" s="1023"/>
      <c r="I898" s="524"/>
    </row>
    <row r="899" spans="1:9" ht="12.75" customHeight="1">
      <c r="A899" s="172"/>
      <c r="B899" s="172"/>
      <c r="C899" s="172"/>
      <c r="D899" s="1269"/>
      <c r="E899" s="1269"/>
      <c r="F899" s="1269"/>
      <c r="G899" s="1023"/>
      <c r="I899" s="524"/>
    </row>
    <row r="900" spans="1:9" ht="12.75" customHeight="1">
      <c r="A900" s="172"/>
      <c r="B900" s="172"/>
      <c r="C900" s="172"/>
      <c r="D900" s="3"/>
      <c r="E900" s="3"/>
      <c r="F900" s="1023"/>
      <c r="G900" s="1023"/>
      <c r="I900" s="524"/>
    </row>
    <row r="901" spans="1:9" ht="12.75" customHeight="1">
      <c r="A901" s="176"/>
      <c r="B901" s="519" t="s">
        <v>2778</v>
      </c>
      <c r="C901" s="175"/>
      <c r="D901" s="1273" t="s">
        <v>1967</v>
      </c>
      <c r="E901" s="1273"/>
      <c r="F901" s="1273"/>
      <c r="G901" s="1023"/>
      <c r="I901" s="524" t="s">
        <v>2111</v>
      </c>
    </row>
    <row r="902" spans="1:9" ht="12.75" customHeight="1">
      <c r="A902" s="176"/>
      <c r="B902" s="176"/>
      <c r="C902" s="175"/>
      <c r="D902" s="1273"/>
      <c r="E902" s="1273"/>
      <c r="F902" s="1273"/>
      <c r="G902" s="1023"/>
      <c r="I902" s="524"/>
    </row>
    <row r="903" spans="1:9" ht="12.75" customHeight="1">
      <c r="A903" s="176"/>
      <c r="B903" s="176"/>
      <c r="C903" s="175"/>
      <c r="D903" s="1273"/>
      <c r="E903" s="1273"/>
      <c r="F903" s="1273"/>
      <c r="G903" s="1023"/>
      <c r="I903" s="524"/>
    </row>
    <row r="904" spans="1:9" ht="12.75" customHeight="1">
      <c r="A904" s="176"/>
      <c r="B904" s="176"/>
      <c r="C904" s="175"/>
      <c r="D904" s="1273"/>
      <c r="E904" s="1273"/>
      <c r="F904" s="1273"/>
      <c r="G904" s="1023"/>
      <c r="I904" s="524"/>
    </row>
    <row r="905" spans="1:9" ht="12.75" customHeight="1">
      <c r="A905" s="176"/>
      <c r="B905" s="176"/>
      <c r="C905" s="175"/>
      <c r="D905" s="1273"/>
      <c r="E905" s="1273"/>
      <c r="F905" s="1273"/>
      <c r="G905" s="1023"/>
      <c r="I905" s="524"/>
    </row>
    <row r="906" spans="1:9" ht="12.75" customHeight="1">
      <c r="A906" s="175"/>
      <c r="B906" s="175"/>
      <c r="C906" s="175"/>
      <c r="D906" s="1273"/>
      <c r="E906" s="1273"/>
      <c r="F906" s="1273"/>
      <c r="G906" s="1023"/>
      <c r="I906" s="524"/>
    </row>
    <row r="907" spans="1:9" ht="12.75" customHeight="1">
      <c r="A907" s="175"/>
      <c r="B907" s="175"/>
      <c r="C907" s="175"/>
      <c r="D907" s="1273"/>
      <c r="E907" s="1273"/>
      <c r="F907" s="1273"/>
      <c r="G907" s="1023"/>
      <c r="I907" s="524"/>
    </row>
    <row r="908" spans="1:9" ht="12.75" customHeight="1">
      <c r="A908" s="175"/>
      <c r="B908" s="175"/>
      <c r="C908" s="175"/>
      <c r="D908" s="1273"/>
      <c r="E908" s="1273"/>
      <c r="F908" s="1273"/>
      <c r="G908" s="1023"/>
      <c r="I908" s="524"/>
    </row>
    <row r="909" spans="1:9" ht="12.75" customHeight="1">
      <c r="A909" s="175"/>
      <c r="B909" s="175"/>
      <c r="C909" s="175"/>
      <c r="D909" s="363"/>
      <c r="E909" s="363"/>
      <c r="F909" s="363"/>
      <c r="G909" s="1023"/>
      <c r="I909" s="524"/>
    </row>
    <row r="910" spans="1:9" ht="12.75" customHeight="1">
      <c r="A910" s="1024"/>
      <c r="B910" s="519" t="s">
        <v>2783</v>
      </c>
      <c r="C910" s="1024"/>
      <c r="D910" s="1269" t="s">
        <v>1971</v>
      </c>
      <c r="E910" s="1269"/>
      <c r="F910" s="1269"/>
      <c r="G910" s="1023"/>
      <c r="I910" s="524"/>
    </row>
    <row r="911" spans="1:9" ht="12.75" customHeight="1">
      <c r="A911" s="1024"/>
      <c r="B911" s="1024"/>
      <c r="C911" s="1024"/>
      <c r="D911" s="1269"/>
      <c r="E911" s="1269"/>
      <c r="F911" s="1269"/>
      <c r="G911" s="1023"/>
      <c r="I911" s="524"/>
    </row>
    <row r="912" spans="1:9" ht="12.75" customHeight="1">
      <c r="A912" s="1024"/>
      <c r="B912" s="1024"/>
      <c r="C912" s="1024"/>
      <c r="D912" s="1023"/>
      <c r="E912" s="1023"/>
      <c r="F912" s="1023"/>
      <c r="G912" s="1023"/>
      <c r="I912" s="524"/>
    </row>
    <row r="913" spans="1:9" ht="12.75" customHeight="1">
      <c r="A913" s="1024"/>
      <c r="B913" s="519" t="s">
        <v>2783</v>
      </c>
      <c r="C913" s="1024"/>
      <c r="D913" s="1310" t="s">
        <v>1972</v>
      </c>
      <c r="E913" s="1310"/>
      <c r="F913" s="1310"/>
      <c r="G913" s="1023"/>
      <c r="I913" s="524"/>
    </row>
    <row r="914" spans="1:9" ht="12.75" customHeight="1">
      <c r="A914" s="1024"/>
      <c r="B914" s="1024"/>
      <c r="C914" s="1024"/>
      <c r="D914" s="1310"/>
      <c r="E914" s="1310"/>
      <c r="F914" s="1310"/>
      <c r="G914" s="1023"/>
      <c r="I914" s="524"/>
    </row>
    <row r="915" spans="1:9" ht="12.75" customHeight="1">
      <c r="A915" s="1024"/>
      <c r="B915" s="1024"/>
      <c r="C915" s="1024"/>
      <c r="D915" s="1310"/>
      <c r="E915" s="1310"/>
      <c r="F915" s="1310"/>
      <c r="G915" s="1023"/>
      <c r="I915" s="524"/>
    </row>
    <row r="916" spans="1:9" ht="12.75" customHeight="1">
      <c r="A916" s="1024"/>
      <c r="B916" s="1024"/>
      <c r="C916" s="1024"/>
      <c r="D916" s="1310"/>
      <c r="E916" s="1310"/>
      <c r="F916" s="1310"/>
      <c r="G916" s="1023"/>
      <c r="I916" s="524"/>
    </row>
    <row r="917" spans="1:9" ht="12.75" customHeight="1">
      <c r="A917" s="1024"/>
      <c r="B917" s="1024"/>
      <c r="C917" s="1024"/>
      <c r="D917" s="118"/>
      <c r="E917" s="1023"/>
      <c r="F917" s="1023"/>
      <c r="G917" s="1023"/>
      <c r="I917" s="524"/>
    </row>
    <row r="918" spans="1:9" ht="12.75" customHeight="1">
      <c r="A918" s="1024"/>
      <c r="B918" s="519" t="s">
        <v>2783</v>
      </c>
      <c r="C918" s="1024"/>
      <c r="D918" s="1289" t="s">
        <v>2380</v>
      </c>
      <c r="E918" s="1289"/>
      <c r="F918" s="1289"/>
      <c r="G918" s="1023"/>
      <c r="I918" s="524"/>
    </row>
    <row r="919" spans="1:9" ht="12.75" customHeight="1">
      <c r="A919" s="1024"/>
      <c r="B919" s="1024"/>
      <c r="C919" s="1024"/>
      <c r="D919" s="118"/>
      <c r="E919" s="1023"/>
      <c r="F919" s="1023"/>
      <c r="G919" s="1023"/>
      <c r="I919" s="524"/>
    </row>
    <row r="920" spans="1:9" ht="12.75" customHeight="1">
      <c r="A920" s="1024"/>
      <c r="B920" s="519" t="s">
        <v>2783</v>
      </c>
      <c r="C920" s="1024"/>
      <c r="D920" s="1289" t="s">
        <v>2381</v>
      </c>
      <c r="E920" s="1289"/>
      <c r="F920" s="1289"/>
      <c r="G920" s="1023"/>
      <c r="I920" s="524"/>
    </row>
    <row r="921" spans="1:9" ht="12.75" customHeight="1">
      <c r="A921" s="175"/>
      <c r="B921" s="175"/>
      <c r="C921" s="175"/>
      <c r="D921" s="2"/>
      <c r="E921" s="3"/>
      <c r="F921" s="1023"/>
      <c r="G921" s="1023"/>
      <c r="I921" s="524"/>
    </row>
    <row r="922" spans="1:9" ht="12.75" customHeight="1">
      <c r="A922" s="1032"/>
      <c r="B922" s="519" t="s">
        <v>2778</v>
      </c>
      <c r="C922" s="1033"/>
      <c r="D922" s="1273" t="s">
        <v>1968</v>
      </c>
      <c r="E922" s="1273"/>
      <c r="F922" s="1273"/>
      <c r="G922" s="1034"/>
      <c r="I922" s="524" t="s">
        <v>2161</v>
      </c>
    </row>
    <row r="923" spans="1:9" ht="12.75" customHeight="1">
      <c r="A923" s="1032"/>
      <c r="B923" s="1032"/>
      <c r="C923" s="1033"/>
      <c r="D923" s="1273"/>
      <c r="E923" s="1273"/>
      <c r="F923" s="1273"/>
      <c r="G923" s="1034"/>
      <c r="I923" s="524"/>
    </row>
    <row r="924" spans="1:9" ht="12.75" customHeight="1">
      <c r="A924" s="1032"/>
      <c r="B924" s="1032"/>
      <c r="C924" s="1033"/>
      <c r="D924" s="1273"/>
      <c r="E924" s="1273"/>
      <c r="F924" s="1273"/>
      <c r="G924" s="1034"/>
      <c r="I924" s="524"/>
    </row>
    <row r="925" spans="1:9" ht="12.75" customHeight="1">
      <c r="A925" s="1032"/>
      <c r="B925" s="1032"/>
      <c r="C925" s="1033"/>
      <c r="D925" s="1273"/>
      <c r="E925" s="1273"/>
      <c r="F925" s="1273"/>
      <c r="G925" s="1034"/>
      <c r="I925" s="524"/>
    </row>
    <row r="926" spans="1:9" ht="12.75" customHeight="1">
      <c r="A926" s="1032"/>
      <c r="B926" s="1032"/>
      <c r="C926" s="1033"/>
      <c r="D926" s="1273"/>
      <c r="E926" s="1273"/>
      <c r="F926" s="1273"/>
      <c r="G926" s="1034"/>
      <c r="I926" s="524"/>
    </row>
    <row r="927" spans="1:9" ht="12.75" customHeight="1">
      <c r="A927" s="1032"/>
      <c r="B927" s="1032"/>
      <c r="C927" s="1033"/>
      <c r="D927" s="1273"/>
      <c r="E927" s="1273"/>
      <c r="F927" s="1273"/>
      <c r="G927" s="1034"/>
      <c r="I927" s="524"/>
    </row>
    <row r="928" spans="1:9" ht="12.75" customHeight="1">
      <c r="A928" s="1032"/>
      <c r="B928" s="1032"/>
      <c r="C928" s="1033"/>
      <c r="D928" s="1273"/>
      <c r="E928" s="1273"/>
      <c r="F928" s="1273"/>
      <c r="G928" s="1034"/>
      <c r="I928" s="524"/>
    </row>
    <row r="929" spans="1:9" ht="12.75" customHeight="1">
      <c r="A929" s="1032"/>
      <c r="B929" s="1032"/>
      <c r="C929" s="1033"/>
      <c r="D929" s="1273"/>
      <c r="E929" s="1273"/>
      <c r="F929" s="1273"/>
      <c r="G929" s="1034"/>
      <c r="I929" s="524"/>
    </row>
    <row r="930" spans="1:9" ht="12.75" customHeight="1">
      <c r="A930" s="1032"/>
      <c r="B930" s="1032"/>
      <c r="C930" s="1033"/>
      <c r="D930" s="1273"/>
      <c r="E930" s="1273"/>
      <c r="F930" s="1273"/>
      <c r="G930" s="1034"/>
      <c r="I930" s="524"/>
    </row>
    <row r="931" spans="1:9" ht="12.75" customHeight="1">
      <c r="A931" s="175"/>
      <c r="B931" s="175"/>
      <c r="C931" s="175"/>
      <c r="D931" s="2"/>
      <c r="E931" s="3"/>
      <c r="F931" s="1023"/>
      <c r="G931" s="1023"/>
      <c r="I931" s="524"/>
    </row>
    <row r="932" spans="1:9" ht="12.75" customHeight="1">
      <c r="A932" s="176"/>
      <c r="B932" s="519" t="s">
        <v>2778</v>
      </c>
      <c r="C932" s="175"/>
      <c r="D932" s="1350" t="s">
        <v>2163</v>
      </c>
      <c r="E932" s="1350"/>
      <c r="F932" s="1350"/>
      <c r="G932" s="1023"/>
      <c r="I932" s="524" t="s">
        <v>2161</v>
      </c>
    </row>
    <row r="933" spans="1:9" ht="12.75" customHeight="1">
      <c r="A933" s="176"/>
      <c r="B933" s="176"/>
      <c r="C933" s="175"/>
      <c r="D933" s="1350"/>
      <c r="E933" s="1350"/>
      <c r="F933" s="1350"/>
      <c r="G933" s="1023"/>
      <c r="I933" s="524"/>
    </row>
    <row r="934" spans="1:9" ht="12.75" customHeight="1">
      <c r="A934" s="176"/>
      <c r="B934" s="176"/>
      <c r="C934" s="175"/>
      <c r="D934" s="1350"/>
      <c r="E934" s="1350"/>
      <c r="F934" s="1350"/>
      <c r="G934" s="1023"/>
      <c r="I934" s="524"/>
    </row>
    <row r="935" spans="1:9" ht="12.75" customHeight="1">
      <c r="A935" s="176"/>
      <c r="B935" s="176"/>
      <c r="C935" s="175"/>
      <c r="D935" s="1350"/>
      <c r="E935" s="1350"/>
      <c r="F935" s="1350"/>
      <c r="G935" s="1023"/>
      <c r="I935" s="524"/>
    </row>
    <row r="936" spans="1:9" ht="12.75" customHeight="1">
      <c r="A936" s="176"/>
      <c r="B936" s="176"/>
      <c r="C936" s="175"/>
      <c r="D936" s="1350"/>
      <c r="E936" s="1350"/>
      <c r="F936" s="1350"/>
      <c r="G936" s="1023"/>
      <c r="I936" s="524"/>
    </row>
    <row r="937" spans="1:9" ht="12.75" customHeight="1">
      <c r="A937" s="176"/>
      <c r="B937" s="176"/>
      <c r="C937" s="175"/>
      <c r="D937" s="1350"/>
      <c r="E937" s="1350"/>
      <c r="F937" s="1350"/>
      <c r="G937" s="1023"/>
      <c r="I937" s="524"/>
    </row>
    <row r="938" spans="1:9" ht="12.75" customHeight="1">
      <c r="A938" s="176"/>
      <c r="B938" s="176"/>
      <c r="C938" s="175"/>
      <c r="D938" s="1350"/>
      <c r="E938" s="1350"/>
      <c r="F938" s="1350"/>
      <c r="G938" s="1023"/>
      <c r="I938" s="524"/>
    </row>
    <row r="939" spans="1:9" ht="12.75" customHeight="1">
      <c r="A939" s="176"/>
      <c r="B939" s="176"/>
      <c r="C939" s="175"/>
      <c r="D939" s="1061"/>
      <c r="E939" s="1061"/>
      <c r="F939" s="1061"/>
      <c r="G939" s="1023"/>
      <c r="I939" s="524"/>
    </row>
    <row r="940" spans="1:9" ht="12.75" customHeight="1">
      <c r="A940" s="176"/>
      <c r="B940" s="519" t="s">
        <v>2783</v>
      </c>
      <c r="C940" s="175"/>
      <c r="D940" s="1272" t="s">
        <v>2453</v>
      </c>
      <c r="E940" s="1272"/>
      <c r="F940" s="1272"/>
      <c r="G940" s="1023"/>
      <c r="I940" s="524"/>
    </row>
    <row r="941" spans="1:9" ht="12.75" customHeight="1">
      <c r="A941" s="176"/>
      <c r="B941" s="176"/>
      <c r="C941" s="175"/>
      <c r="D941" s="1272"/>
      <c r="E941" s="1272"/>
      <c r="F941" s="1272"/>
      <c r="G941" s="1023"/>
      <c r="I941" s="524"/>
    </row>
    <row r="942" spans="1:9" ht="12.75" customHeight="1">
      <c r="A942" s="176"/>
      <c r="B942" s="176"/>
      <c r="C942" s="175"/>
      <c r="D942" s="1272"/>
      <c r="E942" s="1272"/>
      <c r="F942" s="1272"/>
      <c r="G942" s="1023"/>
      <c r="I942" s="524"/>
    </row>
    <row r="943" spans="1:9" ht="12.75" customHeight="1">
      <c r="A943" s="176"/>
      <c r="B943" s="176"/>
      <c r="C943" s="175"/>
      <c r="D943" s="1272"/>
      <c r="E943" s="1272"/>
      <c r="F943" s="1272"/>
      <c r="G943" s="1023"/>
      <c r="I943" s="524"/>
    </row>
    <row r="944" spans="1:9" ht="12.75" customHeight="1">
      <c r="A944" s="176"/>
      <c r="B944" s="176"/>
      <c r="C944" s="175"/>
      <c r="D944" s="1272"/>
      <c r="E944" s="1272"/>
      <c r="F944" s="1272"/>
      <c r="G944" s="1023"/>
      <c r="I944" s="524"/>
    </row>
    <row r="945" spans="1:9" ht="12.75" customHeight="1">
      <c r="A945" s="176"/>
      <c r="B945" s="176"/>
      <c r="C945" s="175"/>
      <c r="D945" s="1272"/>
      <c r="E945" s="1272"/>
      <c r="F945" s="1272"/>
      <c r="G945" s="1023"/>
      <c r="I945" s="524"/>
    </row>
    <row r="946" spans="1:9" ht="12.75" customHeight="1">
      <c r="A946" s="176"/>
      <c r="B946" s="176"/>
      <c r="C946" s="175"/>
      <c r="D946" s="1061"/>
      <c r="E946" s="1061"/>
      <c r="F946" s="1061"/>
      <c r="G946" s="1023"/>
      <c r="I946" s="524"/>
    </row>
    <row r="947" spans="1:9" ht="12.75" customHeight="1">
      <c r="A947" s="1024"/>
      <c r="B947" s="519" t="s">
        <v>2783</v>
      </c>
      <c r="C947" s="1024"/>
      <c r="D947" s="1310" t="s">
        <v>1973</v>
      </c>
      <c r="E947" s="1310"/>
      <c r="F947" s="1310"/>
      <c r="G947" s="1023"/>
      <c r="I947" s="524"/>
    </row>
    <row r="948" spans="1:9" ht="12.75" customHeight="1">
      <c r="A948" s="1024"/>
      <c r="B948" s="1024"/>
      <c r="C948" s="1024"/>
      <c r="D948" s="1310"/>
      <c r="E948" s="1310"/>
      <c r="F948" s="1310"/>
      <c r="G948" s="1023"/>
      <c r="I948" s="524"/>
    </row>
    <row r="949" spans="1:9" ht="12.75" customHeight="1">
      <c r="A949" s="1024"/>
      <c r="B949" s="1024"/>
      <c r="C949" s="1024"/>
      <c r="D949" s="1310"/>
      <c r="E949" s="1310"/>
      <c r="F949" s="1310"/>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2783</v>
      </c>
      <c r="C952" s="175"/>
      <c r="D952" s="1273" t="s">
        <v>2162</v>
      </c>
      <c r="E952" s="1273"/>
      <c r="F952" s="1273"/>
      <c r="G952" s="1023"/>
      <c r="I952" s="524" t="s">
        <v>2161</v>
      </c>
    </row>
    <row r="953" spans="1:9" ht="12.75" customHeight="1">
      <c r="A953" s="176"/>
      <c r="B953" s="176"/>
      <c r="C953" s="175"/>
      <c r="D953" s="1273"/>
      <c r="E953" s="1273"/>
      <c r="F953" s="1273"/>
      <c r="G953" s="1023"/>
      <c r="I953" s="524"/>
    </row>
    <row r="954" spans="1:9" ht="12.75" customHeight="1">
      <c r="A954" s="176"/>
      <c r="B954" s="176"/>
      <c r="C954" s="175"/>
      <c r="D954" s="1273"/>
      <c r="E954" s="1273"/>
      <c r="F954" s="1273"/>
      <c r="G954" s="1023"/>
      <c r="I954" s="524"/>
    </row>
    <row r="955" spans="1:9" ht="12.75" customHeight="1">
      <c r="A955" s="176"/>
      <c r="B955" s="176"/>
      <c r="C955" s="175"/>
      <c r="D955" s="1273"/>
      <c r="E955" s="1273"/>
      <c r="F955" s="1273"/>
      <c r="G955" s="1023"/>
      <c r="I955" s="524"/>
    </row>
    <row r="956" spans="1:9" ht="12.75" customHeight="1">
      <c r="A956" s="1024"/>
      <c r="B956" s="1024"/>
      <c r="C956" s="1024"/>
      <c r="D956" s="1015"/>
      <c r="E956" s="1015"/>
      <c r="F956" s="1015"/>
      <c r="G956" s="1015"/>
      <c r="I956" s="524"/>
    </row>
    <row r="957" spans="1:9" ht="12.75" customHeight="1">
      <c r="A957" s="385"/>
      <c r="B957" s="385"/>
      <c r="C957" s="385"/>
      <c r="D957" s="1288" t="s">
        <v>1974</v>
      </c>
      <c r="E957" s="1288"/>
      <c r="F957" s="1288"/>
      <c r="G957" s="3"/>
      <c r="I957" s="524"/>
    </row>
    <row r="958" spans="1:9" ht="12.75" customHeight="1">
      <c r="A958" s="176"/>
      <c r="B958" s="519" t="s">
        <v>2783</v>
      </c>
      <c r="C958" s="385"/>
      <c r="D958" s="1289" t="s">
        <v>1998</v>
      </c>
      <c r="E958" s="1289"/>
      <c r="F958" s="1289"/>
      <c r="G958" s="3"/>
      <c r="I958" s="524" t="s">
        <v>2161</v>
      </c>
    </row>
    <row r="959" spans="1:9" ht="12.75" customHeight="1">
      <c r="A959" s="385"/>
      <c r="B959" s="385"/>
      <c r="C959" s="385"/>
      <c r="D959" s="3"/>
      <c r="E959" s="3"/>
      <c r="F959" s="3"/>
      <c r="G959" s="3"/>
      <c r="I959" s="524"/>
    </row>
    <row r="960" spans="1:9" ht="12.75" customHeight="1">
      <c r="A960" s="385"/>
      <c r="B960" s="385"/>
      <c r="C960" s="385"/>
      <c r="D960" s="1288" t="s">
        <v>1975</v>
      </c>
      <c r="E960" s="1288"/>
      <c r="F960" s="1288"/>
      <c r="G960"/>
      <c r="I960" s="524"/>
    </row>
    <row r="961" spans="1:9" ht="12.75" customHeight="1">
      <c r="A961" s="176"/>
      <c r="B961" s="519" t="s">
        <v>2778</v>
      </c>
      <c r="C961" s="385"/>
      <c r="D961" s="1269" t="s">
        <v>2382</v>
      </c>
      <c r="E961" s="1269"/>
      <c r="F961" s="1269"/>
      <c r="G961"/>
      <c r="I961" s="524" t="s">
        <v>2161</v>
      </c>
    </row>
    <row r="962" spans="1:9" ht="12.75" customHeight="1">
      <c r="A962" s="176"/>
      <c r="B962" s="176"/>
      <c r="C962" s="385"/>
      <c r="D962" s="1269"/>
      <c r="E962" s="1269"/>
      <c r="F962" s="1269"/>
      <c r="G962"/>
      <c r="I962" s="524"/>
    </row>
    <row r="963" spans="1:9" ht="12.75" customHeight="1">
      <c r="A963" s="176"/>
      <c r="B963" s="176"/>
      <c r="C963" s="385"/>
      <c r="D963" s="1269"/>
      <c r="E963" s="1269"/>
      <c r="F963" s="1269"/>
      <c r="G963"/>
      <c r="I963" s="524"/>
    </row>
    <row r="964" spans="1:9" ht="12.75" customHeight="1">
      <c r="A964" s="176"/>
      <c r="B964" s="176"/>
      <c r="C964" s="385"/>
      <c r="D964" s="1269"/>
      <c r="E964" s="1269"/>
      <c r="F964" s="1269"/>
      <c r="G964"/>
      <c r="I964" s="524"/>
    </row>
    <row r="965" spans="1:9" ht="12.75" customHeight="1">
      <c r="A965" s="176"/>
      <c r="B965" s="176"/>
      <c r="C965" s="385"/>
      <c r="D965" s="1269"/>
      <c r="E965" s="1269"/>
      <c r="F965" s="1269"/>
      <c r="G965"/>
      <c r="I965" s="524"/>
    </row>
    <row r="966" spans="1:9" ht="12.75" customHeight="1">
      <c r="A966" s="176"/>
      <c r="B966" s="176"/>
      <c r="C966" s="385"/>
      <c r="D966" s="1269"/>
      <c r="E966" s="1269"/>
      <c r="F966" s="1269"/>
      <c r="G966"/>
      <c r="I966" s="524"/>
    </row>
    <row r="967" spans="1:9" ht="12.75" customHeight="1">
      <c r="A967" s="176"/>
      <c r="B967" s="176"/>
      <c r="C967" s="385"/>
      <c r="D967" s="1269"/>
      <c r="E967" s="1269"/>
      <c r="F967" s="1269"/>
      <c r="G967"/>
      <c r="I967" s="524"/>
    </row>
    <row r="968" spans="1:9" ht="12.75" customHeight="1">
      <c r="A968" s="176"/>
      <c r="B968" s="176"/>
      <c r="C968" s="385"/>
      <c r="D968" s="1269"/>
      <c r="E968" s="1269"/>
      <c r="F968" s="1269"/>
      <c r="G968"/>
      <c r="I968" s="524"/>
    </row>
    <row r="969" spans="1:9" ht="12.75" customHeight="1">
      <c r="A969" s="176"/>
      <c r="B969" s="176"/>
      <c r="C969" s="385"/>
      <c r="D969" s="1269"/>
      <c r="E969" s="1269"/>
      <c r="F969" s="1269"/>
      <c r="G969"/>
      <c r="I969" s="524"/>
    </row>
    <row r="970" spans="1:9" ht="12.75" customHeight="1">
      <c r="A970" s="176"/>
      <c r="B970" s="176"/>
      <c r="C970" s="385"/>
      <c r="D970" s="1269"/>
      <c r="E970" s="1269"/>
      <c r="F970" s="1269"/>
      <c r="G970"/>
      <c r="I970" s="524"/>
    </row>
    <row r="971" spans="1:9" ht="12.75" customHeight="1">
      <c r="A971" s="176"/>
      <c r="B971" s="176"/>
      <c r="C971" s="385"/>
      <c r="D971" s="1269"/>
      <c r="E971" s="1269"/>
      <c r="F971" s="1269"/>
      <c r="G971"/>
      <c r="I971" s="524"/>
    </row>
    <row r="972" spans="1:9" ht="12.75" customHeight="1">
      <c r="A972" s="176"/>
      <c r="B972" s="176"/>
      <c r="C972" s="385"/>
      <c r="D972" s="1269"/>
      <c r="E972" s="1269"/>
      <c r="F972" s="1269"/>
      <c r="G972"/>
      <c r="I972" s="524"/>
    </row>
    <row r="973" spans="1:9" ht="12.75" customHeight="1">
      <c r="A973" s="176"/>
      <c r="B973" s="176"/>
      <c r="C973" s="385"/>
      <c r="D973" s="1269"/>
      <c r="E973" s="1269"/>
      <c r="F973" s="1269"/>
      <c r="G973"/>
      <c r="I973" s="524"/>
    </row>
    <row r="974" spans="1:9" ht="12.75" customHeight="1">
      <c r="A974" s="176"/>
      <c r="B974" s="176"/>
      <c r="C974" s="385"/>
      <c r="D974" s="1269"/>
      <c r="E974" s="1269"/>
      <c r="F974" s="1269"/>
      <c r="G974"/>
      <c r="I974" s="524"/>
    </row>
    <row r="975" spans="1:9" ht="12.75" customHeight="1">
      <c r="A975" s="176"/>
      <c r="B975" s="176"/>
      <c r="C975" s="385"/>
      <c r="D975" s="1269"/>
      <c r="E975" s="1269"/>
      <c r="F975" s="1269"/>
      <c r="G975" s="3"/>
      <c r="I975" s="524"/>
    </row>
    <row r="976" spans="1:9" ht="12.75" customHeight="1">
      <c r="A976" s="385"/>
      <c r="B976" s="385"/>
      <c r="C976" s="385"/>
      <c r="D976" s="3"/>
      <c r="E976" s="3"/>
      <c r="F976" s="3"/>
      <c r="G976" s="3"/>
      <c r="I976" s="524"/>
    </row>
    <row r="977" spans="1:9" ht="12.75" customHeight="1">
      <c r="A977" s="1297" t="s">
        <v>1976</v>
      </c>
      <c r="B977" s="1297"/>
      <c r="C977" s="1297"/>
      <c r="D977" s="1297"/>
      <c r="E977" s="1297"/>
      <c r="F977" s="1297"/>
      <c r="G977" s="1297"/>
      <c r="H977" s="1063"/>
      <c r="I977" s="1259"/>
    </row>
    <row r="978" spans="1:9" ht="12.75" customHeight="1">
      <c r="A978" s="118"/>
      <c r="B978" s="118"/>
      <c r="C978" s="385"/>
      <c r="D978" s="3"/>
      <c r="E978" s="3"/>
      <c r="F978" s="3"/>
      <c r="G978" s="3"/>
      <c r="I978" s="524"/>
    </row>
    <row r="979" spans="1:9" ht="12.75" customHeight="1">
      <c r="A979" s="385"/>
      <c r="B979" s="385"/>
      <c r="C979" s="1024"/>
      <c r="D979" s="1288" t="s">
        <v>1999</v>
      </c>
      <c r="E979" s="1288"/>
      <c r="F979" s="1288"/>
      <c r="G979" s="3"/>
      <c r="I979" s="524"/>
    </row>
    <row r="980" spans="1:9" ht="12.75" customHeight="1">
      <c r="A980" s="172"/>
      <c r="B980" s="172"/>
      <c r="C980" s="172"/>
      <c r="D980" s="1289" t="s">
        <v>1977</v>
      </c>
      <c r="E980" s="1289"/>
      <c r="F980" s="1289"/>
      <c r="G980" s="3"/>
      <c r="I980" s="524"/>
    </row>
    <row r="981" spans="1:9" ht="12.75" customHeight="1">
      <c r="A981" s="172"/>
      <c r="B981" s="172"/>
      <c r="C981" s="172"/>
      <c r="D981" s="3"/>
      <c r="E981" s="3"/>
      <c r="F981" s="1023"/>
      <c r="G981"/>
      <c r="I981" s="524"/>
    </row>
    <row r="982" spans="1:9" ht="12.75" customHeight="1">
      <c r="A982" s="385"/>
      <c r="B982" s="519" t="s">
        <v>2778</v>
      </c>
      <c r="C982" s="385"/>
      <c r="D982" s="1352" t="s">
        <v>2212</v>
      </c>
      <c r="E982" s="1352"/>
      <c r="F982" s="1352"/>
      <c r="G982"/>
      <c r="I982" s="524" t="s">
        <v>2141</v>
      </c>
    </row>
    <row r="983" spans="1:9" ht="12.75" customHeight="1">
      <c r="A983" s="385"/>
      <c r="B983" s="385"/>
      <c r="C983" s="385"/>
      <c r="D983" s="1352"/>
      <c r="E983" s="1352"/>
      <c r="F983" s="1352"/>
      <c r="G983"/>
      <c r="I983" s="524"/>
    </row>
    <row r="984" spans="1:9" ht="12.75" customHeight="1">
      <c r="A984" s="385"/>
      <c r="B984" s="385"/>
      <c r="C984" s="385"/>
      <c r="D984" s="1073"/>
      <c r="E984" s="1071" t="s">
        <v>2213</v>
      </c>
      <c r="F984" s="1073"/>
      <c r="G984"/>
      <c r="I984" s="524"/>
    </row>
    <row r="985" spans="1:9" ht="12.75" customHeight="1">
      <c r="A985" s="385"/>
      <c r="B985" s="385"/>
      <c r="C985" s="385"/>
      <c r="D985" s="1275" t="s">
        <v>2211</v>
      </c>
      <c r="E985" s="1275"/>
      <c r="F985" s="1275"/>
      <c r="G985"/>
      <c r="I985" s="524"/>
    </row>
    <row r="986" spans="1:9" ht="12.75" customHeight="1">
      <c r="A986" s="385"/>
      <c r="B986" s="385"/>
      <c r="C986" s="385"/>
      <c r="D986" s="1275"/>
      <c r="E986" s="1275"/>
      <c r="F986" s="1275"/>
      <c r="G986"/>
      <c r="I986" s="524"/>
    </row>
    <row r="987" spans="1:9" ht="12.75" customHeight="1">
      <c r="A987" s="175"/>
      <c r="B987" s="175"/>
      <c r="C987" s="175"/>
      <c r="D987" s="1275"/>
      <c r="E987" s="1275"/>
      <c r="F987" s="1275"/>
      <c r="G987"/>
      <c r="I987" s="524"/>
    </row>
    <row r="988" spans="1:9" ht="12.75" customHeight="1">
      <c r="A988" s="175"/>
      <c r="B988" s="175"/>
      <c r="C988" s="175"/>
      <c r="D988" s="1275"/>
      <c r="E988" s="1275"/>
      <c r="F988" s="1275"/>
      <c r="G988"/>
      <c r="I988" s="524"/>
    </row>
    <row r="989" spans="1:9" ht="12.75" customHeight="1">
      <c r="A989" s="175"/>
      <c r="B989" s="175"/>
      <c r="C989" s="175"/>
      <c r="D989" s="363"/>
      <c r="E989" s="363"/>
      <c r="F989" s="363"/>
      <c r="G989"/>
      <c r="I989" s="524"/>
    </row>
    <row r="990" spans="1:9" ht="12.75" customHeight="1">
      <c r="A990" s="175"/>
      <c r="B990" s="519" t="s">
        <v>2783</v>
      </c>
      <c r="C990" s="175"/>
      <c r="D990" s="1269" t="s">
        <v>1978</v>
      </c>
      <c r="E990" s="1269"/>
      <c r="F990" s="1269"/>
      <c r="G990"/>
      <c r="I990" s="524"/>
    </row>
    <row r="991" spans="1:9" ht="12.75" customHeight="1">
      <c r="A991" s="175"/>
      <c r="B991" s="175"/>
      <c r="C991" s="175"/>
      <c r="D991" s="1269"/>
      <c r="E991" s="1269"/>
      <c r="F991" s="1269"/>
      <c r="G991"/>
      <c r="I991" s="524"/>
    </row>
    <row r="992" spans="1:9" ht="12.75" customHeight="1">
      <c r="A992" s="175"/>
      <c r="B992" s="175"/>
      <c r="C992" s="175"/>
      <c r="D992" s="1269"/>
      <c r="E992" s="1269"/>
      <c r="F992" s="1269"/>
      <c r="G992"/>
      <c r="I992" s="524"/>
    </row>
    <row r="993" spans="1:9" ht="12.75" customHeight="1">
      <c r="A993" s="175"/>
      <c r="B993" s="175"/>
      <c r="C993" s="175"/>
      <c r="D993" s="1269"/>
      <c r="E993" s="1269"/>
      <c r="F993" s="1269"/>
      <c r="G993"/>
      <c r="I993" s="524"/>
    </row>
    <row r="994" spans="1:9" ht="12.75" customHeight="1">
      <c r="A994" s="175"/>
      <c r="B994" s="175"/>
      <c r="C994" s="175"/>
      <c r="D994" s="474"/>
      <c r="E994" s="474"/>
      <c r="F994" s="474"/>
      <c r="G994"/>
      <c r="I994" s="524"/>
    </row>
    <row r="995" spans="1:9" ht="12.75" customHeight="1">
      <c r="A995" s="175"/>
      <c r="B995" s="519" t="s">
        <v>2783</v>
      </c>
      <c r="C995" s="175"/>
      <c r="D995" s="1269" t="s">
        <v>1979</v>
      </c>
      <c r="E995" s="1269"/>
      <c r="F995" s="1269"/>
      <c r="G995"/>
      <c r="I995" s="524"/>
    </row>
    <row r="996" spans="1:9" ht="12.75" customHeight="1">
      <c r="A996" s="175"/>
      <c r="B996" s="175"/>
      <c r="C996" s="175"/>
      <c r="D996" s="1269"/>
      <c r="E996" s="1269"/>
      <c r="F996" s="1269"/>
      <c r="G996"/>
      <c r="I996" s="524"/>
    </row>
    <row r="997" spans="1:9" ht="12.75" customHeight="1">
      <c r="A997" s="175"/>
      <c r="B997" s="175"/>
      <c r="C997" s="175"/>
      <c r="D997" s="474"/>
      <c r="E997" s="474"/>
      <c r="F997" s="474"/>
      <c r="G997"/>
      <c r="I997" s="524"/>
    </row>
    <row r="998" spans="1:9" ht="12.75" customHeight="1">
      <c r="A998" s="176"/>
      <c r="B998" s="519" t="s">
        <v>2783</v>
      </c>
      <c r="C998" s="385"/>
      <c r="D998" s="1289" t="s">
        <v>1980</v>
      </c>
      <c r="E998" s="1289"/>
      <c r="F998" s="1289"/>
      <c r="G998"/>
      <c r="I998" s="524"/>
    </row>
    <row r="999" spans="1:9" ht="12.75" customHeight="1">
      <c r="A999" s="385"/>
      <c r="B999" s="385"/>
      <c r="C999" s="385"/>
      <c r="D999" s="3"/>
      <c r="E999" s="3"/>
      <c r="F999" s="3"/>
      <c r="G999"/>
      <c r="I999" s="524"/>
    </row>
    <row r="1000" spans="1:9" ht="12.75" customHeight="1">
      <c r="A1000" s="176"/>
      <c r="B1000" s="519" t="s">
        <v>2783</v>
      </c>
      <c r="C1000" s="385"/>
      <c r="D1000" s="1289" t="s">
        <v>1981</v>
      </c>
      <c r="E1000" s="1289"/>
      <c r="F1000" s="1289"/>
      <c r="G1000"/>
      <c r="I1000" s="524"/>
    </row>
    <row r="1001" spans="1:9" ht="12.75" customHeight="1">
      <c r="A1001" s="385"/>
      <c r="B1001" s="385"/>
      <c r="C1001" s="385"/>
      <c r="D1001" s="118"/>
      <c r="E1001" s="3"/>
      <c r="F1001" s="3"/>
      <c r="G1001"/>
      <c r="I1001" s="524"/>
    </row>
    <row r="1002" spans="1:9" ht="12.75" customHeight="1">
      <c r="A1002" s="176"/>
      <c r="B1002" s="519" t="s">
        <v>2778</v>
      </c>
      <c r="C1002" s="385"/>
      <c r="D1002" s="1289" t="s">
        <v>1982</v>
      </c>
      <c r="E1002" s="1289"/>
      <c r="F1002" s="1289"/>
      <c r="G1002"/>
      <c r="I1002" s="524"/>
    </row>
    <row r="1003" spans="1:9" ht="12.75" customHeight="1">
      <c r="A1003" s="385"/>
      <c r="B1003" s="385"/>
      <c r="C1003" s="385"/>
      <c r="D1003" s="118"/>
      <c r="E1003" s="3"/>
      <c r="F1003" s="3"/>
      <c r="G1003"/>
      <c r="I1003" s="524"/>
    </row>
    <row r="1004" spans="1:9" ht="12.75" customHeight="1">
      <c r="A1004" s="176"/>
      <c r="B1004" s="519" t="s">
        <v>2778</v>
      </c>
      <c r="C1004" s="385"/>
      <c r="D1004" s="1269" t="s">
        <v>1983</v>
      </c>
      <c r="E1004" s="1269"/>
      <c r="F1004" s="1269"/>
      <c r="G1004"/>
      <c r="I1004" s="524"/>
    </row>
    <row r="1005" spans="1:9" ht="12.75" customHeight="1">
      <c r="A1005" s="176"/>
      <c r="B1005" s="176"/>
      <c r="C1005" s="385"/>
      <c r="D1005" s="1269"/>
      <c r="E1005" s="1269"/>
      <c r="F1005" s="1269"/>
      <c r="G1005"/>
      <c r="I1005" s="524"/>
    </row>
    <row r="1006" spans="1:9" ht="12.75" customHeight="1">
      <c r="A1006" s="176"/>
      <c r="B1006" s="176"/>
      <c r="C1006" s="385"/>
      <c r="D1006" s="118"/>
      <c r="E1006" s="3"/>
      <c r="F1006" s="3"/>
      <c r="G1006" s="3"/>
      <c r="I1006" s="524"/>
    </row>
    <row r="1007" spans="1:9" ht="12.75" customHeight="1">
      <c r="A1007" s="272"/>
      <c r="B1007" s="519" t="s">
        <v>2783</v>
      </c>
      <c r="C1007" s="1035"/>
      <c r="D1007" s="1302" t="s">
        <v>1984</v>
      </c>
      <c r="E1007" s="1302"/>
      <c r="F1007" s="1302"/>
      <c r="G1007" s="1036"/>
      <c r="I1007" s="524"/>
    </row>
    <row r="1008" spans="1:9" ht="12.75" customHeight="1">
      <c r="A1008" s="1035"/>
      <c r="B1008" s="1035"/>
      <c r="C1008" s="1035"/>
      <c r="D1008" s="1302"/>
      <c r="E1008" s="1302"/>
      <c r="F1008" s="1302"/>
      <c r="G1008" s="1036"/>
      <c r="I1008" s="524"/>
    </row>
    <row r="1009" spans="1:9" ht="12.75" customHeight="1">
      <c r="A1009" s="1035"/>
      <c r="B1009" s="1035"/>
      <c r="C1009" s="1035"/>
      <c r="D1009" s="1019"/>
      <c r="E1009" s="1036"/>
      <c r="F1009" s="1036"/>
      <c r="G1009" s="1036"/>
      <c r="I1009" s="524"/>
    </row>
    <row r="1010" spans="1:9" ht="12.75" customHeight="1">
      <c r="A1010" s="272"/>
      <c r="B1010" s="519" t="s">
        <v>2783</v>
      </c>
      <c r="C1010" s="1035"/>
      <c r="D1010" s="1351" t="s">
        <v>1985</v>
      </c>
      <c r="E1010" s="1351"/>
      <c r="F1010" s="1351"/>
      <c r="G1010" s="1036"/>
      <c r="I1010" s="524"/>
    </row>
    <row r="1011" spans="1:9" ht="12.75" customHeight="1">
      <c r="A1011" s="1035"/>
      <c r="B1011" s="1035"/>
      <c r="C1011" s="1035"/>
      <c r="D1011" s="1019"/>
      <c r="E1011" s="1036"/>
      <c r="F1011" s="1036"/>
      <c r="G1011" s="1036"/>
      <c r="I1011" s="524"/>
    </row>
    <row r="1012" spans="1:9" ht="12.75" customHeight="1">
      <c r="A1012" s="176"/>
      <c r="B1012" s="519" t="s">
        <v>2778</v>
      </c>
      <c r="C1012" s="385"/>
      <c r="D1012" s="1289" t="s">
        <v>1986</v>
      </c>
      <c r="E1012" s="1289"/>
      <c r="F1012" s="1289"/>
      <c r="G1012" s="3"/>
      <c r="I1012" s="524"/>
    </row>
    <row r="1013" spans="1:9" ht="12.75" customHeight="1">
      <c r="A1013" s="176"/>
      <c r="B1013" s="176"/>
      <c r="C1013" s="385"/>
      <c r="D1013" s="118"/>
      <c r="E1013" s="3"/>
      <c r="F1013" s="3"/>
      <c r="G1013" s="3"/>
      <c r="I1013" s="524"/>
    </row>
    <row r="1014" spans="1:9" ht="12.75" customHeight="1">
      <c r="A1014" s="176"/>
      <c r="B1014" s="519" t="s">
        <v>2783</v>
      </c>
      <c r="C1014" s="385"/>
      <c r="D1014" s="1269" t="s">
        <v>1987</v>
      </c>
      <c r="E1014" s="1269"/>
      <c r="F1014" s="1269"/>
      <c r="G1014" s="3"/>
      <c r="I1014" s="524"/>
    </row>
    <row r="1015" spans="1:9" ht="12.75" customHeight="1">
      <c r="A1015" s="176"/>
      <c r="B1015" s="176"/>
      <c r="C1015" s="385"/>
      <c r="D1015" s="1269"/>
      <c r="E1015" s="1269"/>
      <c r="F1015" s="1269"/>
      <c r="G1015" s="3"/>
      <c r="I1015" s="524"/>
    </row>
    <row r="1016" spans="1:9" ht="12.75" customHeight="1">
      <c r="A1016" s="385"/>
      <c r="B1016" s="385"/>
      <c r="C1016" s="385"/>
      <c r="D1016" s="3"/>
      <c r="E1016" s="3"/>
      <c r="F1016" s="3"/>
      <c r="G1016" s="3"/>
      <c r="I1016" s="524"/>
    </row>
    <row r="1017" spans="1:9" ht="12.75" customHeight="1">
      <c r="A1017" s="1297" t="s">
        <v>1988</v>
      </c>
      <c r="B1017" s="1297"/>
      <c r="C1017" s="1297"/>
      <c r="D1017" s="1297"/>
      <c r="E1017" s="1297"/>
      <c r="F1017" s="1297"/>
      <c r="G1017" s="1297"/>
      <c r="H1017" s="1063"/>
      <c r="I1017" s="1259"/>
    </row>
    <row r="1018" spans="1:9" ht="12.75" customHeight="1">
      <c r="A1018" s="385"/>
      <c r="B1018" s="385"/>
      <c r="C1018" s="385"/>
      <c r="D1018" s="3"/>
      <c r="E1018" s="3"/>
      <c r="F1018" s="3"/>
      <c r="G1018" s="3"/>
      <c r="I1018" s="524"/>
    </row>
    <row r="1019" spans="1:9" ht="12.75" customHeight="1">
      <c r="A1019" s="385"/>
      <c r="B1019" s="385"/>
      <c r="C1019" s="385"/>
      <c r="D1019" s="1303" t="s">
        <v>1989</v>
      </c>
      <c r="E1019" s="1303"/>
      <c r="F1019" s="1303"/>
      <c r="G1019" s="3"/>
      <c r="I1019" s="524"/>
    </row>
    <row r="1020" spans="1:9" ht="12.75" customHeight="1">
      <c r="A1020" s="385"/>
      <c r="B1020" s="385"/>
      <c r="C1020" s="385"/>
      <c r="D1020" s="1351" t="s">
        <v>1990</v>
      </c>
      <c r="E1020" s="1351"/>
      <c r="F1020" s="1351"/>
      <c r="G1020" s="3"/>
      <c r="I1020" s="524"/>
    </row>
    <row r="1021" spans="1:9" ht="12.75" customHeight="1">
      <c r="A1021" s="172"/>
      <c r="B1021" s="172"/>
      <c r="C1021" s="172"/>
      <c r="D1021" s="3"/>
      <c r="E1021" s="3"/>
      <c r="F1021" s="3"/>
      <c r="G1021" s="3"/>
      <c r="I1021" s="524"/>
    </row>
    <row r="1022" spans="1:9" ht="12.75" customHeight="1">
      <c r="A1022" s="176"/>
      <c r="B1022" s="176"/>
      <c r="C1022" s="175"/>
      <c r="D1022" s="1303" t="s">
        <v>2004</v>
      </c>
      <c r="E1022" s="1303"/>
      <c r="F1022" s="1303"/>
      <c r="G1022" s="3"/>
      <c r="I1022" s="524" t="s">
        <v>2113</v>
      </c>
    </row>
    <row r="1023" spans="1:9" ht="12.75" customHeight="1">
      <c r="A1023" s="385"/>
      <c r="B1023" s="519" t="s">
        <v>2778</v>
      </c>
      <c r="C1023" s="385"/>
      <c r="D1023" s="1351" t="s">
        <v>1381</v>
      </c>
      <c r="E1023" s="1351"/>
      <c r="F1023" s="1351"/>
      <c r="G1023" s="3"/>
      <c r="I1023" s="524"/>
    </row>
    <row r="1024" spans="1:9" ht="12.75" customHeight="1">
      <c r="A1024" s="385"/>
      <c r="B1024" s="176"/>
      <c r="C1024" s="385"/>
      <c r="D1024" s="1351" t="s">
        <v>1991</v>
      </c>
      <c r="E1024" s="1351"/>
      <c r="F1024" s="1351"/>
      <c r="G1024" s="3"/>
      <c r="I1024" s="524"/>
    </row>
    <row r="1025" spans="1:9" ht="12.75" customHeight="1">
      <c r="A1025" s="385"/>
      <c r="B1025" s="385"/>
      <c r="C1025" s="385"/>
      <c r="D1025" s="1351"/>
      <c r="E1025" s="1351"/>
      <c r="F1025" s="1351"/>
      <c r="G1025" s="3"/>
      <c r="I1025" s="524"/>
    </row>
    <row r="1026" spans="1:9" ht="12.75" customHeight="1">
      <c r="A1026" s="1297" t="s">
        <v>2000</v>
      </c>
      <c r="B1026" s="1297"/>
      <c r="C1026" s="1297"/>
      <c r="D1026" s="1297"/>
      <c r="E1026" s="1297"/>
      <c r="F1026" s="1297"/>
      <c r="G1026" s="1297"/>
      <c r="H1026" s="1063"/>
      <c r="I1026" s="1259"/>
    </row>
    <row r="1027" spans="1:9" ht="12.75" customHeight="1">
      <c r="A1027" s="118"/>
      <c r="B1027" s="118"/>
      <c r="C1027" s="385"/>
      <c r="D1027" s="3"/>
      <c r="E1027" s="3"/>
      <c r="F1027" s="3"/>
      <c r="G1027" s="3"/>
      <c r="I1027" s="524"/>
    </row>
    <row r="1028" spans="1:9" ht="12.75" hidden="1" customHeight="1">
      <c r="A1028" s="118"/>
      <c r="B1028" s="433"/>
      <c r="D1028" s="1298" t="s">
        <v>1382</v>
      </c>
      <c r="E1028" s="1298"/>
      <c r="F1028" s="1298"/>
      <c r="G1028" s="3"/>
      <c r="I1028" s="524"/>
    </row>
    <row r="1029" spans="1:9" ht="12.75" hidden="1" customHeight="1">
      <c r="A1029" s="118"/>
      <c r="B1029" s="519" t="s">
        <v>308</v>
      </c>
      <c r="D1029" s="1283" t="s">
        <v>1381</v>
      </c>
      <c r="E1029" s="1283"/>
      <c r="F1029" s="1283"/>
      <c r="G1029" s="3"/>
      <c r="I1029" s="524"/>
    </row>
    <row r="1030" spans="1:9" ht="12.75" hidden="1" customHeight="1">
      <c r="A1030" s="118"/>
      <c r="B1030" s="433"/>
      <c r="D1030" s="1283" t="s">
        <v>2001</v>
      </c>
      <c r="E1030" s="1283"/>
      <c r="F1030" s="1283"/>
      <c r="G1030" s="3"/>
      <c r="I1030" s="524"/>
    </row>
    <row r="1031" spans="1:9" ht="12.75" hidden="1" customHeight="1">
      <c r="A1031" s="118"/>
      <c r="B1031" s="433"/>
      <c r="D1031" s="478"/>
      <c r="E1031" s="478"/>
      <c r="F1031" s="478"/>
      <c r="G1031" s="3"/>
      <c r="I1031" s="524"/>
    </row>
    <row r="1032" spans="1:9" ht="12.75" customHeight="1">
      <c r="A1032" s="118"/>
      <c r="B1032" s="118"/>
      <c r="C1032" s="385"/>
      <c r="D1032" s="1357" t="s">
        <v>1095</v>
      </c>
      <c r="E1032" s="1357"/>
      <c r="F1032" s="1357"/>
      <c r="G1032" s="3"/>
      <c r="I1032" s="524" t="s">
        <v>2142</v>
      </c>
    </row>
    <row r="1033" spans="1:9" ht="12.75" customHeight="1">
      <c r="A1033" s="345"/>
      <c r="B1033" s="345"/>
      <c r="C1033" s="345"/>
      <c r="D1033" s="1293" t="s">
        <v>1112</v>
      </c>
      <c r="E1033" s="1293"/>
      <c r="F1033" s="1293"/>
      <c r="G1033" s="98"/>
      <c r="I1033" s="524"/>
    </row>
    <row r="1034" spans="1:9" ht="12.75" customHeight="1">
      <c r="A1034" s="176"/>
      <c r="B1034" s="519" t="s">
        <v>2783</v>
      </c>
      <c r="C1034" s="385"/>
      <c r="D1034" s="1293" t="s">
        <v>1005</v>
      </c>
      <c r="E1034" s="1293"/>
      <c r="F1034" s="1293"/>
      <c r="G1034" s="3"/>
      <c r="I1034" s="524"/>
    </row>
    <row r="1035" spans="1:9" ht="12.75" customHeight="1">
      <c r="A1035" s="385"/>
      <c r="B1035" s="385"/>
      <c r="C1035" s="385"/>
      <c r="D1035" s="1071" t="s">
        <v>2214</v>
      </c>
      <c r="E1035" s="96"/>
      <c r="F1035" s="96"/>
      <c r="G1035" s="3"/>
      <c r="I1035" s="524"/>
    </row>
    <row r="1036" spans="1:9">
      <c r="A1036" s="433"/>
      <c r="B1036" s="433"/>
      <c r="C1036" s="433"/>
      <c r="I1036" s="524"/>
    </row>
    <row r="1037" spans="1:9">
      <c r="A1037" s="1297" t="s">
        <v>2021</v>
      </c>
      <c r="B1037" s="1297"/>
      <c r="C1037" s="1297"/>
      <c r="D1037" s="1297"/>
      <c r="E1037" s="1297"/>
      <c r="F1037" s="1297"/>
      <c r="G1037" s="1297"/>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2783</v>
      </c>
      <c r="C1042" s="433"/>
      <c r="D1042" s="1354" t="s">
        <v>2005</v>
      </c>
      <c r="E1042" s="1354"/>
      <c r="F1042" s="1354"/>
      <c r="I1042" s="524" t="s">
        <v>2114</v>
      </c>
    </row>
    <row r="1043" spans="1:9">
      <c r="A1043" s="433"/>
      <c r="B1043" s="433"/>
      <c r="C1043" s="433"/>
      <c r="D1043" s="1354"/>
      <c r="E1043" s="1354"/>
      <c r="F1043" s="1354"/>
      <c r="I1043" s="524"/>
    </row>
    <row r="1044" spans="1:9">
      <c r="A1044" s="433"/>
      <c r="B1044" s="433"/>
      <c r="C1044" s="433"/>
      <c r="D1044" s="1354"/>
      <c r="E1044" s="1354"/>
      <c r="F1044" s="1354"/>
      <c r="I1044" s="524"/>
    </row>
    <row r="1045" spans="1:9">
      <c r="A1045" s="433"/>
      <c r="B1045" s="433"/>
      <c r="C1045" s="433"/>
      <c r="D1045" s="1354"/>
      <c r="E1045" s="1354"/>
      <c r="F1045" s="1354"/>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2778</v>
      </c>
      <c r="C1050" s="433"/>
      <c r="D1050" s="433" t="s">
        <v>2003</v>
      </c>
      <c r="I1050" s="524" t="s">
        <v>2115</v>
      </c>
    </row>
    <row r="1051" spans="1:9">
      <c r="A1051" s="433"/>
      <c r="B1051" s="433"/>
      <c r="C1051" s="433"/>
      <c r="I1051" s="524"/>
    </row>
    <row r="1052" spans="1:9">
      <c r="A1052" s="433"/>
      <c r="B1052" s="519" t="s">
        <v>2778</v>
      </c>
      <c r="C1052" s="433"/>
      <c r="D1052" s="1354" t="s">
        <v>2009</v>
      </c>
      <c r="E1052" s="1354"/>
      <c r="F1052" s="1354"/>
      <c r="I1052" s="524" t="s">
        <v>2116</v>
      </c>
    </row>
    <row r="1053" spans="1:9">
      <c r="A1053" s="433"/>
      <c r="B1053" s="433"/>
      <c r="C1053" s="433"/>
      <c r="D1053" s="1354"/>
      <c r="E1053" s="1354"/>
      <c r="F1053" s="1354"/>
      <c r="I1053" s="524"/>
    </row>
    <row r="1054" spans="1:9">
      <c r="A1054" s="433"/>
      <c r="B1054" s="433"/>
      <c r="C1054" s="433"/>
      <c r="D1054" s="1354"/>
      <c r="E1054" s="1354"/>
      <c r="F1054" s="1354"/>
      <c r="I1054" s="524"/>
    </row>
    <row r="1055" spans="1:9">
      <c r="A1055" s="433"/>
      <c r="B1055" s="433"/>
      <c r="C1055" s="433"/>
      <c r="D1055" s="1354"/>
      <c r="E1055" s="1354"/>
      <c r="F1055" s="1354"/>
      <c r="I1055" s="524"/>
    </row>
    <row r="1056" spans="1:9">
      <c r="A1056" s="433"/>
      <c r="B1056" s="433"/>
      <c r="C1056" s="433"/>
      <c r="D1056" s="1354"/>
      <c r="E1056" s="1354"/>
      <c r="F1056" s="1354"/>
      <c r="I1056" s="524"/>
    </row>
    <row r="1057" spans="1:9">
      <c r="A1057" s="433"/>
      <c r="B1057" s="433"/>
      <c r="C1057" s="433"/>
      <c r="I1057" s="524"/>
    </row>
    <row r="1058" spans="1:9">
      <c r="A1058" s="1297" t="s">
        <v>2010</v>
      </c>
      <c r="B1058" s="1297"/>
      <c r="C1058" s="1297"/>
      <c r="D1058" s="1297"/>
      <c r="E1058" s="1297"/>
      <c r="F1058" s="1297"/>
      <c r="G1058" s="1297"/>
      <c r="H1058" s="1063"/>
      <c r="I1058" s="1259"/>
    </row>
    <row r="1059" spans="1:9">
      <c r="A1059" s="433"/>
      <c r="B1059" s="433"/>
      <c r="C1059" s="433"/>
      <c r="I1059" s="524"/>
    </row>
    <row r="1060" spans="1:9">
      <c r="A1060" s="433"/>
      <c r="B1060" s="433"/>
      <c r="C1060" s="433"/>
      <c r="I1060" s="524"/>
    </row>
    <row r="1061" spans="1:9">
      <c r="A1061" s="433"/>
      <c r="B1061" s="519" t="s">
        <v>2778</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2783</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2783</v>
      </c>
      <c r="C1067" s="433"/>
      <c r="D1067" s="119" t="s">
        <v>2019</v>
      </c>
      <c r="I1067" s="524" t="s">
        <v>2119</v>
      </c>
    </row>
    <row r="1068" spans="1:9">
      <c r="A1068" s="433"/>
      <c r="B1068" s="433"/>
      <c r="C1068" s="433"/>
      <c r="D1068" s="1269" t="s">
        <v>2020</v>
      </c>
      <c r="E1068" s="1269"/>
      <c r="F1068" s="1269"/>
      <c r="I1068" s="524"/>
    </row>
    <row r="1069" spans="1:9">
      <c r="A1069" s="433"/>
      <c r="B1069" s="433"/>
      <c r="C1069" s="433"/>
      <c r="D1069" s="1269"/>
      <c r="E1069" s="1269"/>
      <c r="F1069" s="1269"/>
      <c r="I1069" s="524"/>
    </row>
    <row r="1070" spans="1:9">
      <c r="A1070" s="433"/>
      <c r="B1070" s="433"/>
      <c r="C1070" s="433"/>
      <c r="D1070" s="1269"/>
      <c r="E1070" s="1269"/>
      <c r="F1070" s="1269"/>
      <c r="I1070" s="524"/>
    </row>
    <row r="1071" spans="1:9">
      <c r="A1071" s="433"/>
      <c r="B1071" s="433"/>
      <c r="C1071" s="433"/>
      <c r="D1071" s="1269"/>
      <c r="E1071" s="1269"/>
      <c r="F1071" s="1269"/>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2783</v>
      </c>
      <c r="C1075" s="433"/>
      <c r="D1075" s="1353" t="s">
        <v>2012</v>
      </c>
      <c r="E1075" s="1353"/>
      <c r="F1075" s="1353"/>
      <c r="I1075" s="524"/>
    </row>
    <row r="1076" spans="1:9">
      <c r="A1076" s="433"/>
      <c r="B1076" s="433"/>
      <c r="C1076" s="433"/>
      <c r="D1076" s="1353"/>
      <c r="E1076" s="1353"/>
      <c r="F1076" s="1353"/>
      <c r="I1076" s="524"/>
    </row>
    <row r="1077" spans="1:9">
      <c r="A1077" s="433"/>
      <c r="B1077" s="433"/>
      <c r="C1077" s="433"/>
      <c r="D1077" s="1353"/>
      <c r="E1077" s="1353"/>
      <c r="F1077" s="1353"/>
      <c r="I1077" s="524"/>
    </row>
    <row r="1078" spans="1:9">
      <c r="A1078" s="433"/>
      <c r="B1078" s="433"/>
      <c r="C1078" s="433"/>
      <c r="D1078" s="1353"/>
      <c r="E1078" s="1353"/>
      <c r="F1078" s="1353"/>
      <c r="I1078" s="524"/>
    </row>
    <row r="1079" spans="1:9">
      <c r="A1079" s="433"/>
      <c r="B1079" s="433"/>
      <c r="C1079" s="433"/>
      <c r="D1079" s="1353"/>
      <c r="E1079" s="1353"/>
      <c r="F1079" s="1353"/>
      <c r="I1079" s="524"/>
    </row>
    <row r="1080" spans="1:9">
      <c r="A1080" s="433"/>
      <c r="B1080" s="433"/>
      <c r="C1080" s="433"/>
      <c r="D1080" s="561" t="s">
        <v>2017</v>
      </c>
      <c r="I1080" s="524"/>
    </row>
    <row r="1081" spans="1:9">
      <c r="A1081" s="433"/>
      <c r="B1081" s="433"/>
      <c r="C1081" s="433"/>
      <c r="I1081" s="524"/>
    </row>
    <row r="1082" spans="1:9">
      <c r="A1082" s="1297" t="s">
        <v>2022</v>
      </c>
      <c r="B1082" s="1297"/>
      <c r="C1082" s="1297"/>
      <c r="D1082" s="1297"/>
      <c r="E1082" s="1297"/>
      <c r="F1082" s="1297"/>
      <c r="G1082" s="1297"/>
      <c r="H1082" s="1063"/>
      <c r="I1082" s="1259"/>
    </row>
    <row r="1083" spans="1:9">
      <c r="A1083" s="433"/>
      <c r="B1083" s="433"/>
      <c r="C1083" s="433"/>
      <c r="I1083" s="524"/>
    </row>
    <row r="1084" spans="1:9">
      <c r="A1084" s="433"/>
      <c r="B1084" s="433"/>
      <c r="C1084" s="433"/>
      <c r="I1084" s="524"/>
    </row>
    <row r="1085" spans="1:9" ht="12.75" customHeight="1">
      <c r="A1085" s="433"/>
      <c r="B1085" s="519" t="s">
        <v>2783</v>
      </c>
      <c r="C1085" s="433"/>
      <c r="D1085" s="1355" t="s">
        <v>2226</v>
      </c>
      <c r="E1085" s="1355"/>
      <c r="F1085" s="1355"/>
      <c r="I1085" s="524" t="s">
        <v>2121</v>
      </c>
    </row>
    <row r="1086" spans="1:9">
      <c r="A1086" s="433"/>
      <c r="B1086" s="433"/>
      <c r="C1086" s="433"/>
      <c r="D1086" s="1355"/>
      <c r="E1086" s="1355"/>
      <c r="F1086" s="1355"/>
      <c r="I1086" s="524"/>
    </row>
    <row r="1087" spans="1:9">
      <c r="A1087" s="433"/>
      <c r="B1087" s="433"/>
      <c r="C1087" s="433"/>
      <c r="D1087" s="1356" t="s">
        <v>2495</v>
      </c>
      <c r="E1087" s="1269"/>
      <c r="F1087" s="1269"/>
      <c r="I1087" s="524"/>
    </row>
    <row r="1088" spans="1:9">
      <c r="A1088" s="433"/>
      <c r="B1088" s="433"/>
      <c r="C1088" s="433"/>
      <c r="D1088" s="561"/>
      <c r="I1088" s="524"/>
    </row>
    <row r="1089" spans="1:9">
      <c r="A1089" s="433"/>
      <c r="B1089" s="519" t="s">
        <v>2783</v>
      </c>
      <c r="C1089" s="433"/>
      <c r="D1089" s="1353" t="s">
        <v>2023</v>
      </c>
      <c r="E1089" s="1353"/>
      <c r="F1089" s="1353"/>
      <c r="I1089" s="524" t="s">
        <v>2122</v>
      </c>
    </row>
    <row r="1090" spans="1:9">
      <c r="A1090" s="433"/>
      <c r="B1090" s="433"/>
      <c r="C1090" s="433"/>
      <c r="D1090" s="1353"/>
      <c r="E1090" s="1353"/>
      <c r="F1090" s="1353"/>
      <c r="I1090" s="524"/>
    </row>
    <row r="1091" spans="1:9">
      <c r="A1091" s="433"/>
      <c r="B1091" s="433"/>
      <c r="C1091" s="433"/>
      <c r="D1091" s="561"/>
      <c r="I1091" s="524"/>
    </row>
    <row r="1092" spans="1:9">
      <c r="A1092" s="433"/>
      <c r="B1092" s="519" t="s">
        <v>2783</v>
      </c>
      <c r="C1092" s="433"/>
      <c r="D1092" s="1353" t="s">
        <v>2166</v>
      </c>
      <c r="E1092" s="1353"/>
      <c r="F1092" s="1353"/>
      <c r="I1092" s="524" t="s">
        <v>2164</v>
      </c>
    </row>
    <row r="1093" spans="1:9">
      <c r="A1093" s="433"/>
      <c r="B1093" s="433"/>
      <c r="C1093" s="433"/>
      <c r="D1093" s="1353"/>
      <c r="E1093" s="1353"/>
      <c r="F1093" s="1353"/>
      <c r="I1093" s="524"/>
    </row>
    <row r="1094" spans="1:9">
      <c r="A1094" s="433"/>
      <c r="B1094" s="433"/>
      <c r="C1094" s="433"/>
      <c r="D1094" s="1353"/>
      <c r="E1094" s="1353"/>
      <c r="F1094" s="1353"/>
      <c r="I1094" s="524"/>
    </row>
    <row r="1095" spans="1:9">
      <c r="A1095" s="433"/>
      <c r="B1095" s="433"/>
      <c r="C1095" s="433"/>
      <c r="D1095" s="1353"/>
      <c r="E1095" s="1353"/>
      <c r="F1095" s="1353"/>
      <c r="I1095" s="524"/>
    </row>
    <row r="1096" spans="1:9">
      <c r="A1096" s="433"/>
      <c r="B1096" s="433"/>
      <c r="C1096" s="433"/>
      <c r="D1096" s="1353"/>
      <c r="E1096" s="1353"/>
      <c r="F1096" s="1353"/>
      <c r="I1096" s="524"/>
    </row>
    <row r="1097" spans="1:9">
      <c r="A1097" s="433"/>
      <c r="B1097" s="433"/>
      <c r="C1097" s="433"/>
      <c r="D1097" s="1353"/>
      <c r="E1097" s="1353"/>
      <c r="F1097" s="1353"/>
      <c r="I1097" s="524"/>
    </row>
    <row r="1098" spans="1:9">
      <c r="A1098" s="433"/>
      <c r="B1098" s="433"/>
      <c r="C1098" s="433"/>
      <c r="D1098" s="561" t="s">
        <v>2165</v>
      </c>
      <c r="I1098" s="514"/>
    </row>
    <row r="1099" spans="1:9">
      <c r="A1099" s="433"/>
      <c r="B1099" s="519" t="s">
        <v>2778</v>
      </c>
      <c r="C1099" s="433"/>
      <c r="D1099" s="1353" t="s">
        <v>2024</v>
      </c>
      <c r="E1099" s="1353"/>
      <c r="F1099" s="1353"/>
      <c r="I1099" s="524" t="s">
        <v>2123</v>
      </c>
    </row>
    <row r="1100" spans="1:9">
      <c r="A1100" s="433"/>
      <c r="B1100" s="433"/>
      <c r="C1100" s="433"/>
      <c r="D1100" s="1353"/>
      <c r="E1100" s="1353"/>
      <c r="F1100" s="1353"/>
      <c r="I1100" s="524"/>
    </row>
    <row r="1101" spans="1:9">
      <c r="A1101" s="433"/>
      <c r="B1101" s="433"/>
      <c r="C1101" s="433"/>
      <c r="D1101" s="1353"/>
      <c r="E1101" s="1353"/>
      <c r="F1101" s="1353"/>
      <c r="I1101" s="524"/>
    </row>
    <row r="1102" spans="1:9">
      <c r="A1102" s="433"/>
      <c r="B1102" s="433"/>
      <c r="C1102" s="433"/>
      <c r="D1102" s="561"/>
      <c r="I1102" s="524"/>
    </row>
    <row r="1103" spans="1:9">
      <c r="A1103" s="433"/>
      <c r="B1103" s="519" t="s">
        <v>2783</v>
      </c>
      <c r="C1103" s="433"/>
      <c r="D1103" s="1275" t="s">
        <v>2167</v>
      </c>
      <c r="E1103" s="1275"/>
      <c r="F1103" s="1275"/>
      <c r="I1103" s="524" t="s">
        <v>2124</v>
      </c>
    </row>
    <row r="1104" spans="1:9">
      <c r="A1104" s="433"/>
      <c r="B1104" s="433"/>
      <c r="C1104" s="433"/>
      <c r="D1104" s="1275"/>
      <c r="E1104" s="1275"/>
      <c r="F1104" s="1275"/>
      <c r="I1104" s="524"/>
    </row>
    <row r="1105" spans="1:9">
      <c r="A1105" s="433"/>
      <c r="B1105" s="433"/>
      <c r="C1105" s="433"/>
      <c r="D1105" s="1275"/>
      <c r="E1105" s="1275"/>
      <c r="F1105" s="1275"/>
      <c r="I1105" s="524"/>
    </row>
    <row r="1106" spans="1:9">
      <c r="A1106" s="433"/>
      <c r="B1106" s="433"/>
      <c r="C1106" s="433"/>
      <c r="D1106" s="1015"/>
      <c r="E1106" s="1015"/>
      <c r="F1106" s="1015"/>
      <c r="I1106" s="524"/>
    </row>
    <row r="1107" spans="1:9" ht="15.75" customHeight="1">
      <c r="A1107" s="433"/>
      <c r="B1107" s="519" t="s">
        <v>2783</v>
      </c>
      <c r="C1107" s="433"/>
      <c r="D1107" s="1269" t="s">
        <v>2169</v>
      </c>
      <c r="E1107" s="1269"/>
      <c r="F1107" s="1269"/>
      <c r="I1107" s="524" t="s">
        <v>2168</v>
      </c>
    </row>
    <row r="1108" spans="1:9">
      <c r="A1108" s="433"/>
      <c r="B1108" s="433"/>
      <c r="C1108" s="433"/>
      <c r="D1108" s="1269"/>
      <c r="E1108" s="1269"/>
      <c r="F1108" s="1269"/>
      <c r="I1108" s="524"/>
    </row>
    <row r="1109" spans="1:9">
      <c r="A1109" s="433"/>
      <c r="B1109" s="433"/>
      <c r="C1109" s="433"/>
      <c r="D1109" s="1269"/>
      <c r="E1109" s="1269"/>
      <c r="F1109" s="1269"/>
      <c r="I1109" s="524"/>
    </row>
    <row r="1110" spans="1:9">
      <c r="A1110" s="433"/>
      <c r="B1110" s="433"/>
      <c r="C1110" s="433"/>
      <c r="D1110" s="1269"/>
      <c r="E1110" s="1269"/>
      <c r="F1110" s="1269"/>
      <c r="I1110" s="524"/>
    </row>
    <row r="1111" spans="1:9">
      <c r="A1111" s="433"/>
      <c r="B1111" s="433"/>
      <c r="C1111" s="433"/>
      <c r="D1111" s="1015"/>
      <c r="E1111" s="1015"/>
      <c r="F1111" s="1015"/>
      <c r="I1111" s="524"/>
    </row>
    <row r="1112" spans="1:9" ht="39.6">
      <c r="A1112" s="433"/>
      <c r="B1112" s="433"/>
      <c r="C1112" s="433"/>
      <c r="I1112" s="1265" t="s">
        <v>2383</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2"/>
      <c r="H1525" s="1282"/>
      <c r="I1525" s="128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B229" zoomScale="102" zoomScaleNormal="110" workbookViewId="0">
      <selection activeCell="M264" sqref="M264:AE264"/>
    </sheetView>
  </sheetViews>
  <sheetFormatPr defaultColWidth="0" defaultRowHeight="0" customHeight="1" zeroHeight="1"/>
  <cols>
    <col min="1" max="36" width="2.44140625" customWidth="1"/>
    <col min="37" max="37" width="2.77734375" customWidth="1"/>
    <col min="38" max="45" width="2.44140625" customWidth="1"/>
    <col min="46" max="46" width="3.77734375" customWidth="1"/>
    <col min="47" max="59" width="3.77734375" hidden="1"/>
    <col min="60" max="60" width="5.109375" hidden="1"/>
    <col min="61" max="61" width="5" hidden="1"/>
    <col min="62" max="72" width="3.77734375" hidden="1"/>
    <col min="73" max="74" width="7.109375" hidden="1"/>
    <col min="16384" max="16384" width="3.77734375" hidden="1"/>
  </cols>
  <sheetData>
    <row r="1" spans="1:51" ht="13.05" customHeight="1">
      <c r="J1" s="100"/>
      <c r="AS1" s="1066">
        <v>4</v>
      </c>
    </row>
    <row r="2" spans="1:51" ht="13.05" customHeight="1"/>
    <row r="3" spans="1:51" ht="13.05" customHeight="1"/>
    <row r="4" spans="1:51" ht="13.05" customHeight="1"/>
    <row r="5" spans="1:51" ht="13.05" customHeight="1"/>
    <row r="6" spans="1:51" ht="13.05" customHeight="1"/>
    <row r="7" spans="1:51" ht="13.05" customHeight="1"/>
    <row r="8" spans="1:51" ht="26.25" customHeight="1">
      <c r="A8" s="1833" t="s">
        <v>100</v>
      </c>
      <c r="B8" s="1833"/>
      <c r="C8" s="1833"/>
      <c r="D8" s="1833"/>
      <c r="E8" s="1833"/>
      <c r="F8" s="1833"/>
      <c r="G8" s="1833"/>
      <c r="H8" s="1833"/>
      <c r="I8" s="1833"/>
      <c r="J8" s="1833"/>
      <c r="K8" s="1833"/>
      <c r="L8" s="1833"/>
      <c r="M8" s="1833"/>
      <c r="N8" s="1833"/>
      <c r="O8" s="1833"/>
      <c r="P8" s="1833"/>
      <c r="Q8" s="1833"/>
      <c r="R8" s="1833"/>
      <c r="S8" s="1833"/>
      <c r="T8" s="1833"/>
      <c r="U8" s="1833"/>
      <c r="V8" s="1833"/>
      <c r="W8" s="1833"/>
      <c r="X8" s="1833"/>
      <c r="Y8" s="1833"/>
      <c r="Z8" s="1833"/>
      <c r="AA8" s="1833"/>
      <c r="AB8" s="1833"/>
      <c r="AC8" s="1833"/>
      <c r="AD8" s="1833"/>
      <c r="AE8" s="1833"/>
      <c r="AF8" s="1833"/>
      <c r="AG8" s="1833"/>
      <c r="AH8" s="1833"/>
      <c r="AI8" s="1833"/>
      <c r="AJ8" s="1833"/>
      <c r="AK8" s="1833"/>
      <c r="AL8" s="1833"/>
      <c r="AM8" s="1833"/>
      <c r="AN8" s="1833"/>
      <c r="AO8" s="1833"/>
      <c r="AP8" s="1833"/>
      <c r="AQ8" s="1833"/>
      <c r="AR8" s="1833"/>
      <c r="AS8" s="1833"/>
      <c r="AT8" s="1833"/>
      <c r="AU8" s="933"/>
      <c r="AV8" s="933"/>
      <c r="AW8" s="933"/>
      <c r="AX8" s="933"/>
      <c r="AY8" s="933"/>
    </row>
    <row r="9" spans="1:51" ht="13.05" customHeight="1">
      <c r="A9" s="1309" t="s">
        <v>2389</v>
      </c>
      <c r="B9" s="1309"/>
      <c r="C9" s="1309"/>
      <c r="D9" s="1309"/>
      <c r="E9" s="1309"/>
      <c r="F9" s="1309"/>
      <c r="G9" s="1309"/>
      <c r="H9" s="1309"/>
      <c r="I9" s="1309"/>
      <c r="J9" s="1309"/>
      <c r="K9" s="1309"/>
      <c r="L9" s="1309"/>
      <c r="M9" s="1309"/>
      <c r="N9" s="1309"/>
      <c r="O9" s="1309"/>
      <c r="P9" s="1309"/>
      <c r="Q9" s="1309"/>
      <c r="R9" s="1309"/>
      <c r="S9" s="1309"/>
      <c r="T9" s="1309"/>
      <c r="U9" s="1309"/>
      <c r="V9" s="1309"/>
      <c r="W9" s="1309"/>
      <c r="X9" s="1309"/>
      <c r="Y9" s="1309"/>
      <c r="Z9" s="1309"/>
      <c r="AA9" s="1309"/>
      <c r="AB9" s="1309"/>
      <c r="AC9" s="1309"/>
      <c r="AD9" s="1309"/>
      <c r="AE9" s="1309"/>
      <c r="AF9" s="1309"/>
      <c r="AG9" s="1309"/>
      <c r="AH9" s="1309"/>
      <c r="AI9" s="1309"/>
      <c r="AJ9" s="1309"/>
      <c r="AK9" s="1309"/>
      <c r="AL9" s="1309"/>
      <c r="AM9" s="1309"/>
      <c r="AN9" s="1309"/>
      <c r="AO9" s="1309"/>
      <c r="AP9" s="1309"/>
      <c r="AQ9" s="1309"/>
      <c r="AR9" s="1309"/>
      <c r="AS9" s="1309"/>
      <c r="AT9" s="1309"/>
      <c r="AU9" s="13"/>
      <c r="AV9" s="13"/>
      <c r="AW9" s="13"/>
      <c r="AX9" s="13"/>
      <c r="AY9" s="13"/>
    </row>
    <row r="10" spans="1:51" ht="13.05" customHeight="1">
      <c r="A10" s="1309" t="s">
        <v>2576</v>
      </c>
      <c r="B10" s="1309"/>
      <c r="C10" s="1309"/>
      <c r="D10" s="1309"/>
      <c r="E10" s="1309"/>
      <c r="F10" s="1309"/>
      <c r="G10" s="1309"/>
      <c r="H10" s="1309"/>
      <c r="I10" s="1309"/>
      <c r="J10" s="1309"/>
      <c r="K10" s="1309"/>
      <c r="L10" s="1309"/>
      <c r="M10" s="1309"/>
      <c r="N10" s="1309"/>
      <c r="O10" s="1309"/>
      <c r="P10" s="1309"/>
      <c r="Q10" s="1309"/>
      <c r="R10" s="1309"/>
      <c r="S10" s="1309"/>
      <c r="T10" s="1309"/>
      <c r="U10" s="1309"/>
      <c r="V10" s="1309"/>
      <c r="W10" s="1309"/>
      <c r="X10" s="1309"/>
      <c r="Y10" s="1309"/>
      <c r="Z10" s="1309"/>
      <c r="AA10" s="1309"/>
      <c r="AB10" s="1309"/>
      <c r="AC10" s="1309"/>
      <c r="AD10" s="1309"/>
      <c r="AE10" s="1309"/>
      <c r="AF10" s="1309"/>
      <c r="AG10" s="1309"/>
      <c r="AH10" s="1309"/>
      <c r="AI10" s="1309"/>
      <c r="AJ10" s="1309"/>
      <c r="AK10" s="1309"/>
      <c r="AL10" s="1309"/>
      <c r="AM10" s="1309"/>
      <c r="AN10" s="1309"/>
      <c r="AO10" s="1309"/>
      <c r="AP10" s="1309"/>
      <c r="AQ10" s="1309"/>
      <c r="AR10" s="1309"/>
      <c r="AS10" s="1309"/>
      <c r="AT10" s="1309"/>
      <c r="AU10" s="13"/>
      <c r="AV10" s="13"/>
      <c r="AW10" s="13"/>
      <c r="AX10" s="13"/>
      <c r="AY10" s="13"/>
    </row>
    <row r="11" spans="1:51" ht="13.05" customHeight="1">
      <c r="A11" s="1309" t="s">
        <v>1771</v>
      </c>
      <c r="B11" s="1309"/>
      <c r="C11" s="1309"/>
      <c r="D11" s="1309"/>
      <c r="E11" s="1309"/>
      <c r="F11" s="1309"/>
      <c r="G11" s="1309"/>
      <c r="H11" s="1309"/>
      <c r="I11" s="1309"/>
      <c r="J11" s="1309"/>
      <c r="K11" s="1309"/>
      <c r="L11" s="1309"/>
      <c r="M11" s="1309"/>
      <c r="N11" s="1309"/>
      <c r="O11" s="1309"/>
      <c r="P11" s="1309"/>
      <c r="Q11" s="1309"/>
      <c r="R11" s="1309"/>
      <c r="S11" s="1309"/>
      <c r="T11" s="1309"/>
      <c r="U11" s="1309"/>
      <c r="V11" s="1309"/>
      <c r="W11" s="1309"/>
      <c r="X11" s="1309"/>
      <c r="Y11" s="1309"/>
      <c r="Z11" s="1309"/>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
      <c r="AV11" s="13"/>
      <c r="AW11" s="13"/>
      <c r="AX11" s="13"/>
      <c r="AY11" s="13"/>
    </row>
    <row r="12" spans="1:51" ht="13.05" customHeight="1">
      <c r="A12" s="1834" t="s">
        <v>2629</v>
      </c>
      <c r="B12" s="1834"/>
      <c r="C12" s="1834"/>
      <c r="D12" s="1834"/>
      <c r="E12" s="1834"/>
      <c r="F12" s="1834"/>
      <c r="G12" s="1834"/>
      <c r="H12" s="1834"/>
      <c r="I12" s="1834"/>
      <c r="J12" s="1834"/>
      <c r="K12" s="1834"/>
      <c r="L12" s="1834"/>
      <c r="M12" s="1834"/>
      <c r="N12" s="1834"/>
      <c r="O12" s="1834"/>
      <c r="P12" s="1834"/>
      <c r="Q12" s="1834"/>
      <c r="R12" s="1834"/>
      <c r="S12" s="1834"/>
      <c r="T12" s="1834"/>
      <c r="U12" s="1834"/>
      <c r="V12" s="1834"/>
      <c r="W12" s="1834"/>
      <c r="X12" s="1834"/>
      <c r="Y12" s="1834"/>
      <c r="Z12" s="1834"/>
      <c r="AA12" s="1834"/>
      <c r="AB12" s="1834"/>
      <c r="AC12" s="1834"/>
      <c r="AD12" s="1834"/>
      <c r="AE12" s="1834"/>
      <c r="AF12" s="1834"/>
      <c r="AG12" s="1834"/>
      <c r="AH12" s="1834"/>
      <c r="AI12" s="1834"/>
      <c r="AJ12" s="1834"/>
      <c r="AK12" s="1834"/>
      <c r="AL12" s="1834"/>
      <c r="AM12" s="1834"/>
      <c r="AN12" s="1834"/>
      <c r="AO12" s="1834"/>
      <c r="AP12" s="1834"/>
      <c r="AQ12" s="1834"/>
      <c r="AR12" s="1834"/>
      <c r="AS12" s="1834"/>
      <c r="AT12" s="1834"/>
      <c r="AU12" s="6"/>
      <c r="AV12" s="6"/>
      <c r="AW12" s="6"/>
      <c r="AX12" s="6"/>
      <c r="AY12" s="6"/>
    </row>
    <row r="13" spans="1:51" ht="13.05" customHeight="1">
      <c r="A13" s="1279" t="s">
        <v>2390</v>
      </c>
      <c r="B13" s="1279"/>
      <c r="C13" s="1279"/>
      <c r="D13" s="1279"/>
      <c r="E13" s="1279"/>
      <c r="F13" s="1279"/>
      <c r="G13" s="1279"/>
      <c r="H13" s="1279"/>
      <c r="I13" s="1279"/>
      <c r="J13" s="1279"/>
      <c r="K13" s="1279"/>
      <c r="L13" s="1279"/>
      <c r="M13" s="1279"/>
      <c r="N13" s="1279"/>
      <c r="O13" s="1279"/>
      <c r="P13" s="1279"/>
      <c r="Q13" s="1279"/>
      <c r="R13" s="1279"/>
      <c r="S13" s="1279"/>
      <c r="T13" s="1279"/>
      <c r="U13" s="1279"/>
      <c r="V13" s="1279"/>
      <c r="W13" s="1279"/>
      <c r="X13" s="1279"/>
      <c r="Y13" s="1279"/>
      <c r="Z13" s="1279"/>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934"/>
      <c r="AV13" s="934"/>
      <c r="AW13" s="934"/>
      <c r="AX13" s="934"/>
      <c r="AY13" s="934"/>
    </row>
    <row r="14" spans="1:51" ht="13.05" customHeight="1">
      <c r="A14" s="1279"/>
      <c r="B14" s="1279"/>
      <c r="C14" s="1279"/>
      <c r="D14" s="1279"/>
      <c r="E14" s="1279"/>
      <c r="F14" s="1279"/>
      <c r="G14" s="1279"/>
      <c r="H14" s="1279"/>
      <c r="I14" s="1279"/>
      <c r="J14" s="1279"/>
      <c r="K14" s="1279"/>
      <c r="L14" s="1279"/>
      <c r="M14" s="1279"/>
      <c r="N14" s="1279"/>
      <c r="O14" s="1279"/>
      <c r="P14" s="1279"/>
      <c r="Q14" s="1279"/>
      <c r="R14" s="1279"/>
      <c r="S14" s="1279"/>
      <c r="T14" s="1279"/>
      <c r="U14" s="1279"/>
      <c r="V14" s="1279"/>
      <c r="W14" s="1279"/>
      <c r="X14" s="1279"/>
      <c r="Y14" s="1279"/>
      <c r="Z14" s="1279"/>
      <c r="AA14" s="1279"/>
      <c r="AB14" s="1279"/>
      <c r="AC14" s="1279"/>
      <c r="AD14" s="1279"/>
      <c r="AE14" s="1279"/>
      <c r="AF14" s="1279"/>
      <c r="AG14" s="1279"/>
      <c r="AH14" s="1279"/>
      <c r="AI14" s="1279"/>
      <c r="AJ14" s="1279"/>
      <c r="AK14" s="1279"/>
      <c r="AL14" s="1279"/>
      <c r="AM14" s="1279"/>
      <c r="AN14" s="1279"/>
      <c r="AO14" s="1279"/>
      <c r="AP14" s="1279"/>
      <c r="AQ14" s="1279"/>
      <c r="AR14" s="1279"/>
      <c r="AS14" s="1279"/>
      <c r="AT14" s="1279"/>
      <c r="AU14" s="934"/>
      <c r="AV14" s="934"/>
      <c r="AW14" s="934"/>
      <c r="AX14" s="934"/>
      <c r="AY14" s="934"/>
    </row>
    <row r="15" spans="1:51"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05" customHeight="1">
      <c r="A16" s="57" t="s">
        <v>2391</v>
      </c>
      <c r="C16" s="4"/>
      <c r="D16" s="4"/>
      <c r="E16" s="4"/>
      <c r="F16" s="4"/>
      <c r="G16" s="4"/>
      <c r="H16" s="1554" t="s">
        <v>2630</v>
      </c>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c r="AH16" s="1549"/>
      <c r="AI16" s="1549"/>
      <c r="AJ16" s="1549"/>
    </row>
    <row r="17" spans="1:52" ht="13.05" customHeight="1"/>
    <row r="18" spans="1:52" ht="13.05" customHeight="1">
      <c r="A18" s="57" t="s">
        <v>101</v>
      </c>
      <c r="C18" s="4"/>
      <c r="D18" s="4"/>
      <c r="E18" s="4"/>
      <c r="F18" s="4"/>
      <c r="G18" s="4"/>
      <c r="H18" s="1404" t="s">
        <v>2631</v>
      </c>
      <c r="I18" s="1536"/>
      <c r="J18" s="1536"/>
      <c r="K18" s="1536"/>
      <c r="L18" s="1536"/>
      <c r="M18" s="1536"/>
      <c r="N18" s="1536"/>
      <c r="O18" s="1536"/>
      <c r="P18" s="1536"/>
      <c r="Q18" s="1536"/>
      <c r="R18" s="1536"/>
      <c r="S18" s="1536"/>
      <c r="T18" s="1536"/>
      <c r="U18" s="1536"/>
      <c r="V18" s="1536"/>
      <c r="W18" s="1536"/>
      <c r="X18" s="1536"/>
      <c r="Y18" s="1536"/>
      <c r="Z18" s="1536"/>
      <c r="AA18" s="1536"/>
      <c r="AB18" s="1536"/>
      <c r="AC18" s="1536"/>
      <c r="AD18" s="1536"/>
      <c r="AE18" s="1536"/>
      <c r="AF18" s="1536"/>
      <c r="AG18" s="1536"/>
      <c r="AH18" s="1536"/>
      <c r="AI18" s="1536"/>
      <c r="AJ18" s="1536"/>
    </row>
    <row r="19" spans="1:52" ht="13.05" customHeight="1"/>
    <row r="20" spans="1:52" ht="13.05" customHeight="1">
      <c r="A20" s="1835" t="s">
        <v>884</v>
      </c>
      <c r="B20" s="1835"/>
      <c r="C20" s="1835"/>
      <c r="D20" s="1835"/>
      <c r="E20" s="1835"/>
      <c r="F20" s="1835"/>
      <c r="G20" s="1835"/>
      <c r="H20" s="1835"/>
      <c r="I20" s="1835"/>
      <c r="J20" s="1835"/>
      <c r="K20" s="1835"/>
      <c r="L20" s="1835"/>
      <c r="M20" s="1835"/>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c r="AL20" s="1835"/>
      <c r="AM20" s="1835"/>
      <c r="AN20" s="1835"/>
      <c r="AO20" s="1835"/>
      <c r="AP20" s="1835"/>
      <c r="AQ20" s="1835"/>
      <c r="AR20" s="1835"/>
      <c r="AS20" s="1835"/>
      <c r="AT20" s="1835"/>
      <c r="AU20" s="935"/>
      <c r="AV20" s="935"/>
      <c r="AW20" s="935"/>
      <c r="AX20" s="935"/>
      <c r="AY20" s="935"/>
    </row>
    <row r="21" spans="1:52" ht="13.05" customHeight="1">
      <c r="A21" s="1838" t="s">
        <v>1033</v>
      </c>
      <c r="B21" s="1838"/>
      <c r="C21" s="1838"/>
      <c r="D21" s="1838"/>
      <c r="E21" s="1838"/>
      <c r="F21" s="1838"/>
      <c r="G21" s="1838"/>
      <c r="H21" s="1838"/>
      <c r="I21" s="1838"/>
      <c r="J21" s="1838"/>
      <c r="K21" s="1838"/>
      <c r="L21" s="1838"/>
      <c r="M21" s="1838"/>
      <c r="N21" s="1838"/>
      <c r="O21" s="1838"/>
      <c r="P21" s="1838"/>
      <c r="Q21" s="1838"/>
      <c r="R21" s="1838"/>
      <c r="S21" s="1838"/>
      <c r="T21" s="1838"/>
      <c r="U21" s="1838"/>
      <c r="V21" s="1838"/>
      <c r="W21" s="1838"/>
      <c r="X21" s="1838"/>
      <c r="Y21" s="1838"/>
      <c r="Z21" s="1838"/>
      <c r="AA21" s="1838"/>
      <c r="AB21" s="1838"/>
      <c r="AC21" s="1838"/>
      <c r="AD21" s="1838"/>
      <c r="AE21" s="1838"/>
      <c r="AF21" s="1838"/>
      <c r="AG21" s="1838"/>
      <c r="AH21" s="1838"/>
      <c r="AI21" s="1838"/>
      <c r="AJ21" s="1838"/>
      <c r="AK21" s="1838"/>
      <c r="AL21" s="1838"/>
      <c r="AM21" s="936"/>
      <c r="AN21" s="936"/>
      <c r="AO21" s="936"/>
      <c r="AP21" s="936"/>
      <c r="AQ21" s="936"/>
      <c r="AR21" s="936"/>
      <c r="AS21" s="936"/>
      <c r="AT21" s="936"/>
      <c r="AU21" s="936"/>
      <c r="AV21" s="936"/>
      <c r="AW21" s="936"/>
      <c r="AX21" s="936"/>
      <c r="AY21" s="936"/>
    </row>
    <row r="22" spans="1:52"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05" customHeight="1">
      <c r="A23" s="1355" t="s">
        <v>2501</v>
      </c>
      <c r="B23" s="1355"/>
      <c r="C23" s="1355"/>
      <c r="D23" s="1355"/>
      <c r="E23" s="1355"/>
      <c r="F23" s="1355"/>
      <c r="G23" s="1355"/>
      <c r="H23" s="1355"/>
      <c r="I23" s="1355"/>
      <c r="J23" s="1355"/>
      <c r="K23" s="1355"/>
      <c r="L23" s="1355"/>
      <c r="M23" s="1355"/>
      <c r="N23" s="1355"/>
      <c r="O23" s="1355"/>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8"/>
      <c r="AV23" s="18"/>
      <c r="AW23" s="18"/>
      <c r="AX23" s="18"/>
      <c r="AY23" s="18"/>
      <c r="AZ23" s="18"/>
    </row>
    <row r="24" spans="1:52" ht="13.05" customHeight="1">
      <c r="A24" s="1355"/>
      <c r="B24" s="1355"/>
      <c r="C24" s="1355"/>
      <c r="D24" s="1355"/>
      <c r="E24" s="1355"/>
      <c r="F24" s="1355"/>
      <c r="G24" s="1355"/>
      <c r="H24" s="1355"/>
      <c r="I24" s="1355"/>
      <c r="J24" s="1355"/>
      <c r="K24" s="1355"/>
      <c r="L24" s="1355"/>
      <c r="M24" s="1355"/>
      <c r="N24" s="1355"/>
      <c r="O24" s="1355"/>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8"/>
      <c r="AV24" s="18"/>
      <c r="AW24" s="18"/>
      <c r="AX24" s="18"/>
      <c r="AY24" s="18"/>
      <c r="AZ24" s="18"/>
    </row>
    <row r="25" spans="1:52"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05" customHeight="1">
      <c r="A26" s="4"/>
      <c r="C26" s="4"/>
      <c r="D26" s="4"/>
      <c r="E26" s="4"/>
      <c r="F26" s="4"/>
      <c r="G26" s="4"/>
      <c r="H26" s="4"/>
      <c r="I26" s="4"/>
      <c r="J26" s="4"/>
      <c r="K26" s="4"/>
      <c r="L26" s="4"/>
      <c r="M26" s="1837">
        <f>'Basis &amp; Credits'!AB56</f>
        <v>3567918</v>
      </c>
      <c r="N26" s="1837"/>
      <c r="O26" s="1837"/>
      <c r="P26" s="1837"/>
      <c r="Q26" s="1837"/>
      <c r="R26" s="4" t="s">
        <v>768</v>
      </c>
      <c r="S26" s="4"/>
      <c r="T26" s="4"/>
      <c r="U26" s="4"/>
      <c r="V26" s="4"/>
      <c r="W26" s="4"/>
      <c r="X26" s="4"/>
      <c r="Y26" s="4"/>
      <c r="Z26" s="4"/>
      <c r="AF26" s="4"/>
      <c r="AG26" s="4"/>
      <c r="AH26" s="4"/>
      <c r="AI26" s="4"/>
      <c r="AJ26" s="4"/>
      <c r="AK26" s="4"/>
    </row>
    <row r="27" spans="1:52" ht="13.05" customHeight="1">
      <c r="A27" s="4"/>
      <c r="C27" s="4"/>
      <c r="D27" s="4"/>
      <c r="E27" s="4"/>
      <c r="F27" s="4"/>
      <c r="G27" s="4"/>
      <c r="H27" s="4"/>
      <c r="I27" s="4"/>
      <c r="J27" s="4"/>
      <c r="K27" s="4"/>
      <c r="L27" s="4"/>
      <c r="M27" s="1379">
        <f>'Basis &amp; Credits'!AB77</f>
        <v>20584139</v>
      </c>
      <c r="N27" s="1379"/>
      <c r="O27" s="1379"/>
      <c r="P27" s="1379"/>
      <c r="Q27" s="1379"/>
      <c r="R27" s="3" t="s">
        <v>1377</v>
      </c>
      <c r="S27" s="4"/>
      <c r="T27" s="4"/>
      <c r="U27" s="4"/>
      <c r="V27" s="4"/>
      <c r="W27" s="4"/>
      <c r="X27" s="4"/>
      <c r="Y27" s="4"/>
      <c r="Z27" s="4"/>
      <c r="AF27" s="4"/>
      <c r="AG27" s="4"/>
      <c r="AH27" s="4"/>
      <c r="AI27" s="4"/>
      <c r="AJ27" s="4"/>
      <c r="AK27" s="4"/>
    </row>
    <row r="28" spans="1:52"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05" customHeight="1">
      <c r="A29" s="1830" t="s">
        <v>2502</v>
      </c>
      <c r="B29" s="1830"/>
      <c r="C29" s="1830"/>
      <c r="D29" s="1830"/>
      <c r="E29" s="1830"/>
      <c r="F29" s="1830"/>
      <c r="G29" s="1830"/>
      <c r="H29" s="1830"/>
      <c r="I29" s="1830"/>
      <c r="J29" s="1830"/>
      <c r="K29" s="1830"/>
      <c r="L29" s="1830"/>
      <c r="M29" s="1830"/>
      <c r="N29" s="1830"/>
      <c r="O29" s="1830"/>
      <c r="P29" s="1830"/>
      <c r="Q29" s="1830"/>
      <c r="R29" s="1830"/>
      <c r="S29" s="1830"/>
      <c r="T29" s="1830"/>
      <c r="U29" s="1830"/>
      <c r="V29" s="1830"/>
      <c r="W29" s="1830"/>
      <c r="X29" s="1830"/>
      <c r="Y29" s="1830"/>
      <c r="Z29" s="1830"/>
      <c r="AA29" s="1830"/>
      <c r="AB29" s="1830"/>
      <c r="AC29" s="1830"/>
      <c r="AD29" s="1830"/>
      <c r="AE29" s="1830"/>
      <c r="AF29" s="1830"/>
      <c r="AG29" s="1830"/>
      <c r="AH29" s="1830"/>
      <c r="AI29" s="1830"/>
      <c r="AJ29" s="1830"/>
      <c r="AK29" s="1830"/>
      <c r="AL29" s="1830"/>
      <c r="AM29" s="1830"/>
      <c r="AN29" s="1830"/>
      <c r="AO29" s="1830"/>
      <c r="AP29" s="1830"/>
      <c r="AQ29" s="1830"/>
      <c r="AR29" s="1830"/>
      <c r="AS29" s="1830"/>
      <c r="AT29" s="1830"/>
    </row>
    <row r="30" spans="1:52" ht="13.05" customHeight="1">
      <c r="A30" s="1830"/>
      <c r="B30" s="1830"/>
      <c r="C30" s="1830"/>
      <c r="D30" s="1830"/>
      <c r="E30" s="1830"/>
      <c r="F30" s="1830"/>
      <c r="G30" s="1830"/>
      <c r="H30" s="1830"/>
      <c r="I30" s="1830"/>
      <c r="J30" s="1830"/>
      <c r="K30" s="1830"/>
      <c r="L30" s="1830"/>
      <c r="M30" s="1830"/>
      <c r="N30" s="1830"/>
      <c r="O30" s="1830"/>
      <c r="P30" s="1830"/>
      <c r="Q30" s="1830"/>
      <c r="R30" s="1830"/>
      <c r="S30" s="1830"/>
      <c r="T30" s="1830"/>
      <c r="U30" s="1830"/>
      <c r="V30" s="1830"/>
      <c r="W30" s="1830"/>
      <c r="X30" s="1830"/>
      <c r="Y30" s="1830"/>
      <c r="Z30" s="1830"/>
      <c r="AA30" s="1830"/>
      <c r="AB30" s="1830"/>
      <c r="AC30" s="1830"/>
      <c r="AD30" s="1830"/>
      <c r="AE30" s="1830"/>
      <c r="AF30" s="1830"/>
      <c r="AG30" s="1830"/>
      <c r="AH30" s="1830"/>
      <c r="AI30" s="1830"/>
      <c r="AJ30" s="1830"/>
      <c r="AK30" s="1830"/>
      <c r="AL30" s="1830"/>
      <c r="AM30" s="1830"/>
      <c r="AN30" s="1830"/>
      <c r="AO30" s="1830"/>
      <c r="AP30" s="1830"/>
      <c r="AQ30" s="1830"/>
      <c r="AR30" s="1830"/>
      <c r="AS30" s="1830"/>
      <c r="AT30" s="1830"/>
      <c r="AZ30" s="20"/>
    </row>
    <row r="31" spans="1:52" ht="13.05" customHeight="1">
      <c r="A31" s="1830"/>
      <c r="B31" s="1830"/>
      <c r="C31" s="1830"/>
      <c r="D31" s="1830"/>
      <c r="E31" s="1830"/>
      <c r="F31" s="1830"/>
      <c r="G31" s="1830"/>
      <c r="H31" s="1830"/>
      <c r="I31" s="1830"/>
      <c r="J31" s="1830"/>
      <c r="K31" s="1830"/>
      <c r="L31" s="1830"/>
      <c r="M31" s="1830"/>
      <c r="N31" s="1830"/>
      <c r="O31" s="1830"/>
      <c r="P31" s="1830"/>
      <c r="Q31" s="1830"/>
      <c r="R31" s="1830"/>
      <c r="S31" s="1830"/>
      <c r="T31" s="1830"/>
      <c r="U31" s="1830"/>
      <c r="V31" s="1830"/>
      <c r="W31" s="1830"/>
      <c r="X31" s="1830"/>
      <c r="Y31" s="1830"/>
      <c r="Z31" s="1830"/>
      <c r="AA31" s="1830"/>
      <c r="AB31" s="1830"/>
      <c r="AC31" s="1830"/>
      <c r="AD31" s="1830"/>
      <c r="AE31" s="1830"/>
      <c r="AF31" s="1830"/>
      <c r="AG31" s="1830"/>
      <c r="AH31" s="1830"/>
      <c r="AI31" s="1830"/>
      <c r="AJ31" s="1830"/>
      <c r="AK31" s="1830"/>
      <c r="AL31" s="1830"/>
      <c r="AM31" s="1830"/>
      <c r="AN31" s="1830"/>
      <c r="AO31" s="1830"/>
      <c r="AP31" s="1830"/>
      <c r="AQ31" s="1830"/>
      <c r="AR31" s="1830"/>
      <c r="AS31" s="1830"/>
      <c r="AT31" s="1830"/>
      <c r="AU31" s="20"/>
      <c r="AV31" s="20"/>
      <c r="AW31" s="20"/>
      <c r="AX31" s="20"/>
      <c r="AY31" s="20"/>
      <c r="AZ31" s="20"/>
    </row>
    <row r="32" spans="1:52"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05" customHeight="1">
      <c r="A33" s="553" t="s">
        <v>1388</v>
      </c>
      <c r="C33" s="553"/>
      <c r="D33" s="553"/>
      <c r="E33" s="553"/>
      <c r="F33" s="553"/>
      <c r="G33" s="553"/>
      <c r="H33" s="553"/>
      <c r="I33" s="553"/>
      <c r="J33" s="553"/>
      <c r="K33" s="553"/>
      <c r="L33" s="553"/>
      <c r="M33" s="553"/>
      <c r="N33" s="553"/>
      <c r="O33" s="1461" t="s">
        <v>553</v>
      </c>
      <c r="P33" s="1461"/>
      <c r="Q33" s="1836" t="s">
        <v>2503</v>
      </c>
      <c r="R33" s="1836"/>
      <c r="S33" s="1836"/>
      <c r="T33" s="1836"/>
      <c r="U33" s="1836"/>
      <c r="V33" s="1836"/>
      <c r="W33" s="1836"/>
      <c r="X33" s="1836"/>
      <c r="Y33" s="1836"/>
      <c r="Z33" s="1836"/>
      <c r="AA33" s="1836"/>
      <c r="AB33" s="1836"/>
      <c r="AC33" s="1836"/>
      <c r="AD33" s="1836"/>
      <c r="AE33" s="1836"/>
      <c r="AF33" s="1836"/>
      <c r="AG33" s="1836"/>
      <c r="AH33" s="1836"/>
      <c r="AI33" s="1836"/>
      <c r="AJ33" s="1836"/>
      <c r="AK33" s="1836"/>
      <c r="AL33" s="1836"/>
      <c r="AM33" s="1836"/>
      <c r="AN33" s="1836"/>
      <c r="AO33" s="1836"/>
      <c r="AP33" s="1836"/>
      <c r="AQ33" s="1836"/>
      <c r="AR33" s="1836"/>
      <c r="AS33" s="1836"/>
      <c r="AT33" s="1836"/>
      <c r="AU33" s="20"/>
      <c r="AV33" s="20"/>
      <c r="AW33" s="20"/>
      <c r="AX33" s="20"/>
      <c r="AY33" s="20"/>
    </row>
    <row r="34" spans="1:52" ht="13.05" customHeight="1">
      <c r="A34" s="1830" t="s">
        <v>2504</v>
      </c>
      <c r="B34" s="1830"/>
      <c r="C34" s="1830"/>
      <c r="D34" s="1830"/>
      <c r="E34" s="1830"/>
      <c r="F34" s="1830"/>
      <c r="G34" s="1830"/>
      <c r="H34" s="1830"/>
      <c r="I34" s="1830"/>
      <c r="J34" s="1830"/>
      <c r="K34" s="1830"/>
      <c r="L34" s="1830"/>
      <c r="M34" s="1830"/>
      <c r="N34" s="1830"/>
      <c r="O34" s="1830"/>
      <c r="P34" s="1830"/>
      <c r="Q34" s="1830"/>
      <c r="R34" s="1830"/>
      <c r="S34" s="1830"/>
      <c r="T34" s="1830"/>
      <c r="U34" s="1830"/>
      <c r="V34" s="1830"/>
      <c r="W34" s="1830"/>
      <c r="X34" s="1830"/>
      <c r="Y34" s="1830"/>
      <c r="Z34" s="1830"/>
      <c r="AA34" s="1830"/>
      <c r="AB34" s="1830"/>
      <c r="AC34" s="1830"/>
      <c r="AD34" s="1830"/>
      <c r="AE34" s="1830"/>
      <c r="AF34" s="1830"/>
      <c r="AG34" s="1830"/>
      <c r="AH34" s="1830"/>
      <c r="AI34" s="1830"/>
      <c r="AJ34" s="1830"/>
      <c r="AK34" s="1830"/>
      <c r="AL34" s="1830"/>
      <c r="AM34" s="1830"/>
      <c r="AN34" s="1830"/>
      <c r="AO34" s="1830"/>
      <c r="AP34" s="1830"/>
      <c r="AQ34" s="1830"/>
      <c r="AR34" s="1830"/>
      <c r="AS34" s="1830"/>
      <c r="AT34" s="1830"/>
      <c r="AU34" s="20"/>
      <c r="AV34" s="20"/>
      <c r="AW34" s="20"/>
      <c r="AX34" s="20"/>
      <c r="AY34" s="20"/>
      <c r="AZ34" s="20"/>
    </row>
    <row r="35" spans="1:52" ht="13.05" customHeight="1">
      <c r="A35" s="1830"/>
      <c r="B35" s="1830"/>
      <c r="C35" s="1830"/>
      <c r="D35" s="1830"/>
      <c r="E35" s="1830"/>
      <c r="F35" s="1830"/>
      <c r="G35" s="1830"/>
      <c r="H35" s="1830"/>
      <c r="I35" s="1830"/>
      <c r="J35" s="1830"/>
      <c r="K35" s="1830"/>
      <c r="L35" s="1830"/>
      <c r="M35" s="1830"/>
      <c r="N35" s="1830"/>
      <c r="O35" s="1830"/>
      <c r="P35" s="1830"/>
      <c r="Q35" s="1830"/>
      <c r="R35" s="1830"/>
      <c r="S35" s="1830"/>
      <c r="T35" s="1830"/>
      <c r="U35" s="1830"/>
      <c r="V35" s="1830"/>
      <c r="W35" s="1830"/>
      <c r="X35" s="1830"/>
      <c r="Y35" s="1830"/>
      <c r="Z35" s="1830"/>
      <c r="AA35" s="1830"/>
      <c r="AB35" s="1830"/>
      <c r="AC35" s="1830"/>
      <c r="AD35" s="1830"/>
      <c r="AE35" s="1830"/>
      <c r="AF35" s="1830"/>
      <c r="AG35" s="1830"/>
      <c r="AH35" s="1830"/>
      <c r="AI35" s="1830"/>
      <c r="AJ35" s="1830"/>
      <c r="AK35" s="1830"/>
      <c r="AL35" s="1830"/>
      <c r="AM35" s="1830"/>
      <c r="AN35" s="1830"/>
      <c r="AO35" s="1830"/>
      <c r="AP35" s="1830"/>
      <c r="AQ35" s="1830"/>
      <c r="AR35" s="1830"/>
      <c r="AS35" s="1830"/>
      <c r="AT35" s="1830"/>
      <c r="AU35" s="20"/>
      <c r="AV35" s="20"/>
      <c r="AW35" s="20"/>
      <c r="AX35" s="20"/>
      <c r="AY35" s="20"/>
      <c r="AZ35" s="20"/>
    </row>
    <row r="36" spans="1:52" ht="13.05" customHeight="1">
      <c r="A36" s="1830"/>
      <c r="B36" s="1830"/>
      <c r="C36" s="1830"/>
      <c r="D36" s="1830"/>
      <c r="E36" s="1830"/>
      <c r="F36" s="1830"/>
      <c r="G36" s="1830"/>
      <c r="H36" s="1830"/>
      <c r="I36" s="1830"/>
      <c r="J36" s="1830"/>
      <c r="K36" s="1830"/>
      <c r="L36" s="1830"/>
      <c r="M36" s="1830"/>
      <c r="N36" s="1830"/>
      <c r="O36" s="1830"/>
      <c r="P36" s="1830"/>
      <c r="Q36" s="1830"/>
      <c r="R36" s="1830"/>
      <c r="S36" s="1830"/>
      <c r="T36" s="1830"/>
      <c r="U36" s="1830"/>
      <c r="V36" s="1830"/>
      <c r="W36" s="1830"/>
      <c r="X36" s="1830"/>
      <c r="Y36" s="1830"/>
      <c r="Z36" s="1830"/>
      <c r="AA36" s="1830"/>
      <c r="AB36" s="1830"/>
      <c r="AC36" s="1830"/>
      <c r="AD36" s="1830"/>
      <c r="AE36" s="1830"/>
      <c r="AF36" s="1830"/>
      <c r="AG36" s="1830"/>
      <c r="AH36" s="1830"/>
      <c r="AI36" s="1830"/>
      <c r="AJ36" s="1830"/>
      <c r="AK36" s="1830"/>
      <c r="AL36" s="1830"/>
      <c r="AM36" s="1830"/>
      <c r="AN36" s="1830"/>
      <c r="AO36" s="1830"/>
      <c r="AP36" s="1830"/>
      <c r="AQ36" s="1830"/>
      <c r="AR36" s="1830"/>
      <c r="AS36" s="1830"/>
      <c r="AT36" s="1830"/>
      <c r="AU36" s="20"/>
      <c r="AV36" s="20"/>
      <c r="AW36" s="20"/>
      <c r="AX36" s="20"/>
      <c r="AY36" s="20"/>
      <c r="AZ36" s="20"/>
    </row>
    <row r="37" spans="1:52" ht="13.05" customHeight="1">
      <c r="A37" s="1830"/>
      <c r="B37" s="1830"/>
      <c r="C37" s="1830"/>
      <c r="D37" s="1830"/>
      <c r="E37" s="1830"/>
      <c r="F37" s="1830"/>
      <c r="G37" s="1830"/>
      <c r="H37" s="1830"/>
      <c r="I37" s="1830"/>
      <c r="J37" s="1830"/>
      <c r="K37" s="1830"/>
      <c r="L37" s="1830"/>
      <c r="M37" s="1830"/>
      <c r="N37" s="1830"/>
      <c r="O37" s="1830"/>
      <c r="P37" s="1830"/>
      <c r="Q37" s="1830"/>
      <c r="R37" s="1830"/>
      <c r="S37" s="1830"/>
      <c r="T37" s="1830"/>
      <c r="U37" s="1830"/>
      <c r="V37" s="1830"/>
      <c r="W37" s="1830"/>
      <c r="X37" s="1830"/>
      <c r="Y37" s="1830"/>
      <c r="Z37" s="1830"/>
      <c r="AA37" s="1830"/>
      <c r="AB37" s="1830"/>
      <c r="AC37" s="1830"/>
      <c r="AD37" s="1830"/>
      <c r="AE37" s="1830"/>
      <c r="AF37" s="1830"/>
      <c r="AG37" s="1830"/>
      <c r="AH37" s="1830"/>
      <c r="AI37" s="1830"/>
      <c r="AJ37" s="1830"/>
      <c r="AK37" s="1830"/>
      <c r="AL37" s="1830"/>
      <c r="AM37" s="1830"/>
      <c r="AN37" s="1830"/>
      <c r="AO37" s="1830"/>
      <c r="AP37" s="1830"/>
      <c r="AQ37" s="1830"/>
      <c r="AR37" s="1830"/>
      <c r="AS37" s="1830"/>
      <c r="AT37" s="1830"/>
      <c r="AZ37" s="20"/>
    </row>
    <row r="38" spans="1:52" ht="13.05" customHeight="1">
      <c r="A38" s="3"/>
      <c r="AZ38" s="20"/>
    </row>
    <row r="39" spans="1:52" ht="13.05" customHeight="1">
      <c r="A39" s="1269" t="s">
        <v>2505</v>
      </c>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Z39" s="20"/>
    </row>
    <row r="40" spans="1:52" ht="13.05" customHeight="1">
      <c r="A40" s="1269"/>
      <c r="B40" s="1269"/>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20"/>
      <c r="AV40" s="20"/>
      <c r="AW40" s="20"/>
      <c r="AX40" s="20"/>
      <c r="AY40" s="20"/>
      <c r="AZ40" s="20"/>
    </row>
    <row r="41" spans="1:52" ht="13.05" customHeight="1">
      <c r="A41" s="1269"/>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20"/>
      <c r="AV41" s="20"/>
      <c r="AW41" s="20"/>
      <c r="AX41" s="20"/>
      <c r="AY41" s="20"/>
      <c r="AZ41" s="20"/>
    </row>
    <row r="42" spans="1:52" ht="13.05" customHeight="1">
      <c r="A42" s="1269"/>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Z42" s="20"/>
    </row>
    <row r="43" spans="1:52" ht="13.05" customHeight="1">
      <c r="A43" s="1269"/>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20"/>
      <c r="AV43" s="20"/>
      <c r="AW43" s="20"/>
      <c r="AX43" s="20"/>
      <c r="AY43" s="20"/>
      <c r="AZ43" s="20"/>
    </row>
    <row r="44" spans="1:52" ht="13.05" customHeight="1">
      <c r="A44" s="1269"/>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20"/>
      <c r="AV44" s="20"/>
      <c r="AW44" s="20"/>
      <c r="AX44" s="20"/>
      <c r="AY44" s="20"/>
      <c r="AZ44" s="20"/>
    </row>
    <row r="45" spans="1:52" ht="13.0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05" customHeight="1">
      <c r="A46" s="1355" t="s">
        <v>2506</v>
      </c>
      <c r="B46" s="1355"/>
      <c r="C46" s="1355"/>
      <c r="D46" s="1355"/>
      <c r="E46" s="1355"/>
      <c r="F46" s="1355"/>
      <c r="G46" s="1355"/>
      <c r="H46" s="1355"/>
      <c r="I46" s="1355"/>
      <c r="J46" s="1355"/>
      <c r="K46" s="1355"/>
      <c r="L46" s="1355"/>
      <c r="M46" s="1355"/>
      <c r="N46" s="1355"/>
      <c r="O46" s="1355"/>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20"/>
      <c r="AV46" s="20"/>
      <c r="AW46" s="20"/>
      <c r="AX46" s="20"/>
      <c r="AY46" s="20"/>
      <c r="AZ46" s="20"/>
    </row>
    <row r="47" spans="1:52" ht="13.05" customHeight="1">
      <c r="A47" s="1355"/>
      <c r="B47" s="1355"/>
      <c r="C47" s="1355"/>
      <c r="D47" s="1355"/>
      <c r="E47" s="1355"/>
      <c r="F47" s="1355"/>
      <c r="G47" s="1355"/>
      <c r="H47" s="1355"/>
      <c r="I47" s="1355"/>
      <c r="J47" s="1355"/>
      <c r="K47" s="1355"/>
      <c r="L47" s="1355"/>
      <c r="M47" s="1355"/>
      <c r="N47" s="1355"/>
      <c r="O47" s="1355"/>
      <c r="P47" s="1355"/>
      <c r="Q47" s="1355"/>
      <c r="R47" s="1355"/>
      <c r="S47" s="1355"/>
      <c r="T47" s="1355"/>
      <c r="U47" s="1355"/>
      <c r="V47" s="1355"/>
      <c r="W47" s="1355"/>
      <c r="X47" s="1355"/>
      <c r="Y47" s="1355"/>
      <c r="Z47" s="1355"/>
      <c r="AA47" s="1355"/>
      <c r="AB47" s="1355"/>
      <c r="AC47" s="1355"/>
      <c r="AD47" s="1355"/>
      <c r="AE47" s="1355"/>
      <c r="AF47" s="1355"/>
      <c r="AG47" s="1355"/>
      <c r="AH47" s="1355"/>
      <c r="AI47" s="1355"/>
      <c r="AJ47" s="1355"/>
      <c r="AK47" s="1355"/>
      <c r="AL47" s="1355"/>
      <c r="AM47" s="1355"/>
      <c r="AN47" s="1355"/>
      <c r="AO47" s="1355"/>
      <c r="AP47" s="1355"/>
      <c r="AQ47" s="1355"/>
      <c r="AR47" s="1355"/>
      <c r="AS47" s="1355"/>
      <c r="AT47" s="1355"/>
      <c r="AU47" s="20"/>
      <c r="AV47" s="20"/>
      <c r="AW47" s="20"/>
      <c r="AX47" s="20"/>
      <c r="AY47" s="20"/>
      <c r="AZ47" s="20"/>
    </row>
    <row r="48" spans="1:52" ht="13.05" customHeight="1">
      <c r="A48" s="1355"/>
      <c r="B48" s="1355"/>
      <c r="C48" s="1355"/>
      <c r="D48" s="1355"/>
      <c r="E48" s="1355"/>
      <c r="F48" s="1355"/>
      <c r="G48" s="1355"/>
      <c r="H48" s="1355"/>
      <c r="I48" s="1355"/>
      <c r="J48" s="1355"/>
      <c r="K48" s="1355"/>
      <c r="L48" s="1355"/>
      <c r="M48" s="1355"/>
      <c r="N48" s="1355"/>
      <c r="O48" s="1355"/>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20"/>
      <c r="AV48" s="20"/>
      <c r="AW48" s="20"/>
      <c r="AX48" s="20"/>
      <c r="AY48" s="20"/>
      <c r="AZ48" s="20"/>
    </row>
    <row r="49" spans="1:52" ht="13.05" customHeight="1">
      <c r="A49" s="1355"/>
      <c r="B49" s="1355"/>
      <c r="C49" s="1355"/>
      <c r="D49" s="1355"/>
      <c r="E49" s="1355"/>
      <c r="F49" s="1355"/>
      <c r="G49" s="1355"/>
      <c r="H49" s="1355"/>
      <c r="I49" s="1355"/>
      <c r="J49" s="1355"/>
      <c r="K49" s="1355"/>
      <c r="L49" s="1355"/>
      <c r="M49" s="1355"/>
      <c r="N49" s="1355"/>
      <c r="O49" s="1355"/>
      <c r="P49" s="1355"/>
      <c r="Q49" s="1355"/>
      <c r="R49" s="1355"/>
      <c r="S49" s="1355"/>
      <c r="T49" s="1355"/>
      <c r="U49" s="1355"/>
      <c r="V49" s="1355"/>
      <c r="W49" s="1355"/>
      <c r="X49" s="1355"/>
      <c r="Y49" s="1355"/>
      <c r="Z49" s="1355"/>
      <c r="AA49" s="1355"/>
      <c r="AB49" s="1355"/>
      <c r="AC49" s="1355"/>
      <c r="AD49" s="1355"/>
      <c r="AE49" s="1355"/>
      <c r="AF49" s="1355"/>
      <c r="AG49" s="1355"/>
      <c r="AH49" s="1355"/>
      <c r="AI49" s="1355"/>
      <c r="AJ49" s="1355"/>
      <c r="AK49" s="1355"/>
      <c r="AL49" s="1355"/>
      <c r="AM49" s="1355"/>
      <c r="AN49" s="1355"/>
      <c r="AO49" s="1355"/>
      <c r="AP49" s="1355"/>
      <c r="AQ49" s="1355"/>
      <c r="AR49" s="1355"/>
      <c r="AS49" s="1355"/>
      <c r="AT49" s="1355"/>
      <c r="AU49" s="20"/>
      <c r="AV49" s="20"/>
      <c r="AW49" s="20"/>
      <c r="AX49" s="20"/>
      <c r="AY49" s="20"/>
      <c r="AZ49" s="20"/>
    </row>
    <row r="50" spans="1:52" ht="13.0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05" customHeight="1">
      <c r="A51" s="1269" t="s">
        <v>2507</v>
      </c>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20"/>
      <c r="AV51" s="20"/>
      <c r="AW51" s="20"/>
      <c r="AX51" s="20"/>
      <c r="AY51" s="20"/>
      <c r="AZ51" s="20"/>
    </row>
    <row r="52" spans="1:52" ht="13.05" customHeight="1">
      <c r="A52" s="1269"/>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20"/>
      <c r="AV52" s="20"/>
      <c r="AW52" s="20"/>
      <c r="AX52" s="20"/>
      <c r="AY52" s="20"/>
      <c r="AZ52" s="20"/>
    </row>
    <row r="53" spans="1:52"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05" customHeight="1">
      <c r="A54" s="1269" t="s">
        <v>2508</v>
      </c>
      <c r="B54" s="1269"/>
      <c r="C54" s="1269"/>
      <c r="D54" s="1269"/>
      <c r="E54" s="1269"/>
      <c r="F54" s="1269"/>
      <c r="G54" s="1269"/>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20"/>
      <c r="AV54" s="20"/>
      <c r="AW54" s="20"/>
      <c r="AX54" s="20"/>
      <c r="AY54" s="20"/>
      <c r="AZ54" s="21"/>
    </row>
    <row r="55" spans="1:52" ht="13.05" customHeight="1">
      <c r="A55" s="1269"/>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Z55" s="21"/>
    </row>
    <row r="56" spans="1:52" ht="13.05" customHeigh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row>
    <row r="57" spans="1:52" ht="13.05" customHeight="1">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row>
    <row r="58" spans="1:52" ht="13.05" customHeight="1">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row>
    <row r="59" spans="1:52" ht="13.0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05" customHeight="1">
      <c r="A60" s="1269" t="s">
        <v>2509</v>
      </c>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20"/>
      <c r="AV60" s="20"/>
      <c r="AW60" s="20"/>
      <c r="AX60" s="20"/>
      <c r="AY60" s="20"/>
      <c r="AZ60" s="20"/>
    </row>
    <row r="61" spans="1:52" ht="13.05" customHeight="1">
      <c r="A61" s="1269"/>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20"/>
      <c r="AV61" s="20"/>
      <c r="AW61" s="20"/>
      <c r="AX61" s="20"/>
      <c r="AY61" s="20"/>
      <c r="AZ61" s="20"/>
    </row>
    <row r="62" spans="1:52" ht="13.0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05" customHeight="1">
      <c r="A63" s="91" t="s">
        <v>2510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05" customHeight="1">
      <c r="A65" s="1553" t="s">
        <v>2511</v>
      </c>
      <c r="B65" s="1553"/>
      <c r="C65" s="1553"/>
      <c r="D65" s="1553"/>
      <c r="E65" s="1553"/>
      <c r="F65" s="1553"/>
      <c r="G65" s="1553"/>
      <c r="H65" s="1553"/>
      <c r="I65" s="1553"/>
      <c r="J65" s="1553"/>
      <c r="K65" s="1553"/>
      <c r="L65" s="1553"/>
      <c r="M65" s="1553"/>
      <c r="N65" s="1553"/>
      <c r="O65" s="1553"/>
      <c r="P65" s="1553"/>
      <c r="Q65" s="1553"/>
      <c r="R65" s="1553"/>
      <c r="S65" s="1553"/>
      <c r="T65" s="1553"/>
      <c r="U65" s="1553"/>
      <c r="V65" s="1553"/>
      <c r="W65" s="1553"/>
      <c r="X65" s="1553"/>
      <c r="Y65" s="1553"/>
      <c r="Z65" s="1553"/>
      <c r="AA65" s="1553"/>
      <c r="AB65" s="1553"/>
      <c r="AC65" s="1553"/>
      <c r="AD65" s="1553"/>
      <c r="AE65" s="1553"/>
      <c r="AF65" s="1553"/>
      <c r="AG65" s="1553"/>
      <c r="AH65" s="1553"/>
      <c r="AI65" s="1553"/>
      <c r="AJ65" s="1553"/>
      <c r="AK65" s="1553"/>
      <c r="AL65" s="1553"/>
      <c r="AM65" s="1553"/>
      <c r="AN65" s="1553"/>
      <c r="AO65" s="1553"/>
      <c r="AP65" s="1553"/>
      <c r="AQ65" s="1553"/>
      <c r="AR65" s="1553"/>
      <c r="AS65" s="1553"/>
      <c r="AT65" s="1553"/>
      <c r="AU65" s="21"/>
      <c r="AV65" s="21"/>
      <c r="AW65" s="21"/>
      <c r="AX65" s="21"/>
      <c r="AY65" s="21"/>
      <c r="AZ65" s="20"/>
    </row>
    <row r="66" spans="1:52" ht="13.05" customHeight="1">
      <c r="A66" s="1553"/>
      <c r="B66" s="1553"/>
      <c r="C66" s="1553"/>
      <c r="D66" s="1553"/>
      <c r="E66" s="1553"/>
      <c r="F66" s="1553"/>
      <c r="G66" s="1553"/>
      <c r="H66" s="1553"/>
      <c r="I66" s="1553"/>
      <c r="J66" s="1553"/>
      <c r="K66" s="1553"/>
      <c r="L66" s="1553"/>
      <c r="M66" s="1553"/>
      <c r="N66" s="1553"/>
      <c r="O66" s="1553"/>
      <c r="P66" s="1553"/>
      <c r="Q66" s="1553"/>
      <c r="R66" s="1553"/>
      <c r="S66" s="1553"/>
      <c r="T66" s="1553"/>
      <c r="U66" s="1553"/>
      <c r="V66" s="1553"/>
      <c r="W66" s="1553"/>
      <c r="X66" s="1553"/>
      <c r="Y66" s="1553"/>
      <c r="Z66" s="1553"/>
      <c r="AA66" s="1553"/>
      <c r="AB66" s="1553"/>
      <c r="AC66" s="1553"/>
      <c r="AD66" s="1553"/>
      <c r="AE66" s="1553"/>
      <c r="AF66" s="1553"/>
      <c r="AG66" s="1553"/>
      <c r="AH66" s="1553"/>
      <c r="AI66" s="1553"/>
      <c r="AJ66" s="1553"/>
      <c r="AK66" s="1553"/>
      <c r="AL66" s="1553"/>
      <c r="AM66" s="1553"/>
      <c r="AN66" s="1553"/>
      <c r="AO66" s="1553"/>
      <c r="AP66" s="1553"/>
      <c r="AQ66" s="1553"/>
      <c r="AR66" s="1553"/>
      <c r="AS66" s="1553"/>
      <c r="AT66" s="1553"/>
      <c r="AU66" s="21"/>
      <c r="AV66" s="21"/>
      <c r="AW66" s="21"/>
      <c r="AX66" s="21"/>
      <c r="AY66" s="21"/>
      <c r="AZ66" s="20"/>
    </row>
    <row r="67" spans="1:52" ht="13.05" customHeight="1">
      <c r="A67" s="1553"/>
      <c r="B67" s="1553"/>
      <c r="C67" s="1553"/>
      <c r="D67" s="1553"/>
      <c r="E67" s="1553"/>
      <c r="F67" s="1553"/>
      <c r="G67" s="1553"/>
      <c r="H67" s="1553"/>
      <c r="I67" s="1553"/>
      <c r="J67" s="1553"/>
      <c r="K67" s="1553"/>
      <c r="L67" s="1553"/>
      <c r="M67" s="1553"/>
      <c r="N67" s="1553"/>
      <c r="O67" s="1553"/>
      <c r="P67" s="1553"/>
      <c r="Q67" s="1553"/>
      <c r="R67" s="1553"/>
      <c r="S67" s="1553"/>
      <c r="T67" s="1553"/>
      <c r="U67" s="1553"/>
      <c r="V67" s="1553"/>
      <c r="W67" s="1553"/>
      <c r="X67" s="1553"/>
      <c r="Y67" s="1553"/>
      <c r="Z67" s="1553"/>
      <c r="AA67" s="1553"/>
      <c r="AB67" s="1553"/>
      <c r="AC67" s="1553"/>
      <c r="AD67" s="1553"/>
      <c r="AE67" s="1553"/>
      <c r="AF67" s="1553"/>
      <c r="AG67" s="1553"/>
      <c r="AH67" s="1553"/>
      <c r="AI67" s="1553"/>
      <c r="AJ67" s="1553"/>
      <c r="AK67" s="1553"/>
      <c r="AL67" s="1553"/>
      <c r="AM67" s="1553"/>
      <c r="AN67" s="1553"/>
      <c r="AO67" s="1553"/>
      <c r="AP67" s="1553"/>
      <c r="AQ67" s="1553"/>
      <c r="AR67" s="1553"/>
      <c r="AS67" s="1553"/>
      <c r="AT67" s="1553"/>
      <c r="AZ67" s="20"/>
    </row>
    <row r="68" spans="1:52"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05" customHeight="1">
      <c r="A69" s="1553" t="s">
        <v>2512</v>
      </c>
      <c r="B69" s="1553"/>
      <c r="C69" s="1553"/>
      <c r="D69" s="1553"/>
      <c r="E69" s="1553"/>
      <c r="F69" s="1553"/>
      <c r="G69" s="1553"/>
      <c r="H69" s="1553"/>
      <c r="I69" s="1553"/>
      <c r="J69" s="1553"/>
      <c r="K69" s="1553"/>
      <c r="L69" s="1553"/>
      <c r="M69" s="1553"/>
      <c r="N69" s="1553"/>
      <c r="O69" s="1553"/>
      <c r="P69" s="1553"/>
      <c r="Q69" s="1553"/>
      <c r="R69" s="1553"/>
      <c r="S69" s="1553"/>
      <c r="T69" s="1553"/>
      <c r="U69" s="1553"/>
      <c r="V69" s="1553"/>
      <c r="W69" s="1553"/>
      <c r="X69" s="1553"/>
      <c r="Y69" s="1553"/>
      <c r="Z69" s="1553"/>
      <c r="AA69" s="1553"/>
      <c r="AB69" s="1553"/>
      <c r="AC69" s="1553"/>
      <c r="AD69" s="1553"/>
      <c r="AE69" s="1553"/>
      <c r="AF69" s="1553"/>
      <c r="AG69" s="1553"/>
      <c r="AH69" s="1553"/>
      <c r="AI69" s="1553"/>
      <c r="AJ69" s="1553"/>
      <c r="AK69" s="1553"/>
      <c r="AL69" s="1553"/>
      <c r="AM69" s="1553"/>
      <c r="AN69" s="1553"/>
      <c r="AO69" s="1553"/>
      <c r="AP69" s="1553"/>
      <c r="AQ69" s="1553"/>
      <c r="AR69" s="1553"/>
      <c r="AS69" s="1553"/>
      <c r="AT69" s="1553"/>
      <c r="AZ69" s="20"/>
    </row>
    <row r="70" spans="1:52" ht="13.05" customHeight="1">
      <c r="A70" s="1553"/>
      <c r="B70" s="1553"/>
      <c r="C70" s="1553"/>
      <c r="D70" s="1553"/>
      <c r="E70" s="1553"/>
      <c r="F70" s="1553"/>
      <c r="G70" s="1553"/>
      <c r="H70" s="1553"/>
      <c r="I70" s="1553"/>
      <c r="J70" s="1553"/>
      <c r="K70" s="1553"/>
      <c r="L70" s="1553"/>
      <c r="M70" s="1553"/>
      <c r="N70" s="1553"/>
      <c r="O70" s="1553"/>
      <c r="P70" s="1553"/>
      <c r="Q70" s="1553"/>
      <c r="R70" s="1553"/>
      <c r="S70" s="1553"/>
      <c r="T70" s="1553"/>
      <c r="U70" s="1553"/>
      <c r="V70" s="1553"/>
      <c r="W70" s="1553"/>
      <c r="X70" s="1553"/>
      <c r="Y70" s="1553"/>
      <c r="Z70" s="1553"/>
      <c r="AA70" s="1553"/>
      <c r="AB70" s="1553"/>
      <c r="AC70" s="1553"/>
      <c r="AD70" s="1553"/>
      <c r="AE70" s="1553"/>
      <c r="AF70" s="1553"/>
      <c r="AG70" s="1553"/>
      <c r="AH70" s="1553"/>
      <c r="AI70" s="1553"/>
      <c r="AJ70" s="1553"/>
      <c r="AK70" s="1553"/>
      <c r="AL70" s="1553"/>
      <c r="AM70" s="1553"/>
      <c r="AN70" s="1553"/>
      <c r="AO70" s="1553"/>
      <c r="AP70" s="1553"/>
      <c r="AQ70" s="1553"/>
      <c r="AR70" s="1553"/>
      <c r="AS70" s="1553"/>
      <c r="AT70" s="1553"/>
      <c r="AU70" s="20"/>
      <c r="AV70" s="20"/>
      <c r="AW70" s="20"/>
      <c r="AX70" s="20"/>
      <c r="AY70" s="20"/>
      <c r="AZ70" s="20"/>
    </row>
    <row r="71" spans="1:52" ht="13.0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05" customHeight="1">
      <c r="A72" s="1830" t="s">
        <v>2513</v>
      </c>
      <c r="B72" s="1830"/>
      <c r="C72" s="1830"/>
      <c r="D72" s="1830"/>
      <c r="E72" s="1830"/>
      <c r="F72" s="1830"/>
      <c r="G72" s="1830"/>
      <c r="H72" s="1830"/>
      <c r="I72" s="1830"/>
      <c r="J72" s="1830"/>
      <c r="K72" s="1830"/>
      <c r="L72" s="1830"/>
      <c r="M72" s="1830"/>
      <c r="N72" s="1830"/>
      <c r="O72" s="1830"/>
      <c r="P72" s="1830"/>
      <c r="Q72" s="1830"/>
      <c r="R72" s="1830"/>
      <c r="S72" s="1830"/>
      <c r="T72" s="1830"/>
      <c r="U72" s="1830"/>
      <c r="V72" s="1830"/>
      <c r="W72" s="1830"/>
      <c r="X72" s="1830"/>
      <c r="Y72" s="1830"/>
      <c r="Z72" s="1830"/>
      <c r="AA72" s="1830"/>
      <c r="AB72" s="1830"/>
      <c r="AC72" s="1830"/>
      <c r="AD72" s="1830"/>
      <c r="AE72" s="1830"/>
      <c r="AF72" s="1830"/>
      <c r="AG72" s="1830"/>
      <c r="AH72" s="1830"/>
      <c r="AI72" s="1830"/>
      <c r="AJ72" s="1830"/>
      <c r="AK72" s="1830"/>
      <c r="AL72" s="1830"/>
      <c r="AM72" s="1830"/>
      <c r="AN72" s="1830"/>
      <c r="AO72" s="1830"/>
      <c r="AP72" s="1830"/>
      <c r="AQ72" s="1830"/>
      <c r="AR72" s="1830"/>
      <c r="AS72" s="1830"/>
      <c r="AT72" s="1830"/>
      <c r="AU72" s="20"/>
      <c r="AV72" s="20"/>
      <c r="AW72" s="20"/>
      <c r="AX72" s="20"/>
      <c r="AY72" s="20"/>
      <c r="AZ72" s="20"/>
    </row>
    <row r="73" spans="1:52" ht="13.05" customHeight="1">
      <c r="A73" s="1830"/>
      <c r="B73" s="1830"/>
      <c r="C73" s="1830"/>
      <c r="D73" s="1830"/>
      <c r="E73" s="1830"/>
      <c r="F73" s="1830"/>
      <c r="G73" s="1830"/>
      <c r="H73" s="1830"/>
      <c r="I73" s="1830"/>
      <c r="J73" s="1830"/>
      <c r="K73" s="1830"/>
      <c r="L73" s="1830"/>
      <c r="M73" s="1830"/>
      <c r="N73" s="1830"/>
      <c r="O73" s="1830"/>
      <c r="P73" s="1830"/>
      <c r="Q73" s="1830"/>
      <c r="R73" s="1830"/>
      <c r="S73" s="1830"/>
      <c r="T73" s="1830"/>
      <c r="U73" s="1830"/>
      <c r="V73" s="1830"/>
      <c r="W73" s="1830"/>
      <c r="X73" s="1830"/>
      <c r="Y73" s="1830"/>
      <c r="Z73" s="1830"/>
      <c r="AA73" s="1830"/>
      <c r="AB73" s="1830"/>
      <c r="AC73" s="1830"/>
      <c r="AD73" s="1830"/>
      <c r="AE73" s="1830"/>
      <c r="AF73" s="1830"/>
      <c r="AG73" s="1830"/>
      <c r="AH73" s="1830"/>
      <c r="AI73" s="1830"/>
      <c r="AJ73" s="1830"/>
      <c r="AK73" s="1830"/>
      <c r="AL73" s="1830"/>
      <c r="AM73" s="1830"/>
      <c r="AN73" s="1830"/>
      <c r="AO73" s="1830"/>
      <c r="AP73" s="1830"/>
      <c r="AQ73" s="1830"/>
      <c r="AR73" s="1830"/>
      <c r="AS73" s="1830"/>
      <c r="AT73" s="1830"/>
      <c r="AU73" s="20"/>
      <c r="AV73" s="20"/>
      <c r="AW73" s="20"/>
      <c r="AX73" s="20"/>
      <c r="AY73" s="20"/>
      <c r="AZ73" s="20"/>
    </row>
    <row r="74" spans="1:52"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05" customHeight="1">
      <c r="A75" s="1552" t="s">
        <v>2514</v>
      </c>
      <c r="B75" s="1552"/>
      <c r="C75" s="1552"/>
      <c r="D75" s="1552"/>
      <c r="E75" s="1552"/>
      <c r="F75" s="1552"/>
      <c r="G75" s="1552"/>
      <c r="H75" s="1552"/>
      <c r="I75" s="1552"/>
      <c r="J75" s="1552"/>
      <c r="K75" s="1552"/>
      <c r="L75" s="1552"/>
      <c r="M75" s="1552"/>
      <c r="N75" s="1552"/>
      <c r="O75" s="1552"/>
      <c r="P75" s="1552"/>
      <c r="Q75" s="1552"/>
      <c r="R75" s="1552"/>
      <c r="S75" s="1552"/>
      <c r="T75" s="1552"/>
      <c r="U75" s="1552"/>
      <c r="V75" s="1552"/>
      <c r="W75" s="1552"/>
      <c r="X75" s="1552"/>
      <c r="Y75" s="1552"/>
      <c r="Z75" s="1552"/>
      <c r="AA75" s="1552"/>
      <c r="AB75" s="1552"/>
      <c r="AC75" s="1552"/>
      <c r="AD75" s="1552"/>
      <c r="AE75" s="1552"/>
      <c r="AF75" s="1552"/>
      <c r="AG75" s="1552"/>
      <c r="AH75" s="1552"/>
      <c r="AI75" s="1552"/>
      <c r="AJ75" s="1552"/>
      <c r="AK75" s="1552"/>
      <c r="AL75" s="1552"/>
      <c r="AM75" s="1552"/>
      <c r="AN75" s="1552"/>
      <c r="AO75" s="1552"/>
      <c r="AP75" s="1552"/>
      <c r="AQ75" s="1552"/>
      <c r="AR75" s="1552"/>
      <c r="AS75" s="1552"/>
      <c r="AT75" s="1552"/>
      <c r="AU75" s="20"/>
      <c r="AV75" s="20"/>
      <c r="AW75" s="20"/>
      <c r="AX75" s="20"/>
      <c r="AY75" s="20"/>
      <c r="AZ75" s="20"/>
    </row>
    <row r="76" spans="1:52" ht="13.05" customHeight="1">
      <c r="A76" s="1552"/>
      <c r="B76" s="1552"/>
      <c r="C76" s="1552"/>
      <c r="D76" s="1552"/>
      <c r="E76" s="1552"/>
      <c r="F76" s="1552"/>
      <c r="G76" s="1552"/>
      <c r="H76" s="1552"/>
      <c r="I76" s="1552"/>
      <c r="J76" s="1552"/>
      <c r="K76" s="1552"/>
      <c r="L76" s="1552"/>
      <c r="M76" s="1552"/>
      <c r="N76" s="1552"/>
      <c r="O76" s="1552"/>
      <c r="P76" s="1552"/>
      <c r="Q76" s="1552"/>
      <c r="R76" s="1552"/>
      <c r="S76" s="1552"/>
      <c r="T76" s="1552"/>
      <c r="U76" s="1552"/>
      <c r="V76" s="1552"/>
      <c r="W76" s="1552"/>
      <c r="X76" s="1552"/>
      <c r="Y76" s="1552"/>
      <c r="Z76" s="1552"/>
      <c r="AA76" s="1552"/>
      <c r="AB76" s="1552"/>
      <c r="AC76" s="1552"/>
      <c r="AD76" s="1552"/>
      <c r="AE76" s="1552"/>
      <c r="AF76" s="1552"/>
      <c r="AG76" s="1552"/>
      <c r="AH76" s="1552"/>
      <c r="AI76" s="1552"/>
      <c r="AJ76" s="1552"/>
      <c r="AK76" s="1552"/>
      <c r="AL76" s="1552"/>
      <c r="AM76" s="1552"/>
      <c r="AN76" s="1552"/>
      <c r="AO76" s="1552"/>
      <c r="AP76" s="1552"/>
      <c r="AQ76" s="1552"/>
      <c r="AR76" s="1552"/>
      <c r="AS76" s="1552"/>
      <c r="AT76" s="1552"/>
      <c r="AU76" s="20"/>
      <c r="AV76" s="20"/>
      <c r="AW76" s="20"/>
      <c r="AX76" s="20"/>
      <c r="AY76" s="20"/>
      <c r="AZ76" s="17"/>
    </row>
    <row r="77" spans="1:52" ht="13.05" customHeight="1">
      <c r="A77" s="1552"/>
      <c r="B77" s="1552"/>
      <c r="C77" s="1552"/>
      <c r="D77" s="1552"/>
      <c r="E77" s="1552"/>
      <c r="F77" s="1552"/>
      <c r="G77" s="1552"/>
      <c r="H77" s="1552"/>
      <c r="I77" s="1552"/>
      <c r="J77" s="1552"/>
      <c r="K77" s="1552"/>
      <c r="L77" s="1552"/>
      <c r="M77" s="1552"/>
      <c r="N77" s="1552"/>
      <c r="O77" s="1552"/>
      <c r="P77" s="1552"/>
      <c r="Q77" s="1552"/>
      <c r="R77" s="1552"/>
      <c r="S77" s="1552"/>
      <c r="T77" s="1552"/>
      <c r="U77" s="1552"/>
      <c r="V77" s="1552"/>
      <c r="W77" s="1552"/>
      <c r="X77" s="1552"/>
      <c r="Y77" s="1552"/>
      <c r="Z77" s="1552"/>
      <c r="AA77" s="1552"/>
      <c r="AB77" s="1552"/>
      <c r="AC77" s="1552"/>
      <c r="AD77" s="1552"/>
      <c r="AE77" s="1552"/>
      <c r="AF77" s="1552"/>
      <c r="AG77" s="1552"/>
      <c r="AH77" s="1552"/>
      <c r="AI77" s="1552"/>
      <c r="AJ77" s="1552"/>
      <c r="AK77" s="1552"/>
      <c r="AL77" s="1552"/>
      <c r="AM77" s="1552"/>
      <c r="AN77" s="1552"/>
      <c r="AO77" s="1552"/>
      <c r="AP77" s="1552"/>
      <c r="AQ77" s="1552"/>
      <c r="AR77" s="1552"/>
      <c r="AS77" s="1552"/>
      <c r="AT77" s="1552"/>
      <c r="AU77" s="20"/>
      <c r="AV77" s="20"/>
      <c r="AW77" s="20"/>
      <c r="AX77" s="20"/>
      <c r="AY77" s="20"/>
      <c r="AZ77" s="17"/>
    </row>
    <row r="78" spans="1:52"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05" customHeight="1">
      <c r="A79" s="1553" t="s">
        <v>2515</v>
      </c>
      <c r="B79" s="1553"/>
      <c r="C79" s="1553"/>
      <c r="D79" s="1553"/>
      <c r="E79" s="1553"/>
      <c r="F79" s="1553"/>
      <c r="G79" s="1553"/>
      <c r="H79" s="1553"/>
      <c r="I79" s="1553"/>
      <c r="J79" s="1553"/>
      <c r="K79" s="1553"/>
      <c r="L79" s="1553"/>
      <c r="M79" s="1553"/>
      <c r="N79" s="1553"/>
      <c r="O79" s="1553"/>
      <c r="P79" s="1553"/>
      <c r="Q79" s="1553"/>
      <c r="R79" s="1553"/>
      <c r="S79" s="1553"/>
      <c r="T79" s="1553"/>
      <c r="U79" s="1553"/>
      <c r="V79" s="1553"/>
      <c r="W79" s="1553"/>
      <c r="X79" s="1553"/>
      <c r="Y79" s="1553"/>
      <c r="Z79" s="1553"/>
      <c r="AA79" s="1553"/>
      <c r="AB79" s="1553"/>
      <c r="AC79" s="1553"/>
      <c r="AD79" s="1553"/>
      <c r="AE79" s="1553"/>
      <c r="AF79" s="1553"/>
      <c r="AG79" s="1553"/>
      <c r="AH79" s="1553"/>
      <c r="AI79" s="1553"/>
      <c r="AJ79" s="1553"/>
      <c r="AK79" s="1553"/>
      <c r="AL79" s="1553"/>
      <c r="AM79" s="1553"/>
      <c r="AN79" s="1553"/>
      <c r="AO79" s="1553"/>
      <c r="AP79" s="1553"/>
      <c r="AQ79" s="1553"/>
      <c r="AR79" s="1553"/>
      <c r="AS79" s="1553"/>
      <c r="AT79" s="1553"/>
      <c r="AU79" s="20"/>
      <c r="AV79" s="20"/>
      <c r="AW79" s="20"/>
      <c r="AX79" s="20"/>
      <c r="AY79" s="20"/>
      <c r="AZ79" s="20"/>
    </row>
    <row r="80" spans="1:52" ht="13.05" customHeight="1">
      <c r="A80" s="1553"/>
      <c r="B80" s="1553"/>
      <c r="C80" s="1553"/>
      <c r="D80" s="1553"/>
      <c r="E80" s="1553"/>
      <c r="F80" s="1553"/>
      <c r="G80" s="1553"/>
      <c r="H80" s="1553"/>
      <c r="I80" s="1553"/>
      <c r="J80" s="1553"/>
      <c r="K80" s="1553"/>
      <c r="L80" s="1553"/>
      <c r="M80" s="1553"/>
      <c r="N80" s="1553"/>
      <c r="O80" s="1553"/>
      <c r="P80" s="1553"/>
      <c r="Q80" s="1553"/>
      <c r="R80" s="1553"/>
      <c r="S80" s="1553"/>
      <c r="T80" s="1553"/>
      <c r="U80" s="1553"/>
      <c r="V80" s="1553"/>
      <c r="W80" s="1553"/>
      <c r="X80" s="1553"/>
      <c r="Y80" s="1553"/>
      <c r="Z80" s="1553"/>
      <c r="AA80" s="1553"/>
      <c r="AB80" s="1553"/>
      <c r="AC80" s="1553"/>
      <c r="AD80" s="1553"/>
      <c r="AE80" s="1553"/>
      <c r="AF80" s="1553"/>
      <c r="AG80" s="1553"/>
      <c r="AH80" s="1553"/>
      <c r="AI80" s="1553"/>
      <c r="AJ80" s="1553"/>
      <c r="AK80" s="1553"/>
      <c r="AL80" s="1553"/>
      <c r="AM80" s="1553"/>
      <c r="AN80" s="1553"/>
      <c r="AO80" s="1553"/>
      <c r="AP80" s="1553"/>
      <c r="AQ80" s="1553"/>
      <c r="AR80" s="1553"/>
      <c r="AS80" s="1553"/>
      <c r="AT80" s="1553"/>
      <c r="AU80" s="20"/>
      <c r="AV80" s="20"/>
      <c r="AW80" s="20"/>
      <c r="AX80" s="20"/>
      <c r="AY80" s="20"/>
      <c r="AZ80" s="20"/>
    </row>
    <row r="81" spans="1:52" ht="13.05" customHeight="1">
      <c r="A81" s="1553"/>
      <c r="B81" s="1553"/>
      <c r="C81" s="1553"/>
      <c r="D81" s="1553"/>
      <c r="E81" s="1553"/>
      <c r="F81" s="1553"/>
      <c r="G81" s="1553"/>
      <c r="H81" s="1553"/>
      <c r="I81" s="1553"/>
      <c r="J81" s="1553"/>
      <c r="K81" s="1553"/>
      <c r="L81" s="1553"/>
      <c r="M81" s="1553"/>
      <c r="N81" s="1553"/>
      <c r="O81" s="1553"/>
      <c r="P81" s="1553"/>
      <c r="Q81" s="1553"/>
      <c r="R81" s="1553"/>
      <c r="S81" s="1553"/>
      <c r="T81" s="1553"/>
      <c r="U81" s="1553"/>
      <c r="V81" s="1553"/>
      <c r="W81" s="1553"/>
      <c r="X81" s="1553"/>
      <c r="Y81" s="1553"/>
      <c r="Z81" s="1553"/>
      <c r="AA81" s="1553"/>
      <c r="AB81" s="1553"/>
      <c r="AC81" s="1553"/>
      <c r="AD81" s="1553"/>
      <c r="AE81" s="1553"/>
      <c r="AF81" s="1553"/>
      <c r="AG81" s="1553"/>
      <c r="AH81" s="1553"/>
      <c r="AI81" s="1553"/>
      <c r="AJ81" s="1553"/>
      <c r="AK81" s="1553"/>
      <c r="AL81" s="1553"/>
      <c r="AM81" s="1553"/>
      <c r="AN81" s="1553"/>
      <c r="AO81" s="1553"/>
      <c r="AP81" s="1553"/>
      <c r="AQ81" s="1553"/>
      <c r="AR81" s="1553"/>
      <c r="AS81" s="1553"/>
      <c r="AT81" s="1553"/>
      <c r="AU81" s="20"/>
      <c r="AV81" s="20"/>
      <c r="AW81" s="20"/>
      <c r="AX81" s="20"/>
      <c r="AY81" s="20"/>
      <c r="AZ81" s="20"/>
    </row>
    <row r="82" spans="1:52" ht="13.0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05" customHeight="1">
      <c r="A83" s="1269" t="s">
        <v>2516</v>
      </c>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20"/>
      <c r="AV83" s="20"/>
      <c r="AW83" s="20"/>
      <c r="AX83" s="20"/>
      <c r="AY83" s="20"/>
      <c r="AZ83" s="20"/>
    </row>
    <row r="84" spans="1:52" ht="13.05" customHeight="1">
      <c r="A84" s="1269"/>
      <c r="B84" s="1269"/>
      <c r="C84" s="1269"/>
      <c r="D84" s="1269"/>
      <c r="E84" s="1269"/>
      <c r="F84" s="1269"/>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20"/>
      <c r="AV84" s="20"/>
      <c r="AW84" s="20"/>
      <c r="AX84" s="20"/>
      <c r="AY84" s="20"/>
      <c r="AZ84" s="20"/>
    </row>
    <row r="85" spans="1:52"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05" customHeight="1">
      <c r="A86" s="1269" t="s">
        <v>2517</v>
      </c>
      <c r="B86" s="1269"/>
      <c r="C86" s="1269"/>
      <c r="D86" s="1269"/>
      <c r="E86" s="1269"/>
      <c r="F86" s="1269"/>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20"/>
      <c r="AV86" s="20"/>
      <c r="AW86" s="20"/>
      <c r="AX86" s="20"/>
      <c r="AY86" s="20"/>
      <c r="AZ86" s="20"/>
    </row>
    <row r="87" spans="1:52" ht="13.05" customHeight="1">
      <c r="A87" s="1269"/>
      <c r="B87" s="1269"/>
      <c r="C87" s="1269"/>
      <c r="D87" s="1269"/>
      <c r="E87" s="1269"/>
      <c r="F87" s="1269"/>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20"/>
      <c r="AV87" s="20"/>
      <c r="AW87" s="20"/>
      <c r="AX87" s="20"/>
      <c r="AY87" s="20"/>
      <c r="AZ87" s="20"/>
    </row>
    <row r="88" spans="1:52"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05" customHeight="1">
      <c r="A89" s="1572" t="s">
        <v>2518</v>
      </c>
      <c r="B89" s="1572"/>
      <c r="C89" s="1572"/>
      <c r="D89" s="1572"/>
      <c r="E89" s="1572"/>
      <c r="F89" s="1572"/>
      <c r="G89" s="1572"/>
      <c r="H89" s="1572"/>
      <c r="I89" s="1572"/>
      <c r="J89" s="1572"/>
      <c r="K89" s="1572"/>
      <c r="L89" s="1572"/>
      <c r="M89" s="1572"/>
      <c r="N89" s="1572"/>
      <c r="O89" s="1572"/>
      <c r="P89" s="1572"/>
      <c r="Q89" s="1572"/>
      <c r="R89" s="1572"/>
      <c r="S89" s="1572"/>
      <c r="T89" s="1572"/>
      <c r="U89" s="1572"/>
      <c r="V89" s="1572"/>
      <c r="W89" s="1572"/>
      <c r="X89" s="1572"/>
      <c r="Y89" s="1572"/>
      <c r="Z89" s="1572"/>
      <c r="AA89" s="1572"/>
      <c r="AB89" s="1572"/>
      <c r="AC89" s="1572"/>
      <c r="AD89" s="1572"/>
      <c r="AE89" s="1572"/>
      <c r="AF89" s="1572"/>
      <c r="AG89" s="1572"/>
      <c r="AH89" s="1572"/>
      <c r="AI89" s="1572"/>
      <c r="AJ89" s="1572"/>
      <c r="AK89" s="1572"/>
      <c r="AL89" s="1572"/>
      <c r="AM89" s="1572"/>
      <c r="AN89" s="1572"/>
      <c r="AO89" s="1572"/>
      <c r="AP89" s="1572"/>
      <c r="AQ89" s="1572"/>
      <c r="AR89" s="1572"/>
      <c r="AS89" s="1572"/>
      <c r="AT89" s="1572"/>
      <c r="AU89" s="17"/>
      <c r="AV89" s="17"/>
      <c r="AW89" s="17"/>
      <c r="AX89" s="17"/>
      <c r="AY89" s="17"/>
      <c r="AZ89" s="20"/>
    </row>
    <row r="90" spans="1:52" ht="13.05" customHeight="1">
      <c r="A90" s="1572"/>
      <c r="B90" s="1572"/>
      <c r="C90" s="1572"/>
      <c r="D90" s="1572"/>
      <c r="E90" s="1572"/>
      <c r="F90" s="1572"/>
      <c r="G90" s="1572"/>
      <c r="H90" s="1572"/>
      <c r="I90" s="1572"/>
      <c r="J90" s="1572"/>
      <c r="K90" s="1572"/>
      <c r="L90" s="1572"/>
      <c r="M90" s="1572"/>
      <c r="N90" s="1572"/>
      <c r="O90" s="1572"/>
      <c r="P90" s="1572"/>
      <c r="Q90" s="1572"/>
      <c r="R90" s="1572"/>
      <c r="S90" s="1572"/>
      <c r="T90" s="1572"/>
      <c r="U90" s="1572"/>
      <c r="V90" s="1572"/>
      <c r="W90" s="1572"/>
      <c r="X90" s="1572"/>
      <c r="Y90" s="1572"/>
      <c r="Z90" s="1572"/>
      <c r="AA90" s="1572"/>
      <c r="AB90" s="1572"/>
      <c r="AC90" s="1572"/>
      <c r="AD90" s="1572"/>
      <c r="AE90" s="1572"/>
      <c r="AF90" s="1572"/>
      <c r="AG90" s="1572"/>
      <c r="AH90" s="1572"/>
      <c r="AI90" s="1572"/>
      <c r="AJ90" s="1572"/>
      <c r="AK90" s="1572"/>
      <c r="AL90" s="1572"/>
      <c r="AM90" s="1572"/>
      <c r="AN90" s="1572"/>
      <c r="AO90" s="1572"/>
      <c r="AP90" s="1572"/>
      <c r="AQ90" s="1572"/>
      <c r="AR90" s="1572"/>
      <c r="AS90" s="1572"/>
      <c r="AT90" s="1572"/>
      <c r="AU90" s="17"/>
      <c r="AV90" s="17"/>
      <c r="AW90" s="17"/>
      <c r="AX90" s="17"/>
      <c r="AY90" s="17"/>
      <c r="AZ90" s="20"/>
    </row>
    <row r="91" spans="1:52"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05" customHeight="1">
      <c r="A92" s="1552" t="s">
        <v>2519</v>
      </c>
      <c r="B92" s="1552"/>
      <c r="C92" s="1552"/>
      <c r="D92" s="1552"/>
      <c r="E92" s="1552"/>
      <c r="F92" s="1552"/>
      <c r="G92" s="1552"/>
      <c r="H92" s="1552"/>
      <c r="I92" s="1552"/>
      <c r="J92" s="1552"/>
      <c r="K92" s="1552"/>
      <c r="L92" s="1552"/>
      <c r="M92" s="1552"/>
      <c r="N92" s="1552"/>
      <c r="O92" s="1552"/>
      <c r="P92" s="1552"/>
      <c r="Q92" s="1552"/>
      <c r="R92" s="1552"/>
      <c r="S92" s="1552"/>
      <c r="T92" s="1552"/>
      <c r="U92" s="1552"/>
      <c r="V92" s="1552"/>
      <c r="W92" s="1552"/>
      <c r="X92" s="1552"/>
      <c r="Y92" s="1552"/>
      <c r="Z92" s="1552"/>
      <c r="AA92" s="1552"/>
      <c r="AB92" s="1552"/>
      <c r="AC92" s="1552"/>
      <c r="AD92" s="1552"/>
      <c r="AE92" s="1552"/>
      <c r="AF92" s="1552"/>
      <c r="AG92" s="1552"/>
      <c r="AH92" s="1552"/>
      <c r="AI92" s="1552"/>
      <c r="AJ92" s="1552"/>
      <c r="AK92" s="1552"/>
      <c r="AL92" s="1552"/>
      <c r="AM92" s="1552"/>
      <c r="AN92" s="1552"/>
      <c r="AO92" s="1552"/>
      <c r="AP92" s="1552"/>
      <c r="AQ92" s="1552"/>
      <c r="AR92" s="1552"/>
      <c r="AS92" s="1552"/>
      <c r="AT92" s="1552"/>
      <c r="AU92" s="20"/>
      <c r="AV92" s="20"/>
      <c r="AW92" s="20"/>
      <c r="AX92" s="20"/>
      <c r="AY92" s="20"/>
      <c r="AZ92" s="20"/>
    </row>
    <row r="93" spans="1:52" ht="13.05" customHeight="1">
      <c r="A93" s="1552"/>
      <c r="B93" s="1552"/>
      <c r="C93" s="1552"/>
      <c r="D93" s="1552"/>
      <c r="E93" s="1552"/>
      <c r="F93" s="1552"/>
      <c r="G93" s="1552"/>
      <c r="H93" s="1552"/>
      <c r="I93" s="1552"/>
      <c r="J93" s="1552"/>
      <c r="K93" s="1552"/>
      <c r="L93" s="1552"/>
      <c r="M93" s="1552"/>
      <c r="N93" s="1552"/>
      <c r="O93" s="1552"/>
      <c r="P93" s="1552"/>
      <c r="Q93" s="1552"/>
      <c r="R93" s="1552"/>
      <c r="S93" s="1552"/>
      <c r="T93" s="1552"/>
      <c r="U93" s="1552"/>
      <c r="V93" s="1552"/>
      <c r="W93" s="1552"/>
      <c r="X93" s="1552"/>
      <c r="Y93" s="1552"/>
      <c r="Z93" s="1552"/>
      <c r="AA93" s="1552"/>
      <c r="AB93" s="1552"/>
      <c r="AC93" s="1552"/>
      <c r="AD93" s="1552"/>
      <c r="AE93" s="1552"/>
      <c r="AF93" s="1552"/>
      <c r="AG93" s="1552"/>
      <c r="AH93" s="1552"/>
      <c r="AI93" s="1552"/>
      <c r="AJ93" s="1552"/>
      <c r="AK93" s="1552"/>
      <c r="AL93" s="1552"/>
      <c r="AM93" s="1552"/>
      <c r="AN93" s="1552"/>
      <c r="AO93" s="1552"/>
      <c r="AP93" s="1552"/>
      <c r="AQ93" s="1552"/>
      <c r="AR93" s="1552"/>
      <c r="AS93" s="1552"/>
      <c r="AT93" s="1552"/>
      <c r="AU93" s="20"/>
      <c r="AV93" s="20"/>
      <c r="AW93" s="20"/>
      <c r="AX93" s="20"/>
      <c r="AY93" s="20"/>
      <c r="AZ93" s="20"/>
    </row>
    <row r="94" spans="1:52" ht="13.05" customHeight="1">
      <c r="A94" s="1552"/>
      <c r="B94" s="1552"/>
      <c r="C94" s="1552"/>
      <c r="D94" s="1552"/>
      <c r="E94" s="1552"/>
      <c r="F94" s="1552"/>
      <c r="G94" s="1552"/>
      <c r="H94" s="1552"/>
      <c r="I94" s="1552"/>
      <c r="J94" s="1552"/>
      <c r="K94" s="1552"/>
      <c r="L94" s="1552"/>
      <c r="M94" s="1552"/>
      <c r="N94" s="1552"/>
      <c r="O94" s="1552"/>
      <c r="P94" s="1552"/>
      <c r="Q94" s="1552"/>
      <c r="R94" s="1552"/>
      <c r="S94" s="1552"/>
      <c r="T94" s="1552"/>
      <c r="U94" s="1552"/>
      <c r="V94" s="1552"/>
      <c r="W94" s="1552"/>
      <c r="X94" s="1552"/>
      <c r="Y94" s="1552"/>
      <c r="Z94" s="1552"/>
      <c r="AA94" s="1552"/>
      <c r="AB94" s="1552"/>
      <c r="AC94" s="1552"/>
      <c r="AD94" s="1552"/>
      <c r="AE94" s="1552"/>
      <c r="AF94" s="1552"/>
      <c r="AG94" s="1552"/>
      <c r="AH94" s="1552"/>
      <c r="AI94" s="1552"/>
      <c r="AJ94" s="1552"/>
      <c r="AK94" s="1552"/>
      <c r="AL94" s="1552"/>
      <c r="AM94" s="1552"/>
      <c r="AN94" s="1552"/>
      <c r="AO94" s="1552"/>
      <c r="AP94" s="1552"/>
      <c r="AQ94" s="1552"/>
      <c r="AR94" s="1552"/>
      <c r="AS94" s="1552"/>
      <c r="AT94" s="1552"/>
      <c r="AU94" s="20"/>
      <c r="AV94" s="20"/>
      <c r="AW94" s="20"/>
      <c r="AX94" s="20"/>
      <c r="AY94" s="20"/>
      <c r="AZ94" s="20"/>
    </row>
    <row r="95" spans="1:52" ht="13.05" customHeight="1">
      <c r="A95" s="1552"/>
      <c r="B95" s="1552"/>
      <c r="C95" s="1552"/>
      <c r="D95" s="1552"/>
      <c r="E95" s="1552"/>
      <c r="F95" s="1552"/>
      <c r="G95" s="1552"/>
      <c r="H95" s="1552"/>
      <c r="I95" s="1552"/>
      <c r="J95" s="1552"/>
      <c r="K95" s="1552"/>
      <c r="L95" s="1552"/>
      <c r="M95" s="1552"/>
      <c r="N95" s="1552"/>
      <c r="O95" s="1552"/>
      <c r="P95" s="1552"/>
      <c r="Q95" s="1552"/>
      <c r="R95" s="1552"/>
      <c r="S95" s="1552"/>
      <c r="T95" s="1552"/>
      <c r="U95" s="1552"/>
      <c r="V95" s="1552"/>
      <c r="W95" s="1552"/>
      <c r="X95" s="1552"/>
      <c r="Y95" s="1552"/>
      <c r="Z95" s="1552"/>
      <c r="AA95" s="1552"/>
      <c r="AB95" s="1552"/>
      <c r="AC95" s="1552"/>
      <c r="AD95" s="1552"/>
      <c r="AE95" s="1552"/>
      <c r="AF95" s="1552"/>
      <c r="AG95" s="1552"/>
      <c r="AH95" s="1552"/>
      <c r="AI95" s="1552"/>
      <c r="AJ95" s="1552"/>
      <c r="AK95" s="1552"/>
      <c r="AL95" s="1552"/>
      <c r="AM95" s="1552"/>
      <c r="AN95" s="1552"/>
      <c r="AO95" s="1552"/>
      <c r="AP95" s="1552"/>
      <c r="AQ95" s="1552"/>
      <c r="AR95" s="1552"/>
      <c r="AS95" s="1552"/>
      <c r="AT95" s="1552"/>
      <c r="AU95" s="20"/>
      <c r="AV95" s="20"/>
      <c r="AW95" s="20"/>
      <c r="AX95" s="20"/>
      <c r="AY95" s="20"/>
      <c r="AZ95" s="20"/>
    </row>
    <row r="96" spans="1:52" ht="13.05" customHeight="1">
      <c r="A96" s="1552"/>
      <c r="B96" s="1552"/>
      <c r="C96" s="1552"/>
      <c r="D96" s="1552"/>
      <c r="E96" s="1552"/>
      <c r="F96" s="1552"/>
      <c r="G96" s="1552"/>
      <c r="H96" s="1552"/>
      <c r="I96" s="1552"/>
      <c r="J96" s="1552"/>
      <c r="K96" s="1552"/>
      <c r="L96" s="1552"/>
      <c r="M96" s="1552"/>
      <c r="N96" s="1552"/>
      <c r="O96" s="1552"/>
      <c r="P96" s="1552"/>
      <c r="Q96" s="1552"/>
      <c r="R96" s="1552"/>
      <c r="S96" s="1552"/>
      <c r="T96" s="1552"/>
      <c r="U96" s="1552"/>
      <c r="V96" s="1552"/>
      <c r="W96" s="1552"/>
      <c r="X96" s="1552"/>
      <c r="Y96" s="1552"/>
      <c r="Z96" s="1552"/>
      <c r="AA96" s="1552"/>
      <c r="AB96" s="1552"/>
      <c r="AC96" s="1552"/>
      <c r="AD96" s="1552"/>
      <c r="AE96" s="1552"/>
      <c r="AF96" s="1552"/>
      <c r="AG96" s="1552"/>
      <c r="AH96" s="1552"/>
      <c r="AI96" s="1552"/>
      <c r="AJ96" s="1552"/>
      <c r="AK96" s="1552"/>
      <c r="AL96" s="1552"/>
      <c r="AM96" s="1552"/>
      <c r="AN96" s="1552"/>
      <c r="AO96" s="1552"/>
      <c r="AP96" s="1552"/>
      <c r="AQ96" s="1552"/>
      <c r="AR96" s="1552"/>
      <c r="AS96" s="1552"/>
      <c r="AT96" s="1552"/>
      <c r="AU96" s="20"/>
      <c r="AV96" s="20"/>
      <c r="AW96" s="20"/>
      <c r="AX96" s="20"/>
      <c r="AY96" s="20"/>
      <c r="AZ96" s="20"/>
    </row>
    <row r="97" spans="1:52" ht="13.05" customHeight="1">
      <c r="A97" s="1552"/>
      <c r="B97" s="1552"/>
      <c r="C97" s="1552"/>
      <c r="D97" s="1552"/>
      <c r="E97" s="1552"/>
      <c r="F97" s="1552"/>
      <c r="G97" s="1552"/>
      <c r="H97" s="1552"/>
      <c r="I97" s="1552"/>
      <c r="J97" s="1552"/>
      <c r="K97" s="1552"/>
      <c r="L97" s="1552"/>
      <c r="M97" s="1552"/>
      <c r="N97" s="1552"/>
      <c r="O97" s="1552"/>
      <c r="P97" s="1552"/>
      <c r="Q97" s="1552"/>
      <c r="R97" s="1552"/>
      <c r="S97" s="1552"/>
      <c r="T97" s="1552"/>
      <c r="U97" s="1552"/>
      <c r="V97" s="1552"/>
      <c r="W97" s="1552"/>
      <c r="X97" s="1552"/>
      <c r="Y97" s="1552"/>
      <c r="Z97" s="1552"/>
      <c r="AA97" s="1552"/>
      <c r="AB97" s="1552"/>
      <c r="AC97" s="1552"/>
      <c r="AD97" s="1552"/>
      <c r="AE97" s="1552"/>
      <c r="AF97" s="1552"/>
      <c r="AG97" s="1552"/>
      <c r="AH97" s="1552"/>
      <c r="AI97" s="1552"/>
      <c r="AJ97" s="1552"/>
      <c r="AK97" s="1552"/>
      <c r="AL97" s="1552"/>
      <c r="AM97" s="1552"/>
      <c r="AN97" s="1552"/>
      <c r="AO97" s="1552"/>
      <c r="AP97" s="1552"/>
      <c r="AQ97" s="1552"/>
      <c r="AR97" s="1552"/>
      <c r="AS97" s="1552"/>
      <c r="AT97" s="1552"/>
      <c r="AU97" s="20"/>
      <c r="AV97" s="20"/>
      <c r="AW97" s="20"/>
      <c r="AX97" s="20"/>
      <c r="AY97" s="20"/>
      <c r="AZ97" s="20"/>
    </row>
    <row r="98" spans="1:52" ht="13.05" customHeight="1">
      <c r="A98" s="1552"/>
      <c r="B98" s="1552"/>
      <c r="C98" s="1552"/>
      <c r="D98" s="1552"/>
      <c r="E98" s="1552"/>
      <c r="F98" s="1552"/>
      <c r="G98" s="1552"/>
      <c r="H98" s="1552"/>
      <c r="I98" s="1552"/>
      <c r="J98" s="1552"/>
      <c r="K98" s="1552"/>
      <c r="L98" s="1552"/>
      <c r="M98" s="1552"/>
      <c r="N98" s="1552"/>
      <c r="O98" s="1552"/>
      <c r="P98" s="1552"/>
      <c r="Q98" s="1552"/>
      <c r="R98" s="1552"/>
      <c r="S98" s="1552"/>
      <c r="T98" s="1552"/>
      <c r="U98" s="1552"/>
      <c r="V98" s="1552"/>
      <c r="W98" s="1552"/>
      <c r="X98" s="1552"/>
      <c r="Y98" s="1552"/>
      <c r="Z98" s="1552"/>
      <c r="AA98" s="1552"/>
      <c r="AB98" s="1552"/>
      <c r="AC98" s="1552"/>
      <c r="AD98" s="1552"/>
      <c r="AE98" s="1552"/>
      <c r="AF98" s="1552"/>
      <c r="AG98" s="1552"/>
      <c r="AH98" s="1552"/>
      <c r="AI98" s="1552"/>
      <c r="AJ98" s="1552"/>
      <c r="AK98" s="1552"/>
      <c r="AL98" s="1552"/>
      <c r="AM98" s="1552"/>
      <c r="AN98" s="1552"/>
      <c r="AO98" s="1552"/>
      <c r="AP98" s="1552"/>
      <c r="AQ98" s="1552"/>
      <c r="AR98" s="1552"/>
      <c r="AS98" s="1552"/>
      <c r="AT98" s="1552"/>
      <c r="AU98" s="20"/>
      <c r="AV98" s="20"/>
      <c r="AW98" s="20"/>
      <c r="AX98" s="20"/>
      <c r="AY98" s="20"/>
      <c r="AZ98" s="20"/>
    </row>
    <row r="99" spans="1:52"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05" customHeight="1">
      <c r="A100" s="1305" t="s">
        <v>2520</v>
      </c>
      <c r="B100" s="1305"/>
      <c r="C100" s="1305"/>
      <c r="D100" s="1305"/>
      <c r="E100" s="1305"/>
      <c r="F100" s="1305"/>
      <c r="G100" s="1305"/>
      <c r="H100" s="1305"/>
      <c r="I100" s="1305"/>
      <c r="J100" s="1305"/>
      <c r="K100" s="1305"/>
      <c r="L100" s="1305"/>
      <c r="M100" s="1305"/>
      <c r="N100" s="1305"/>
      <c r="O100" s="1305"/>
      <c r="P100" s="1305"/>
      <c r="Q100" s="1305"/>
      <c r="R100" s="1305"/>
      <c r="S100" s="1305"/>
      <c r="T100" s="1305"/>
      <c r="U100" s="1305"/>
      <c r="V100" s="1305"/>
      <c r="W100" s="1305"/>
      <c r="X100" s="1305"/>
      <c r="Y100" s="1305"/>
      <c r="Z100" s="1305"/>
      <c r="AA100" s="1305"/>
      <c r="AB100" s="1305"/>
      <c r="AC100" s="1305"/>
      <c r="AD100" s="1305"/>
      <c r="AE100" s="1305"/>
      <c r="AF100" s="1305"/>
      <c r="AG100" s="1305"/>
      <c r="AH100" s="1305"/>
      <c r="AI100" s="1305"/>
      <c r="AJ100" s="1305"/>
      <c r="AK100" s="1305"/>
      <c r="AL100" s="1305"/>
      <c r="AM100" s="1305"/>
      <c r="AN100" s="1305"/>
      <c r="AO100" s="1305"/>
      <c r="AP100" s="1305"/>
      <c r="AQ100" s="1305"/>
      <c r="AR100" s="1305"/>
      <c r="AS100" s="1305"/>
      <c r="AT100" s="1305"/>
      <c r="AU100" s="20"/>
      <c r="AV100" s="20"/>
      <c r="AW100" s="20"/>
      <c r="AX100" s="20"/>
      <c r="AY100" s="20"/>
      <c r="AZ100" s="20"/>
    </row>
    <row r="101" spans="1:52" ht="13.05" customHeight="1">
      <c r="A101" s="1305"/>
      <c r="B101" s="1305"/>
      <c r="C101" s="1305"/>
      <c r="D101" s="1305"/>
      <c r="E101" s="1305"/>
      <c r="F101" s="1305"/>
      <c r="G101" s="1305"/>
      <c r="H101" s="1305"/>
      <c r="I101" s="1305"/>
      <c r="J101" s="1305"/>
      <c r="K101" s="1305"/>
      <c r="L101" s="1305"/>
      <c r="M101" s="1305"/>
      <c r="N101" s="1305"/>
      <c r="O101" s="1305"/>
      <c r="P101" s="1305"/>
      <c r="Q101" s="1305"/>
      <c r="R101" s="1305"/>
      <c r="S101" s="1305"/>
      <c r="T101" s="1305"/>
      <c r="U101" s="1305"/>
      <c r="V101" s="1305"/>
      <c r="W101" s="1305"/>
      <c r="X101" s="1305"/>
      <c r="Y101" s="1305"/>
      <c r="Z101" s="1305"/>
      <c r="AA101" s="1305"/>
      <c r="AB101" s="1305"/>
      <c r="AC101" s="1305"/>
      <c r="AD101" s="1305"/>
      <c r="AE101" s="1305"/>
      <c r="AF101" s="1305"/>
      <c r="AG101" s="1305"/>
      <c r="AH101" s="1305"/>
      <c r="AI101" s="1305"/>
      <c r="AJ101" s="1305"/>
      <c r="AK101" s="1305"/>
      <c r="AL101" s="1305"/>
      <c r="AM101" s="1305"/>
      <c r="AN101" s="1305"/>
      <c r="AO101" s="1305"/>
      <c r="AP101" s="1305"/>
      <c r="AQ101" s="1305"/>
      <c r="AR101" s="1305"/>
      <c r="AS101" s="1305"/>
      <c r="AT101" s="1305"/>
      <c r="AU101" s="20"/>
      <c r="AV101" s="20"/>
      <c r="AW101" s="20"/>
      <c r="AX101" s="20"/>
      <c r="AY101" s="20"/>
      <c r="AZ101" s="20"/>
    </row>
    <row r="102" spans="1:52" ht="13.05" customHeight="1">
      <c r="A102" s="1305"/>
      <c r="B102" s="1305"/>
      <c r="C102" s="1305"/>
      <c r="D102" s="1305"/>
      <c r="E102" s="1305"/>
      <c r="F102" s="1305"/>
      <c r="G102" s="1305"/>
      <c r="H102" s="1305"/>
      <c r="I102" s="1305"/>
      <c r="J102" s="1305"/>
      <c r="K102" s="1305"/>
      <c r="L102" s="1305"/>
      <c r="M102" s="1305"/>
      <c r="N102" s="1305"/>
      <c r="O102" s="1305"/>
      <c r="P102" s="1305"/>
      <c r="Q102" s="1305"/>
      <c r="R102" s="1305"/>
      <c r="S102" s="1305"/>
      <c r="T102" s="1305"/>
      <c r="U102" s="1305"/>
      <c r="V102" s="1305"/>
      <c r="W102" s="1305"/>
      <c r="X102" s="1305"/>
      <c r="Y102" s="1305"/>
      <c r="Z102" s="1305"/>
      <c r="AA102" s="1305"/>
      <c r="AB102" s="1305"/>
      <c r="AC102" s="1305"/>
      <c r="AD102" s="1305"/>
      <c r="AE102" s="1305"/>
      <c r="AF102" s="1305"/>
      <c r="AG102" s="1305"/>
      <c r="AH102" s="1305"/>
      <c r="AI102" s="1305"/>
      <c r="AJ102" s="1305"/>
      <c r="AK102" s="1305"/>
      <c r="AL102" s="1305"/>
      <c r="AM102" s="1305"/>
      <c r="AN102" s="1305"/>
      <c r="AO102" s="1305"/>
      <c r="AP102" s="1305"/>
      <c r="AQ102" s="1305"/>
      <c r="AR102" s="1305"/>
      <c r="AS102" s="1305"/>
      <c r="AT102" s="1305"/>
      <c r="AU102" s="20"/>
      <c r="AV102" s="20"/>
      <c r="AW102" s="20"/>
      <c r="AX102" s="20"/>
      <c r="AY102" s="20"/>
      <c r="AZ102" s="20"/>
    </row>
    <row r="103" spans="1:52" ht="13.05" customHeight="1">
      <c r="A103" s="1305"/>
      <c r="B103" s="1305"/>
      <c r="C103" s="1305"/>
      <c r="D103" s="1305"/>
      <c r="E103" s="1305"/>
      <c r="F103" s="1305"/>
      <c r="G103" s="1305"/>
      <c r="H103" s="1305"/>
      <c r="I103" s="1305"/>
      <c r="J103" s="1305"/>
      <c r="K103" s="1305"/>
      <c r="L103" s="1305"/>
      <c r="M103" s="1305"/>
      <c r="N103" s="1305"/>
      <c r="O103" s="1305"/>
      <c r="P103" s="1305"/>
      <c r="Q103" s="1305"/>
      <c r="R103" s="1305"/>
      <c r="S103" s="1305"/>
      <c r="T103" s="1305"/>
      <c r="U103" s="1305"/>
      <c r="V103" s="1305"/>
      <c r="W103" s="1305"/>
      <c r="X103" s="1305"/>
      <c r="Y103" s="1305"/>
      <c r="Z103" s="1305"/>
      <c r="AA103" s="1305"/>
      <c r="AB103" s="1305"/>
      <c r="AC103" s="1305"/>
      <c r="AD103" s="1305"/>
      <c r="AE103" s="1305"/>
      <c r="AF103" s="1305"/>
      <c r="AG103" s="1305"/>
      <c r="AH103" s="1305"/>
      <c r="AI103" s="1305"/>
      <c r="AJ103" s="1305"/>
      <c r="AK103" s="1305"/>
      <c r="AL103" s="1305"/>
      <c r="AM103" s="1305"/>
      <c r="AN103" s="1305"/>
      <c r="AO103" s="1305"/>
      <c r="AP103" s="1305"/>
      <c r="AQ103" s="1305"/>
      <c r="AR103" s="1305"/>
      <c r="AS103" s="1305"/>
      <c r="AT103" s="1305"/>
      <c r="AU103" s="20"/>
      <c r="AV103" s="20"/>
      <c r="AW103" s="20"/>
      <c r="AX103" s="20"/>
      <c r="AY103" s="20"/>
    </row>
    <row r="104" spans="1:52"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05" customHeight="1">
      <c r="A105" s="1305" t="s">
        <v>2521</v>
      </c>
      <c r="B105" s="1305"/>
      <c r="C105" s="1305"/>
      <c r="D105" s="1305"/>
      <c r="E105" s="1305"/>
      <c r="F105" s="1305"/>
      <c r="G105" s="1305"/>
      <c r="H105" s="1305"/>
      <c r="I105" s="1305"/>
      <c r="J105" s="1305"/>
      <c r="K105" s="1305"/>
      <c r="L105" s="1305"/>
      <c r="M105" s="1305"/>
      <c r="N105" s="1305"/>
      <c r="O105" s="1305"/>
      <c r="P105" s="1305"/>
      <c r="Q105" s="1305"/>
      <c r="R105" s="1305"/>
      <c r="S105" s="1305"/>
      <c r="T105" s="1305"/>
      <c r="U105" s="1305"/>
      <c r="V105" s="1305"/>
      <c r="W105" s="1305"/>
      <c r="X105" s="1305"/>
      <c r="Y105" s="1305"/>
      <c r="Z105" s="1305"/>
      <c r="AA105" s="1305"/>
      <c r="AB105" s="1305"/>
      <c r="AC105" s="1305"/>
      <c r="AD105" s="1305"/>
      <c r="AE105" s="1305"/>
      <c r="AF105" s="1305"/>
      <c r="AG105" s="1305"/>
      <c r="AH105" s="1305"/>
      <c r="AI105" s="1305"/>
      <c r="AJ105" s="1305"/>
      <c r="AK105" s="1305"/>
      <c r="AL105" s="1305"/>
      <c r="AM105" s="1305"/>
      <c r="AN105" s="1305"/>
      <c r="AO105" s="1305"/>
      <c r="AP105" s="1305"/>
      <c r="AQ105" s="1305"/>
      <c r="AR105" s="1305"/>
      <c r="AS105" s="1305"/>
      <c r="AT105" s="1305"/>
      <c r="AU105" s="20"/>
      <c r="AV105" s="20"/>
      <c r="AW105" s="20"/>
      <c r="AX105" s="20"/>
      <c r="AY105" s="20"/>
    </row>
    <row r="106" spans="1:52" ht="13.05" customHeight="1">
      <c r="A106" s="1305"/>
      <c r="B106" s="1305"/>
      <c r="C106" s="1305"/>
      <c r="D106" s="1305"/>
      <c r="E106" s="1305"/>
      <c r="F106" s="1305"/>
      <c r="G106" s="1305"/>
      <c r="H106" s="1305"/>
      <c r="I106" s="1305"/>
      <c r="J106" s="1305"/>
      <c r="K106" s="1305"/>
      <c r="L106" s="1305"/>
      <c r="M106" s="1305"/>
      <c r="N106" s="1305"/>
      <c r="O106" s="1305"/>
      <c r="P106" s="1305"/>
      <c r="Q106" s="1305"/>
      <c r="R106" s="1305"/>
      <c r="S106" s="1305"/>
      <c r="T106" s="1305"/>
      <c r="U106" s="1305"/>
      <c r="V106" s="1305"/>
      <c r="W106" s="1305"/>
      <c r="X106" s="1305"/>
      <c r="Y106" s="1305"/>
      <c r="Z106" s="1305"/>
      <c r="AA106" s="1305"/>
      <c r="AB106" s="1305"/>
      <c r="AC106" s="1305"/>
      <c r="AD106" s="1305"/>
      <c r="AE106" s="1305"/>
      <c r="AF106" s="1305"/>
      <c r="AG106" s="1305"/>
      <c r="AH106" s="1305"/>
      <c r="AI106" s="1305"/>
      <c r="AJ106" s="1305"/>
      <c r="AK106" s="1305"/>
      <c r="AL106" s="1305"/>
      <c r="AM106" s="1305"/>
      <c r="AN106" s="1305"/>
      <c r="AO106" s="1305"/>
      <c r="AP106" s="1305"/>
      <c r="AQ106" s="1305"/>
      <c r="AR106" s="1305"/>
      <c r="AS106" s="1305"/>
      <c r="AT106" s="1305"/>
      <c r="AU106" s="20"/>
      <c r="AV106" s="20"/>
      <c r="AW106" s="20"/>
      <c r="AX106" s="20"/>
      <c r="AY106" s="20"/>
    </row>
    <row r="107" spans="1:52" ht="13.0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05" customHeight="1">
      <c r="A108" s="551" t="s">
        <v>2522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0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0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0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05" customHeight="1">
      <c r="A113" s="311"/>
      <c r="C113" s="3" t="s">
        <v>181</v>
      </c>
      <c r="G113" s="1555"/>
      <c r="H113" s="1555"/>
      <c r="I113" s="3" t="s">
        <v>182</v>
      </c>
      <c r="L113" s="1555"/>
      <c r="M113" s="1555"/>
      <c r="N113" s="1555"/>
      <c r="O113" s="1555"/>
      <c r="P113" s="1562" t="s">
        <v>2523</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05" customHeight="1">
      <c r="A115" s="91"/>
      <c r="C115" s="1563"/>
      <c r="D115" s="1563"/>
      <c r="E115" s="1563"/>
      <c r="F115" s="1563"/>
      <c r="G115" s="1563"/>
      <c r="H115" s="1563"/>
      <c r="I115" s="1563"/>
      <c r="J115" s="1563"/>
      <c r="K115" s="1563"/>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05" customHeight="1">
      <c r="A117" s="91"/>
      <c r="B117" s="22"/>
      <c r="C117" s="22"/>
      <c r="X117" s="3" t="s">
        <v>636</v>
      </c>
      <c r="Y117" s="1555"/>
      <c r="Z117" s="1555"/>
      <c r="AA117" s="1555"/>
      <c r="AB117" s="1555"/>
      <c r="AC117" s="1555"/>
      <c r="AD117" s="1555"/>
      <c r="AE117" s="1555"/>
      <c r="AF117" s="1555"/>
      <c r="AG117" s="1555"/>
      <c r="AH117" s="1555"/>
      <c r="AI117" s="1555"/>
      <c r="AJ117" s="1555"/>
      <c r="AK117" s="1555"/>
    </row>
    <row r="118" spans="1:51" ht="13.05" customHeight="1">
      <c r="X118" s="3"/>
      <c r="Y118" s="3"/>
      <c r="Z118" s="3" t="s">
        <v>637</v>
      </c>
      <c r="AA118" s="3"/>
      <c r="AB118" s="3"/>
      <c r="AC118" s="3"/>
      <c r="AD118" s="3"/>
      <c r="AE118" s="3"/>
      <c r="AF118" s="3"/>
      <c r="AG118" s="3"/>
      <c r="AH118" s="3"/>
      <c r="AI118" s="3"/>
      <c r="AJ118" s="3"/>
      <c r="AK118" s="3"/>
    </row>
    <row r="119" spans="1:51"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05" customHeight="1">
      <c r="A120" s="91"/>
      <c r="B120" s="3"/>
      <c r="P120" s="3"/>
      <c r="Q120" s="3"/>
      <c r="R120" s="3"/>
      <c r="S120" s="3"/>
      <c r="T120" s="3"/>
      <c r="U120" s="3"/>
      <c r="V120" s="3"/>
      <c r="W120" s="3"/>
      <c r="X120" s="3"/>
      <c r="Y120" s="1555" t="s">
        <v>2643</v>
      </c>
      <c r="Z120" s="1555"/>
      <c r="AA120" s="1555"/>
      <c r="AB120" s="1555"/>
      <c r="AC120" s="1555"/>
      <c r="AD120" s="1555"/>
      <c r="AE120" s="1555"/>
      <c r="AF120" s="1555"/>
      <c r="AG120" s="1555"/>
      <c r="AH120" s="1555"/>
      <c r="AI120" s="1555"/>
      <c r="AJ120" s="1555"/>
      <c r="AK120" s="1555"/>
      <c r="AL120" s="3"/>
      <c r="AM120" s="3"/>
      <c r="AN120" s="3"/>
      <c r="AO120" s="3"/>
      <c r="AP120" s="3"/>
      <c r="AQ120" s="3"/>
      <c r="AR120" s="3"/>
      <c r="AS120" s="3"/>
      <c r="AT120" s="3"/>
      <c r="AU120" s="3"/>
      <c r="AV120" s="3"/>
      <c r="AW120" s="3"/>
      <c r="AX120" s="3"/>
      <c r="AY120" s="3"/>
    </row>
    <row r="121" spans="1:51" ht="13.0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05" customHeight="1">
      <c r="A122" s="3"/>
      <c r="B122" s="3"/>
      <c r="T122" s="3"/>
      <c r="U122" s="3"/>
      <c r="V122" s="3"/>
      <c r="W122" s="3"/>
      <c r="AL122" s="3"/>
      <c r="AM122" s="3"/>
      <c r="AN122" s="3"/>
      <c r="AO122" s="3"/>
      <c r="AP122" s="3"/>
      <c r="AQ122" s="3"/>
      <c r="AR122" s="3"/>
      <c r="AS122" s="3"/>
      <c r="AT122" s="3"/>
      <c r="AU122" s="3"/>
      <c r="AV122" s="3"/>
      <c r="AW122" s="3"/>
      <c r="AX122" s="3"/>
      <c r="AY122" s="3"/>
    </row>
    <row r="123" spans="1:51" ht="13.05" customHeight="1">
      <c r="A123" s="3"/>
      <c r="B123" s="3"/>
      <c r="T123" s="3"/>
      <c r="U123" s="3"/>
      <c r="V123" s="3"/>
      <c r="W123" s="3"/>
      <c r="X123" s="3"/>
      <c r="Y123" s="1555" t="s">
        <v>2760</v>
      </c>
      <c r="Z123" s="1555"/>
      <c r="AA123" s="1555"/>
      <c r="AB123" s="1555"/>
      <c r="AC123" s="1555"/>
      <c r="AD123" s="1555"/>
      <c r="AE123" s="1555"/>
      <c r="AF123" s="1555"/>
      <c r="AG123" s="1555"/>
      <c r="AH123" s="1555"/>
      <c r="AI123" s="1555"/>
      <c r="AJ123" s="1555"/>
      <c r="AK123" s="1555"/>
      <c r="AL123" s="3"/>
      <c r="AM123" s="3"/>
      <c r="AN123" s="3"/>
      <c r="AO123" s="3"/>
      <c r="AP123" s="3"/>
      <c r="AQ123" s="3"/>
      <c r="AR123" s="3"/>
      <c r="AS123" s="3"/>
      <c r="AT123" s="3"/>
      <c r="AU123" s="3"/>
      <c r="AV123" s="3"/>
      <c r="AW123" s="3"/>
      <c r="AX123" s="3"/>
      <c r="AY123" s="3"/>
    </row>
    <row r="124" spans="1:51" ht="13.0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0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05" customHeight="1"/>
    <row r="127" spans="1:51" ht="13.0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05" hidden="1" customHeight="1">
      <c r="A128" s="385"/>
      <c r="AL128" s="385"/>
      <c r="AM128" s="385"/>
      <c r="AN128" s="385"/>
      <c r="AO128" s="385"/>
      <c r="AP128" s="385"/>
      <c r="AQ128" s="385"/>
      <c r="AR128" s="385"/>
      <c r="AS128" s="385"/>
      <c r="AT128" s="385"/>
      <c r="AU128" s="385"/>
      <c r="AV128" s="385"/>
      <c r="AW128" s="385"/>
      <c r="AX128" s="385"/>
      <c r="AY128" s="385"/>
    </row>
    <row r="129" spans="1:51" ht="13.0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0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hidden="1" customHeight="1">
      <c r="A131" s="3"/>
      <c r="AL131" s="3"/>
      <c r="AM131" s="3"/>
      <c r="AN131" s="3"/>
      <c r="AO131" s="3"/>
      <c r="AP131" s="3"/>
      <c r="AQ131" s="3"/>
      <c r="AR131" s="3"/>
      <c r="AS131" s="3"/>
      <c r="AT131" s="3"/>
      <c r="AU131" s="3"/>
      <c r="AV131" s="3"/>
      <c r="AW131" s="3"/>
      <c r="AX131" s="3"/>
      <c r="AY131" s="3"/>
    </row>
    <row r="132" spans="1:51" ht="13.0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05" hidden="1" customHeight="1">
      <c r="A133" s="3"/>
      <c r="W133" s="3"/>
      <c r="AL133" s="3"/>
      <c r="AM133" s="3"/>
      <c r="AN133" s="3"/>
      <c r="AO133" s="3"/>
      <c r="AP133" s="3"/>
      <c r="AQ133" s="3"/>
      <c r="AR133" s="3"/>
      <c r="AS133" s="3"/>
      <c r="AT133" s="3"/>
      <c r="AU133" s="3"/>
      <c r="AV133" s="3"/>
      <c r="AW133" s="3"/>
      <c r="AX133" s="3"/>
      <c r="AY133" s="3"/>
    </row>
    <row r="134" spans="1:51" ht="13.0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hidden="1" customHeight="1">
      <c r="A135" s="3"/>
      <c r="M135" s="3"/>
      <c r="N135" s="3"/>
      <c r="O135" s="3"/>
      <c r="AK135" s="3"/>
      <c r="AL135" s="3"/>
      <c r="AM135" s="3"/>
      <c r="AN135" s="3"/>
      <c r="AO135" s="3"/>
      <c r="AP135" s="3"/>
      <c r="AQ135" s="3"/>
      <c r="AR135" s="3"/>
      <c r="AS135" s="3"/>
      <c r="AT135" s="3"/>
      <c r="AU135" s="3"/>
      <c r="AV135" s="3"/>
      <c r="AW135" s="3"/>
      <c r="AX135" s="3"/>
      <c r="AY135" s="3"/>
    </row>
    <row r="136" spans="1:51" ht="13.0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0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0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0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0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0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0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0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0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0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05" customHeight="1">
      <c r="A150" s="3"/>
      <c r="B150" s="3"/>
      <c r="D150" s="3"/>
      <c r="E150" s="3"/>
      <c r="F150" s="1308"/>
      <c r="G150" s="1308"/>
      <c r="H150" s="1308"/>
      <c r="I150" s="1308"/>
      <c r="J150" s="1308"/>
      <c r="K150" s="1308"/>
      <c r="L150" s="1308"/>
      <c r="M150" s="1308"/>
      <c r="N150" s="1308"/>
      <c r="O150" s="1308"/>
      <c r="P150" s="1308"/>
      <c r="Q150" s="1308"/>
      <c r="R150" s="1308"/>
      <c r="S150" s="1308"/>
      <c r="T150" s="130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05" customHeight="1"/>
    <row r="153" spans="1:72" ht="13.05" customHeight="1">
      <c r="D153" t="s">
        <v>653</v>
      </c>
      <c r="O153" s="1536" t="s">
        <v>2632</v>
      </c>
      <c r="P153" s="1536"/>
      <c r="Q153" s="1536"/>
      <c r="R153" s="1536"/>
      <c r="S153" s="1536"/>
      <c r="T153" s="1536"/>
      <c r="U153" s="1536"/>
      <c r="V153" s="1536"/>
      <c r="W153" s="1536"/>
      <c r="X153" s="1536"/>
      <c r="Y153" s="1536"/>
      <c r="Z153" s="1536"/>
      <c r="AA153" s="1536"/>
      <c r="AB153" s="1536"/>
      <c r="AC153" s="1536"/>
      <c r="AD153" s="1536"/>
      <c r="AE153" s="1536"/>
      <c r="AF153" s="1536"/>
      <c r="AG153" s="1536"/>
      <c r="AH153" s="1536"/>
    </row>
    <row r="154" spans="1:72" ht="13.05" customHeight="1">
      <c r="D154" s="325" t="s">
        <v>442</v>
      </c>
      <c r="O154" s="1372" t="s">
        <v>2633</v>
      </c>
      <c r="P154" s="1372"/>
      <c r="Q154" s="1372"/>
      <c r="R154" s="1372"/>
      <c r="S154" s="1372"/>
      <c r="T154" s="1372"/>
      <c r="U154" s="1372"/>
      <c r="V154" s="1372"/>
      <c r="W154" s="1372"/>
      <c r="X154" s="1372"/>
      <c r="Y154" s="1372"/>
      <c r="Z154" s="1372"/>
      <c r="AA154" s="1372"/>
      <c r="AB154" s="1372"/>
      <c r="AC154" s="1372"/>
      <c r="AD154" s="1372"/>
      <c r="AE154" s="1372"/>
      <c r="AF154" s="1372"/>
      <c r="AG154" s="1372"/>
      <c r="AH154" s="1372"/>
    </row>
    <row r="155" spans="1:72" ht="13.05" customHeight="1">
      <c r="D155" s="8" t="s">
        <v>443</v>
      </c>
      <c r="F155" s="8"/>
      <c r="G155" s="8"/>
      <c r="H155" s="8"/>
      <c r="I155" s="8"/>
      <c r="J155" s="8"/>
      <c r="K155" s="8"/>
      <c r="L155" s="8"/>
      <c r="M155" s="8"/>
      <c r="N155" s="8"/>
      <c r="O155" s="1569" t="s">
        <v>2782</v>
      </c>
      <c r="P155" s="1570"/>
      <c r="Q155" s="1570"/>
      <c r="R155" s="1570"/>
      <c r="S155" s="1570"/>
      <c r="T155" s="1570"/>
      <c r="U155" s="1570"/>
      <c r="V155" s="1570"/>
      <c r="W155" s="1570"/>
      <c r="X155" s="1570"/>
      <c r="Y155" s="1570"/>
      <c r="Z155" s="1570"/>
      <c r="AA155" s="1570"/>
      <c r="AB155" s="1570"/>
      <c r="AC155" s="1570"/>
      <c r="AD155" s="1570"/>
      <c r="AE155" s="1570"/>
      <c r="AF155" s="1570"/>
      <c r="AG155" s="1570"/>
      <c r="AH155" s="1570"/>
    </row>
    <row r="156" spans="1:72" ht="13.05" customHeight="1">
      <c r="D156" t="s">
        <v>314</v>
      </c>
      <c r="O156" s="1405" t="s">
        <v>2634</v>
      </c>
      <c r="P156" s="1405"/>
      <c r="Q156" s="1405"/>
      <c r="R156" s="1405"/>
      <c r="S156" s="1405"/>
      <c r="T156" s="1405"/>
      <c r="U156" s="1405"/>
      <c r="V156" s="1405"/>
      <c r="W156" s="1405"/>
      <c r="X156" s="1405"/>
      <c r="Y156" s="1405"/>
      <c r="Z156" s="1405"/>
      <c r="AA156" s="1405"/>
      <c r="AB156" s="1405"/>
      <c r="AC156" s="1405"/>
      <c r="AD156" s="1405"/>
      <c r="AE156" s="1405"/>
      <c r="AF156" s="1405"/>
      <c r="AG156" s="1405"/>
      <c r="AH156" s="1405"/>
      <c r="BT156" t="s">
        <v>308</v>
      </c>
    </row>
    <row r="157" spans="1:72" ht="13.05" customHeight="1">
      <c r="D157" t="s">
        <v>315</v>
      </c>
      <c r="O157" s="1536" t="s">
        <v>2635</v>
      </c>
      <c r="P157" s="1536"/>
      <c r="Q157" s="1536"/>
      <c r="R157" s="1536"/>
      <c r="S157" s="1536"/>
      <c r="T157" s="1536"/>
      <c r="U157" s="1536"/>
      <c r="V157" s="1536"/>
      <c r="W157" s="1536"/>
      <c r="X157" s="1536"/>
      <c r="Y157" s="8"/>
      <c r="Z157" s="8"/>
      <c r="AA157" s="8"/>
      <c r="AB157" s="8"/>
      <c r="AC157" s="8"/>
      <c r="AD157" s="8"/>
      <c r="AE157" s="8"/>
      <c r="AF157" s="8"/>
      <c r="BN157" s="23" t="s">
        <v>644</v>
      </c>
      <c r="BT157" t="s">
        <v>484</v>
      </c>
    </row>
    <row r="158" spans="1:72" ht="13.05" customHeight="1">
      <c r="D158" t="s">
        <v>316</v>
      </c>
      <c r="O158" s="1559">
        <v>95758</v>
      </c>
      <c r="P158" s="1559"/>
      <c r="Q158" s="1559"/>
      <c r="R158" s="1559"/>
      <c r="S158" s="9"/>
      <c r="T158" s="9"/>
      <c r="U158" s="9"/>
      <c r="V158" s="9"/>
      <c r="W158" s="9"/>
      <c r="X158" s="9"/>
      <c r="Y158" s="9"/>
      <c r="Z158" s="9"/>
      <c r="AA158" s="9"/>
      <c r="AB158" s="9"/>
      <c r="AC158" s="9"/>
      <c r="AD158" s="9"/>
      <c r="AE158" s="9"/>
      <c r="AF158" s="9"/>
      <c r="BN158" s="23" t="s">
        <v>645</v>
      </c>
      <c r="BT158" t="s">
        <v>485</v>
      </c>
    </row>
    <row r="159" spans="1:72" ht="13.05" customHeight="1">
      <c r="D159" t="s">
        <v>317</v>
      </c>
      <c r="O159" s="1561" t="s">
        <v>2636</v>
      </c>
      <c r="P159" s="1561"/>
      <c r="Q159" s="1561"/>
      <c r="R159" s="1561"/>
      <c r="S159" s="1561"/>
      <c r="T159" s="1561"/>
      <c r="V159" s="97" t="s">
        <v>272</v>
      </c>
      <c r="W159" s="1560"/>
      <c r="X159" s="1560"/>
      <c r="Y159" s="10"/>
      <c r="Z159" s="10"/>
      <c r="AA159" s="10"/>
      <c r="AB159" s="10"/>
      <c r="AC159" s="10"/>
      <c r="AD159" s="10"/>
      <c r="AE159" s="10"/>
      <c r="AF159" s="10"/>
      <c r="BN159" s="23" t="s">
        <v>340</v>
      </c>
      <c r="BT159" t="s">
        <v>486</v>
      </c>
    </row>
    <row r="160" spans="1:72" ht="13.05" customHeight="1">
      <c r="D160" t="s">
        <v>318</v>
      </c>
      <c r="O160" s="1561" t="s">
        <v>2637</v>
      </c>
      <c r="P160" s="1561"/>
      <c r="Q160" s="1561"/>
      <c r="R160" s="1561"/>
      <c r="S160" s="1561"/>
      <c r="T160" s="1561"/>
      <c r="U160" s="10"/>
      <c r="V160" s="10"/>
      <c r="W160" s="10"/>
      <c r="X160" s="10"/>
      <c r="Y160" s="10"/>
      <c r="Z160" s="10"/>
      <c r="AA160" s="10"/>
      <c r="AB160" s="10"/>
      <c r="AC160" s="10"/>
      <c r="AD160" s="10"/>
      <c r="AE160" s="10"/>
      <c r="AF160" s="10"/>
      <c r="BN160" s="23" t="s">
        <v>668</v>
      </c>
      <c r="BT160" t="s">
        <v>487</v>
      </c>
    </row>
    <row r="161" spans="1:72" ht="13.05" customHeight="1">
      <c r="D161" t="s">
        <v>319</v>
      </c>
      <c r="O161" s="1537" t="s">
        <v>2638</v>
      </c>
      <c r="P161" s="1537"/>
      <c r="Q161" s="1537"/>
      <c r="R161" s="1537"/>
      <c r="S161" s="1537"/>
      <c r="T161" s="1537"/>
      <c r="U161" s="1537"/>
      <c r="V161" s="1537"/>
      <c r="W161" s="1537"/>
      <c r="X161" s="1537"/>
      <c r="Y161" s="1537"/>
      <c r="Z161" s="1537"/>
      <c r="AA161" s="1537"/>
      <c r="AB161" s="1537"/>
      <c r="AC161" s="1537"/>
      <c r="AD161" s="1537"/>
      <c r="AE161" s="1537"/>
      <c r="AF161" s="1537"/>
      <c r="AG161" s="1537"/>
      <c r="AH161" s="1537"/>
      <c r="BJ161" t="s">
        <v>677</v>
      </c>
      <c r="BN161" s="23" t="s">
        <v>669</v>
      </c>
      <c r="BT161" t="s">
        <v>488</v>
      </c>
    </row>
    <row r="162" spans="1:72"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05" customHeight="1">
      <c r="C163" s="27" t="s">
        <v>82</v>
      </c>
      <c r="D163" s="3" t="s">
        <v>2411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05" customHeight="1">
      <c r="C164" s="27"/>
      <c r="D164" s="1558" t="s">
        <v>2618</v>
      </c>
      <c r="E164" s="1558"/>
      <c r="F164" s="1558"/>
      <c r="G164" s="1558"/>
      <c r="H164" s="1558"/>
      <c r="I164" s="1558"/>
      <c r="J164" s="1558"/>
      <c r="K164" s="1558"/>
      <c r="L164" s="1558"/>
      <c r="M164" s="1558"/>
      <c r="N164" s="1558"/>
      <c r="O164" s="1558"/>
      <c r="P164" s="1558"/>
      <c r="Q164" s="1558"/>
      <c r="R164" s="1558"/>
      <c r="S164" s="1558"/>
      <c r="T164" s="1558"/>
      <c r="U164" s="1558"/>
      <c r="V164" s="1558"/>
      <c r="W164" s="1558"/>
      <c r="X164" s="1558"/>
      <c r="Y164" s="1558"/>
      <c r="Z164" s="1558"/>
      <c r="AA164" s="1558"/>
      <c r="AB164" s="1558"/>
      <c r="AC164" s="1558"/>
      <c r="AD164" s="1558"/>
      <c r="AE164" s="1558"/>
      <c r="AF164" s="1558"/>
      <c r="AG164" s="1558"/>
      <c r="AH164" s="1558"/>
      <c r="BN164" s="23" t="s">
        <v>672</v>
      </c>
      <c r="BT164" t="s">
        <v>491</v>
      </c>
    </row>
    <row r="165" spans="1:72"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05" customHeight="1">
      <c r="A169" s="1674" t="s">
        <v>547</v>
      </c>
      <c r="B169" s="1674"/>
      <c r="C169" s="1674"/>
      <c r="D169" s="1674"/>
      <c r="E169" s="1674"/>
      <c r="F169" s="1674"/>
      <c r="G169" s="1674"/>
      <c r="H169" s="1674"/>
      <c r="I169" s="1674"/>
      <c r="J169" s="1674"/>
      <c r="K169" s="1674"/>
      <c r="L169" s="1674"/>
      <c r="M169" s="1674"/>
      <c r="N169" s="1674"/>
      <c r="O169" s="1674"/>
      <c r="P169" s="1674"/>
      <c r="Q169" s="1674"/>
      <c r="R169" s="1674"/>
      <c r="S169" s="1674"/>
      <c r="T169" s="1674"/>
      <c r="U169" s="1674"/>
      <c r="V169" s="1674"/>
      <c r="W169" s="1674"/>
      <c r="X169" s="1674"/>
      <c r="Y169" s="1674"/>
      <c r="Z169" s="1674"/>
      <c r="AA169" s="1674"/>
      <c r="AB169" s="1674"/>
      <c r="AC169" s="1674"/>
      <c r="AD169" s="1674"/>
      <c r="AE169" s="1674"/>
      <c r="AF169" s="1674"/>
      <c r="AG169" s="1674"/>
      <c r="AH169" s="1674"/>
      <c r="AI169" s="1674"/>
      <c r="AJ169" s="1674"/>
      <c r="AK169" s="1674"/>
      <c r="AL169" s="1674"/>
      <c r="AM169" s="1674"/>
      <c r="AN169" s="1674"/>
      <c r="AO169" s="1674"/>
      <c r="AP169" s="1674"/>
      <c r="AQ169" s="1674"/>
      <c r="AR169" s="1674"/>
      <c r="AS169" s="1674"/>
      <c r="AT169" s="1674"/>
      <c r="AU169" s="95"/>
      <c r="AV169" s="95"/>
      <c r="AW169" s="95"/>
      <c r="AX169" s="95"/>
      <c r="AY169" s="95"/>
      <c r="BN169" s="23" t="s">
        <v>681</v>
      </c>
      <c r="BT169" t="s">
        <v>496</v>
      </c>
    </row>
    <row r="170" spans="1:72" ht="13.05" customHeight="1">
      <c r="A170" s="1674"/>
      <c r="B170" s="1674"/>
      <c r="C170" s="1674"/>
      <c r="D170" s="1674"/>
      <c r="E170" s="1674"/>
      <c r="F170" s="1674"/>
      <c r="G170" s="1674"/>
      <c r="H170" s="1674"/>
      <c r="I170" s="1674"/>
      <c r="J170" s="1674"/>
      <c r="K170" s="1674"/>
      <c r="L170" s="1674"/>
      <c r="M170" s="1674"/>
      <c r="N170" s="1674"/>
      <c r="O170" s="1674"/>
      <c r="P170" s="1674"/>
      <c r="Q170" s="1674"/>
      <c r="R170" s="1674"/>
      <c r="S170" s="1674"/>
      <c r="T170" s="1674"/>
      <c r="U170" s="1674"/>
      <c r="V170" s="1674"/>
      <c r="W170" s="1674"/>
      <c r="X170" s="1674"/>
      <c r="Y170" s="1674"/>
      <c r="Z170" s="1674"/>
      <c r="AA170" s="1674"/>
      <c r="AB170" s="1674"/>
      <c r="AC170" s="1674"/>
      <c r="AD170" s="1674"/>
      <c r="AE170" s="1674"/>
      <c r="AF170" s="1674"/>
      <c r="AG170" s="1674"/>
      <c r="AH170" s="1674"/>
      <c r="AI170" s="1674"/>
      <c r="AJ170" s="1674"/>
      <c r="AK170" s="1674"/>
      <c r="AL170" s="1674"/>
      <c r="AM170" s="1674"/>
      <c r="AN170" s="1674"/>
      <c r="AO170" s="1674"/>
      <c r="AP170" s="1674"/>
      <c r="AQ170" s="1674"/>
      <c r="AR170" s="1674"/>
      <c r="AS170" s="1674"/>
      <c r="AT170" s="1674"/>
      <c r="AU170" s="95"/>
      <c r="AV170" s="95"/>
      <c r="AW170" s="95"/>
      <c r="AX170" s="95"/>
      <c r="AY170" s="95"/>
      <c r="BN170" s="23" t="s">
        <v>682</v>
      </c>
      <c r="BT170" t="s">
        <v>497</v>
      </c>
    </row>
    <row r="171" spans="1:72" ht="13.05" customHeight="1">
      <c r="BN171" s="23" t="s">
        <v>212</v>
      </c>
      <c r="BT171" t="s">
        <v>498</v>
      </c>
    </row>
    <row r="172" spans="1:72" ht="13.05" customHeight="1">
      <c r="A172" s="2" t="s">
        <v>320</v>
      </c>
      <c r="C172" s="2" t="s">
        <v>321</v>
      </c>
      <c r="BN172" s="23" t="s">
        <v>214</v>
      </c>
      <c r="BT172" t="s">
        <v>499</v>
      </c>
    </row>
    <row r="173" spans="1:72" ht="13.05" customHeight="1">
      <c r="C173" s="24"/>
      <c r="D173" t="s">
        <v>322</v>
      </c>
      <c r="J173" s="1568" t="s">
        <v>372</v>
      </c>
      <c r="K173" s="1568"/>
      <c r="L173" s="1568"/>
      <c r="M173" s="1568"/>
      <c r="N173" s="1568"/>
      <c r="O173" s="1568"/>
      <c r="P173" s="1568"/>
      <c r="Q173" s="1568"/>
      <c r="R173" s="1568"/>
      <c r="S173" s="1568"/>
      <c r="U173" s="25"/>
      <c r="X173" s="25"/>
      <c r="BB173" s="3" t="s">
        <v>308</v>
      </c>
      <c r="BN173" s="23" t="s">
        <v>215</v>
      </c>
      <c r="BT173" t="s">
        <v>500</v>
      </c>
    </row>
    <row r="174" spans="1:72" ht="13.05" customHeight="1">
      <c r="C174" s="24"/>
      <c r="D174" s="3" t="s">
        <v>1308</v>
      </c>
      <c r="J174" s="1405" t="s">
        <v>2417</v>
      </c>
      <c r="K174" s="1405"/>
      <c r="L174" s="1405"/>
      <c r="M174" s="1405"/>
      <c r="N174" s="1405"/>
      <c r="O174" s="1405"/>
      <c r="P174" s="1405"/>
      <c r="Q174" s="1405"/>
      <c r="R174" s="1405"/>
      <c r="S174" s="1405"/>
      <c r="T174" s="1405"/>
      <c r="U174" s="1405"/>
      <c r="V174" s="1405"/>
      <c r="W174" s="1405"/>
      <c r="X174" s="1405"/>
      <c r="Y174" s="1405"/>
      <c r="Z174" s="1405"/>
      <c r="AA174" s="1405"/>
      <c r="AB174" s="1405"/>
      <c r="BB174" t="s">
        <v>2270</v>
      </c>
      <c r="BN174" s="23" t="s">
        <v>217</v>
      </c>
      <c r="BT174" t="s">
        <v>501</v>
      </c>
    </row>
    <row r="175" spans="1:72" ht="13.05" customHeight="1">
      <c r="C175" s="8"/>
      <c r="D175" s="3" t="s">
        <v>323</v>
      </c>
      <c r="O175" s="27"/>
      <c r="U175" s="1461" t="s">
        <v>677</v>
      </c>
      <c r="V175" s="1461"/>
      <c r="BB175" t="s">
        <v>2234</v>
      </c>
      <c r="BN175" s="23" t="s">
        <v>218</v>
      </c>
      <c r="BT175" t="s">
        <v>502</v>
      </c>
    </row>
    <row r="176" spans="1:72" ht="13.05" customHeight="1">
      <c r="C176" s="8"/>
      <c r="D176" s="26"/>
      <c r="E176" t="s">
        <v>305</v>
      </c>
      <c r="O176" s="27"/>
      <c r="P176" t="s">
        <v>2392</v>
      </c>
      <c r="T176" s="27" t="s">
        <v>306</v>
      </c>
      <c r="U176" s="1364"/>
      <c r="V176" s="1364"/>
      <c r="W176" s="1" t="s">
        <v>307</v>
      </c>
      <c r="X176" s="1557"/>
      <c r="Y176" s="1557"/>
      <c r="BB176" t="s">
        <v>2271</v>
      </c>
      <c r="BN176" s="23" t="s">
        <v>220</v>
      </c>
      <c r="BT176" t="s">
        <v>503</v>
      </c>
    </row>
    <row r="177" spans="1:72" ht="13.05" customHeight="1">
      <c r="C177" s="24"/>
      <c r="D177" t="s">
        <v>250</v>
      </c>
      <c r="R177" s="1461" t="s">
        <v>677</v>
      </c>
      <c r="S177" s="1461"/>
      <c r="BB177" t="s">
        <v>2572</v>
      </c>
      <c r="BN177" s="23" t="s">
        <v>221</v>
      </c>
      <c r="BT177" t="s">
        <v>504</v>
      </c>
    </row>
    <row r="178" spans="1:72" ht="13.05" customHeight="1">
      <c r="C178" s="24"/>
      <c r="D178" s="3" t="s">
        <v>1309</v>
      </c>
      <c r="AA178" t="s">
        <v>2392</v>
      </c>
      <c r="AE178" s="27" t="s">
        <v>306</v>
      </c>
      <c r="AF178" s="1564"/>
      <c r="AG178" s="1564"/>
      <c r="AH178" s="1" t="s">
        <v>307</v>
      </c>
      <c r="AI178" s="1548"/>
      <c r="AJ178" s="1548"/>
      <c r="AK178" s="1548"/>
      <c r="BB178" t="s">
        <v>2573</v>
      </c>
      <c r="BN178" s="23" t="s">
        <v>222</v>
      </c>
      <c r="BT178" t="s">
        <v>53</v>
      </c>
    </row>
    <row r="179" spans="1:72" ht="13.05" customHeight="1">
      <c r="C179" s="24"/>
      <c r="BN179" s="23" t="s">
        <v>223</v>
      </c>
      <c r="BT179" t="s">
        <v>54</v>
      </c>
    </row>
    <row r="180" spans="1:72" ht="13.05" customHeight="1">
      <c r="C180" s="24"/>
      <c r="D180" t="s">
        <v>2393</v>
      </c>
      <c r="X180" s="1461" t="s">
        <v>677</v>
      </c>
      <c r="Y180" s="1461"/>
      <c r="BN180" s="23" t="s">
        <v>225</v>
      </c>
      <c r="BT180" t="s">
        <v>55</v>
      </c>
    </row>
    <row r="181" spans="1:72" ht="13.05" customHeight="1">
      <c r="C181" s="8"/>
      <c r="E181" s="4" t="s">
        <v>995</v>
      </c>
      <c r="BN181" s="23" t="s">
        <v>226</v>
      </c>
      <c r="BT181" t="s">
        <v>56</v>
      </c>
    </row>
    <row r="182" spans="1:72" ht="13.05" customHeight="1">
      <c r="C182" s="564"/>
      <c r="BN182" s="23" t="s">
        <v>227</v>
      </c>
      <c r="BT182" t="s">
        <v>60</v>
      </c>
    </row>
    <row r="183" spans="1:72" ht="13.05" customHeight="1">
      <c r="A183" s="2" t="s">
        <v>584</v>
      </c>
      <c r="C183" s="2" t="s">
        <v>585</v>
      </c>
      <c r="BN183" s="23" t="s">
        <v>229</v>
      </c>
      <c r="BT183" t="s">
        <v>61</v>
      </c>
    </row>
    <row r="184" spans="1:72" ht="13.05" customHeight="1">
      <c r="C184" s="21"/>
      <c r="D184" t="s">
        <v>586</v>
      </c>
      <c r="I184" s="1373" t="str">
        <f>H18</f>
        <v>The Pardes 2</v>
      </c>
      <c r="J184" s="1373"/>
      <c r="K184" s="1373"/>
      <c r="L184" s="1373"/>
      <c r="M184" s="1373"/>
      <c r="N184" s="1373"/>
      <c r="O184" s="1373"/>
      <c r="P184" s="1373"/>
      <c r="Q184" s="1373"/>
      <c r="R184" s="1373"/>
      <c r="S184" s="1373"/>
      <c r="T184" s="1373"/>
      <c r="U184" s="1373"/>
      <c r="V184" s="1373"/>
      <c r="W184" s="1373"/>
      <c r="X184" s="1373"/>
      <c r="Y184" s="1373"/>
      <c r="Z184" s="1373"/>
      <c r="AA184" s="1373"/>
      <c r="AB184" s="1373"/>
      <c r="AC184" s="1373"/>
      <c r="AD184" s="1373"/>
      <c r="AE184" s="1373"/>
      <c r="BC184" t="s">
        <v>595</v>
      </c>
      <c r="BN184" s="23" t="s">
        <v>231</v>
      </c>
      <c r="BT184" t="s">
        <v>62</v>
      </c>
    </row>
    <row r="185" spans="1:72" ht="13.05" customHeight="1">
      <c r="C185" s="21"/>
      <c r="D185" t="s">
        <v>587</v>
      </c>
      <c r="I185" s="1374" t="s">
        <v>2639</v>
      </c>
      <c r="J185" s="1374"/>
      <c r="K185" s="1374"/>
      <c r="L185" s="1374"/>
      <c r="M185" s="1374"/>
      <c r="N185" s="1374"/>
      <c r="O185" s="1374"/>
      <c r="P185" s="1374"/>
      <c r="Q185" s="1374"/>
      <c r="R185" s="1374"/>
      <c r="S185" s="1374"/>
      <c r="T185" s="1374"/>
      <c r="U185" s="1374"/>
      <c r="V185" s="1374"/>
      <c r="W185" s="1374"/>
      <c r="X185" s="1374"/>
      <c r="Y185" s="1374"/>
      <c r="Z185" s="1374"/>
      <c r="AA185" s="1374"/>
      <c r="AB185" s="1374"/>
      <c r="AC185" s="1374"/>
      <c r="AD185" s="1374"/>
      <c r="AE185" s="1374"/>
      <c r="BC185" t="s">
        <v>596</v>
      </c>
      <c r="BN185" s="23" t="s">
        <v>232</v>
      </c>
      <c r="BT185" t="s">
        <v>63</v>
      </c>
    </row>
    <row r="186" spans="1:72" ht="13.05" customHeight="1">
      <c r="C186" s="21"/>
      <c r="E186" t="s">
        <v>168</v>
      </c>
      <c r="BN186" s="23" t="s">
        <v>233</v>
      </c>
      <c r="BT186" t="s">
        <v>64</v>
      </c>
    </row>
    <row r="187" spans="1:72" ht="13.05" customHeight="1">
      <c r="C187" s="21"/>
      <c r="E187" s="1504"/>
      <c r="F187" s="1504"/>
      <c r="G187" s="1504"/>
      <c r="H187" s="1504"/>
      <c r="I187" s="1504"/>
      <c r="J187" s="1504"/>
      <c r="K187" s="1504"/>
      <c r="L187" s="1504"/>
      <c r="M187" s="1504"/>
      <c r="N187" s="1504"/>
      <c r="O187" s="1504"/>
      <c r="P187" s="1504"/>
      <c r="Q187" s="1504"/>
      <c r="R187" s="1504"/>
      <c r="S187" s="1504"/>
      <c r="T187" s="1504"/>
      <c r="U187" s="1504"/>
      <c r="V187" s="1504"/>
      <c r="W187" s="1504"/>
      <c r="X187" s="1504"/>
      <c r="Y187" s="1504"/>
      <c r="Z187" s="1504"/>
      <c r="AA187" s="1504"/>
      <c r="AB187" s="1504"/>
      <c r="AC187" s="1504"/>
      <c r="AD187" s="1504"/>
      <c r="AE187" s="1504"/>
      <c r="BN187" s="23" t="s">
        <v>234</v>
      </c>
      <c r="BT187" t="s">
        <v>65</v>
      </c>
    </row>
    <row r="188" spans="1:72" ht="13.05" customHeight="1">
      <c r="C188" s="21"/>
      <c r="E188" s="1505"/>
      <c r="F188" s="1505"/>
      <c r="G188" s="1505"/>
      <c r="H188" s="1505"/>
      <c r="I188" s="1505"/>
      <c r="J188" s="1505"/>
      <c r="K188" s="1505"/>
      <c r="L188" s="1505"/>
      <c r="M188" s="1505"/>
      <c r="N188" s="1505"/>
      <c r="O188" s="1505"/>
      <c r="P188" s="1505"/>
      <c r="Q188" s="1505"/>
      <c r="R188" s="1505"/>
      <c r="S188" s="1505"/>
      <c r="T188" s="1505"/>
      <c r="U188" s="1505"/>
      <c r="V188" s="1505"/>
      <c r="W188" s="1505"/>
      <c r="X188" s="1505"/>
      <c r="Y188" s="1505"/>
      <c r="Z188" s="1505"/>
      <c r="AA188" s="1505"/>
      <c r="AB188" s="1505"/>
      <c r="AC188" s="1505"/>
      <c r="AD188" s="1505"/>
      <c r="AE188" s="1505"/>
      <c r="BN188" s="23" t="s">
        <v>236</v>
      </c>
      <c r="BT188" t="s">
        <v>66</v>
      </c>
    </row>
    <row r="189" spans="1:72" ht="13.05" customHeight="1">
      <c r="C189" s="21"/>
      <c r="D189" t="s">
        <v>588</v>
      </c>
      <c r="I189" s="1405" t="s">
        <v>2635</v>
      </c>
      <c r="J189" s="1405"/>
      <c r="K189" s="1405"/>
      <c r="L189" s="1405"/>
      <c r="M189" s="1405"/>
      <c r="N189" s="1405"/>
      <c r="O189" s="1405"/>
      <c r="P189" s="1405"/>
      <c r="Q189" t="s">
        <v>590</v>
      </c>
      <c r="T189" s="1405" t="s">
        <v>68</v>
      </c>
      <c r="U189" s="1405"/>
      <c r="V189" s="1405"/>
      <c r="W189" s="1405"/>
      <c r="X189" s="1405"/>
      <c r="Y189" s="1405"/>
      <c r="Z189" s="1405"/>
      <c r="AA189" s="1405"/>
      <c r="AB189" s="1405"/>
      <c r="AC189" s="1405"/>
      <c r="AD189" s="1405"/>
      <c r="AE189" s="1405"/>
      <c r="BC189" t="s">
        <v>308</v>
      </c>
      <c r="BH189" s="3" t="s">
        <v>599</v>
      </c>
      <c r="BN189" s="23" t="s">
        <v>237</v>
      </c>
      <c r="BT189" t="s">
        <v>67</v>
      </c>
    </row>
    <row r="190" spans="1:72" ht="13.05" customHeight="1">
      <c r="C190" s="21"/>
      <c r="D190" t="s">
        <v>591</v>
      </c>
      <c r="I190" s="1374">
        <v>95757</v>
      </c>
      <c r="J190" s="1374"/>
      <c r="K190" s="1374"/>
      <c r="L190" s="1374"/>
      <c r="M190" s="1374"/>
      <c r="N190" s="1374"/>
      <c r="O190" t="s">
        <v>593</v>
      </c>
      <c r="T190" s="1566">
        <v>96.52</v>
      </c>
      <c r="U190" s="1566"/>
      <c r="V190" s="1566"/>
      <c r="W190" s="1566"/>
      <c r="X190" s="1566"/>
      <c r="Y190" s="1566"/>
      <c r="Z190" s="1566"/>
      <c r="AA190" s="1566"/>
      <c r="AB190" s="1566"/>
      <c r="AC190" s="1566"/>
      <c r="AD190" s="1566"/>
      <c r="AE190" s="1566"/>
      <c r="BC190" t="s">
        <v>1065</v>
      </c>
      <c r="BH190" t="s">
        <v>1065</v>
      </c>
      <c r="BN190" s="23" t="s">
        <v>643</v>
      </c>
      <c r="BT190" t="s">
        <v>68</v>
      </c>
    </row>
    <row r="191" spans="1:72" ht="13.05" customHeight="1">
      <c r="C191" s="21"/>
      <c r="D191" t="s">
        <v>470</v>
      </c>
      <c r="N191" s="1504" t="s">
        <v>2640</v>
      </c>
      <c r="O191" s="1504"/>
      <c r="P191" s="1504"/>
      <c r="Q191" s="1504"/>
      <c r="R191" s="1504"/>
      <c r="S191" s="1504"/>
      <c r="T191" s="1504"/>
      <c r="U191" s="1504"/>
      <c r="V191" s="1504"/>
      <c r="W191" s="1504"/>
      <c r="X191" s="1504"/>
      <c r="Y191" s="1504"/>
      <c r="Z191" s="1504"/>
      <c r="AA191" s="1504"/>
      <c r="AB191" s="1504"/>
      <c r="AC191" s="1504"/>
      <c r="AD191" s="1504"/>
      <c r="AE191" s="1504"/>
      <c r="BC191" t="s">
        <v>1064</v>
      </c>
      <c r="BH191" t="s">
        <v>1064</v>
      </c>
      <c r="BN191" s="23" t="s">
        <v>697</v>
      </c>
      <c r="BT191" t="s">
        <v>736</v>
      </c>
    </row>
    <row r="192" spans="1:72" ht="13.05" customHeight="1">
      <c r="C192" s="21"/>
      <c r="M192" s="40"/>
      <c r="N192" s="1505"/>
      <c r="O192" s="1505"/>
      <c r="P192" s="1505"/>
      <c r="Q192" s="1505"/>
      <c r="R192" s="1505"/>
      <c r="S192" s="1505"/>
      <c r="T192" s="1505"/>
      <c r="U192" s="1505"/>
      <c r="V192" s="1505"/>
      <c r="W192" s="1505"/>
      <c r="X192" s="1505"/>
      <c r="Y192" s="1505"/>
      <c r="Z192" s="1505"/>
      <c r="AA192" s="1505"/>
      <c r="AB192" s="1505"/>
      <c r="AC192" s="1505"/>
      <c r="AD192" s="1505"/>
      <c r="AE192" s="1505"/>
      <c r="BC192" t="s">
        <v>1067</v>
      </c>
      <c r="BH192" s="3" t="s">
        <v>1475</v>
      </c>
      <c r="BN192" s="23" t="s">
        <v>698</v>
      </c>
      <c r="BT192" t="s">
        <v>737</v>
      </c>
    </row>
    <row r="193" spans="1:74" ht="13.05" customHeight="1">
      <c r="C193" s="21"/>
      <c r="D193" t="s">
        <v>2394</v>
      </c>
      <c r="M193" s="40"/>
      <c r="N193" s="928"/>
      <c r="O193" s="928"/>
      <c r="P193" s="928"/>
      <c r="Q193" s="928"/>
      <c r="R193" s="928"/>
      <c r="S193" s="928"/>
      <c r="T193" s="1580" t="s">
        <v>2270</v>
      </c>
      <c r="U193" s="1580"/>
      <c r="V193" s="1580"/>
      <c r="W193" s="1580"/>
      <c r="X193" s="1580"/>
      <c r="Y193" s="1580"/>
      <c r="Z193" s="1580"/>
      <c r="AA193" s="1580"/>
      <c r="AB193" s="1580"/>
      <c r="AC193" s="1580"/>
      <c r="AD193" s="1580"/>
      <c r="AE193" s="1580"/>
      <c r="AF193" s="1580"/>
      <c r="AG193" s="1580"/>
      <c r="AH193" s="1580"/>
      <c r="AI193" s="1580"/>
      <c r="BC193" t="s">
        <v>1066</v>
      </c>
      <c r="BH193" s="3" t="s">
        <v>1742</v>
      </c>
      <c r="BN193" s="23" t="s">
        <v>699</v>
      </c>
      <c r="BT193" t="s">
        <v>738</v>
      </c>
    </row>
    <row r="194" spans="1:74" ht="13.05" customHeight="1">
      <c r="C194" s="21"/>
      <c r="D194" s="3" t="s">
        <v>2574</v>
      </c>
      <c r="M194" s="40"/>
      <c r="N194" s="928"/>
      <c r="O194" s="928"/>
      <c r="P194" s="928"/>
      <c r="Q194" s="928"/>
      <c r="R194" s="928"/>
      <c r="S194" s="928"/>
      <c r="AH194" s="1461" t="s">
        <v>677</v>
      </c>
      <c r="AI194" s="1461"/>
      <c r="BC194" t="s">
        <v>1475</v>
      </c>
      <c r="BN194" s="23" t="s">
        <v>700</v>
      </c>
      <c r="BT194" t="s">
        <v>739</v>
      </c>
    </row>
    <row r="195" spans="1:74" ht="13.05" customHeight="1">
      <c r="C195" s="21"/>
      <c r="D195" t="s">
        <v>332</v>
      </c>
      <c r="T195" s="1461" t="s">
        <v>553</v>
      </c>
      <c r="U195" s="1461"/>
      <c r="W195" t="s">
        <v>693</v>
      </c>
      <c r="AH195" s="1461">
        <v>7</v>
      </c>
      <c r="AI195" s="1461"/>
      <c r="BC195" t="s">
        <v>2048</v>
      </c>
      <c r="BN195" s="23" t="s">
        <v>243</v>
      </c>
      <c r="BT195" t="s">
        <v>740</v>
      </c>
    </row>
    <row r="196" spans="1:74" ht="13.05" customHeight="1">
      <c r="C196" s="21"/>
      <c r="D196" t="s">
        <v>387</v>
      </c>
      <c r="T196" s="1444" t="s">
        <v>677</v>
      </c>
      <c r="U196" s="1444"/>
      <c r="W196" t="s">
        <v>694</v>
      </c>
      <c r="AH196" s="1461">
        <v>10</v>
      </c>
      <c r="AI196" s="1461"/>
      <c r="BN196" s="23" t="s">
        <v>244</v>
      </c>
      <c r="BT196" t="s">
        <v>69</v>
      </c>
    </row>
    <row r="197" spans="1:74" ht="13.05" customHeight="1">
      <c r="C197" s="21"/>
      <c r="D197" s="3" t="s">
        <v>169</v>
      </c>
      <c r="T197" s="1444" t="s">
        <v>677</v>
      </c>
      <c r="U197" s="1444"/>
      <c r="W197" t="s">
        <v>695</v>
      </c>
      <c r="AH197" s="1461">
        <v>8</v>
      </c>
      <c r="AI197" s="1461"/>
      <c r="BC197" t="s">
        <v>308</v>
      </c>
      <c r="BN197" s="23" t="s">
        <v>245</v>
      </c>
      <c r="BT197" t="s">
        <v>70</v>
      </c>
    </row>
    <row r="198" spans="1:74" s="14" customFormat="1" ht="13.05" customHeight="1">
      <c r="A198"/>
      <c r="B198"/>
      <c r="C198" s="21"/>
      <c r="D198" s="3" t="s">
        <v>1765</v>
      </c>
      <c r="E198"/>
      <c r="F198"/>
      <c r="G198"/>
      <c r="H198"/>
      <c r="I198"/>
      <c r="J198"/>
      <c r="K198"/>
      <c r="L198"/>
      <c r="M198"/>
      <c r="N198"/>
      <c r="O198"/>
      <c r="P198"/>
      <c r="Q198"/>
      <c r="R198"/>
      <c r="S198"/>
      <c r="T198" s="1444"/>
      <c r="U198" s="144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3.05" customHeight="1">
      <c r="A199"/>
      <c r="B199"/>
      <c r="C199" s="21"/>
      <c r="D199" s="118" t="s">
        <v>2524</v>
      </c>
      <c r="E199"/>
      <c r="F199"/>
      <c r="G199"/>
      <c r="H199"/>
      <c r="I199"/>
      <c r="J199"/>
      <c r="K199"/>
      <c r="L199"/>
      <c r="M199"/>
      <c r="N199"/>
      <c r="O199"/>
      <c r="P199"/>
      <c r="Q199"/>
      <c r="R199"/>
      <c r="S199"/>
      <c r="T199"/>
      <c r="U199"/>
      <c r="V199"/>
      <c r="W199"/>
      <c r="Z199" s="1461" t="s">
        <v>677</v>
      </c>
      <c r="AA199" s="1461"/>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3.0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3.0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3.05" customHeight="1">
      <c r="C202" s="21"/>
      <c r="D202" s="546"/>
      <c r="BC202" t="s">
        <v>1091</v>
      </c>
      <c r="BD202" s="469"/>
      <c r="BN202" s="23" t="s">
        <v>710</v>
      </c>
      <c r="BO202" s="14"/>
      <c r="BP202" s="32"/>
      <c r="BQ202" s="32"/>
      <c r="BR202" s="32"/>
      <c r="BS202" s="32"/>
      <c r="BT202" s="32" t="s">
        <v>196</v>
      </c>
    </row>
    <row r="203" spans="1:74" ht="13.05" customHeight="1">
      <c r="A203" s="2" t="s">
        <v>594</v>
      </c>
      <c r="C203" s="2" t="s">
        <v>136</v>
      </c>
      <c r="BC203" t="s">
        <v>1092</v>
      </c>
      <c r="BN203" s="23" t="s">
        <v>711</v>
      </c>
      <c r="BO203" s="14"/>
      <c r="BP203" s="32"/>
      <c r="BQ203" s="32"/>
      <c r="BR203" s="32"/>
      <c r="BS203" s="32"/>
      <c r="BT203" s="32" t="s">
        <v>197</v>
      </c>
    </row>
    <row r="204" spans="1:74" ht="13.05" customHeight="1">
      <c r="D204" s="1373" t="s">
        <v>386</v>
      </c>
      <c r="E204" s="1373"/>
      <c r="F204" s="1373"/>
      <c r="G204" s="1373"/>
      <c r="H204" s="1373"/>
      <c r="I204" s="1373"/>
      <c r="J204" s="1373"/>
      <c r="K204" s="1373"/>
      <c r="L204" s="1373"/>
      <c r="M204" s="1373"/>
      <c r="P204" s="1576">
        <f>M26</f>
        <v>3567918</v>
      </c>
      <c r="Q204" s="1575"/>
      <c r="R204" s="1575"/>
      <c r="S204" s="1575"/>
      <c r="T204" s="1575"/>
      <c r="U204" s="1575"/>
      <c r="Z204" s="1573" t="s">
        <v>2622</v>
      </c>
      <c r="AA204" s="1573"/>
      <c r="AB204" s="1573"/>
      <c r="AC204" s="1573"/>
      <c r="AD204" s="1573"/>
      <c r="AE204" s="1573"/>
      <c r="AF204" s="1573"/>
      <c r="BC204" t="s">
        <v>618</v>
      </c>
      <c r="BN204" s="23" t="s">
        <v>712</v>
      </c>
      <c r="BT204" s="32" t="s">
        <v>198</v>
      </c>
      <c r="BU204" s="14"/>
    </row>
    <row r="205" spans="1:74" ht="13.05" customHeight="1">
      <c r="C205" s="21"/>
      <c r="D205" s="1579" t="s">
        <v>1355</v>
      </c>
      <c r="E205" s="1373"/>
      <c r="F205" s="1373"/>
      <c r="G205" s="1373"/>
      <c r="H205" s="1373"/>
      <c r="I205" s="1373"/>
      <c r="J205" s="1373"/>
      <c r="K205" s="1373"/>
      <c r="L205" s="1373"/>
      <c r="M205" s="1373"/>
      <c r="P205" s="1575">
        <f>M27</f>
        <v>20584139</v>
      </c>
      <c r="Q205" s="1575"/>
      <c r="R205" s="1575"/>
      <c r="S205" s="1575"/>
      <c r="T205" s="1575"/>
      <c r="U205" s="1575"/>
      <c r="V205" s="28"/>
      <c r="W205" s="3" t="s">
        <v>1910</v>
      </c>
      <c r="Z205" s="1573"/>
      <c r="AA205" s="1573"/>
      <c r="AB205" s="1573"/>
      <c r="AC205" s="1573"/>
      <c r="AD205" s="1573"/>
      <c r="AE205" s="1573"/>
      <c r="AF205" s="1573"/>
      <c r="AG205" t="s">
        <v>1356</v>
      </c>
      <c r="AP205" s="1461" t="s">
        <v>677</v>
      </c>
      <c r="AQ205" s="1461"/>
      <c r="BC205" t="s">
        <v>1050</v>
      </c>
      <c r="BN205" s="23" t="s">
        <v>109</v>
      </c>
      <c r="BT205" s="32" t="s">
        <v>174</v>
      </c>
      <c r="BU205" s="14"/>
    </row>
    <row r="206" spans="1:74" ht="13.05" customHeight="1">
      <c r="D206" s="29"/>
      <c r="E206" s="29"/>
      <c r="F206" s="29"/>
      <c r="G206" s="29"/>
      <c r="H206" s="29"/>
      <c r="I206" s="29"/>
      <c r="J206" s="29"/>
      <c r="K206" s="29"/>
      <c r="L206" s="29"/>
      <c r="M206" s="29"/>
      <c r="N206" s="29"/>
      <c r="O206" s="29"/>
      <c r="P206" s="29"/>
      <c r="Z206" s="1574"/>
      <c r="AA206" s="1574"/>
      <c r="AB206" s="1574"/>
      <c r="AC206" s="1574"/>
      <c r="AD206" s="1574"/>
      <c r="AE206" s="1574"/>
      <c r="AF206" s="1574"/>
      <c r="BC206" s="470" t="s">
        <v>1093</v>
      </c>
      <c r="BN206" s="23" t="s">
        <v>110</v>
      </c>
      <c r="BT206" s="32" t="s">
        <v>199</v>
      </c>
      <c r="BU206" s="14"/>
    </row>
    <row r="207" spans="1:74" ht="13.05" customHeight="1">
      <c r="A207" s="2" t="s">
        <v>597</v>
      </c>
      <c r="C207" s="2" t="s">
        <v>559</v>
      </c>
      <c r="BC207" s="3" t="s">
        <v>2564</v>
      </c>
      <c r="BN207" s="23" t="s">
        <v>45</v>
      </c>
      <c r="BT207" s="32" t="s">
        <v>200</v>
      </c>
    </row>
    <row r="208" spans="1:74" ht="13.05" customHeight="1">
      <c r="C208" s="21"/>
      <c r="D208" s="1536" t="s">
        <v>2747</v>
      </c>
      <c r="E208" s="1536"/>
      <c r="F208" s="1536"/>
      <c r="G208" s="1536"/>
      <c r="H208" s="1536"/>
      <c r="I208" s="1536"/>
      <c r="J208" s="1536"/>
      <c r="K208" s="1536"/>
      <c r="L208" s="1536"/>
      <c r="M208" s="1536"/>
      <c r="BC208" t="s">
        <v>1094</v>
      </c>
      <c r="BN208" s="23" t="s">
        <v>46</v>
      </c>
      <c r="BT208" s="32" t="s">
        <v>201</v>
      </c>
    </row>
    <row r="209" spans="1:72" ht="13.05" customHeight="1">
      <c r="BC209" t="s">
        <v>667</v>
      </c>
      <c r="BN209" s="23" t="s">
        <v>47</v>
      </c>
      <c r="BT209" s="32" t="s">
        <v>202</v>
      </c>
    </row>
    <row r="210" spans="1:72" ht="13.05" customHeight="1">
      <c r="A210" s="2" t="s">
        <v>598</v>
      </c>
      <c r="C210" s="2" t="s">
        <v>389</v>
      </c>
      <c r="BN210" s="23" t="s">
        <v>48</v>
      </c>
      <c r="BT210" s="32" t="s">
        <v>203</v>
      </c>
    </row>
    <row r="211" spans="1:72" ht="13.05" customHeight="1">
      <c r="C211" s="21"/>
      <c r="D211" s="1536" t="s">
        <v>1065</v>
      </c>
      <c r="E211" s="1536"/>
      <c r="F211" s="1536"/>
      <c r="G211" s="1536"/>
      <c r="H211" s="1536"/>
      <c r="I211" s="1536"/>
      <c r="J211" s="1536"/>
      <c r="K211" s="1536"/>
      <c r="L211" s="1536"/>
      <c r="M211" s="1536"/>
      <c r="BN211" s="23" t="s">
        <v>129</v>
      </c>
      <c r="BT211" s="32" t="s">
        <v>130</v>
      </c>
    </row>
    <row r="212" spans="1:72" ht="13.05" customHeight="1">
      <c r="C212" s="21"/>
      <c r="D212" t="s">
        <v>1352</v>
      </c>
      <c r="Y212" s="1461"/>
      <c r="Z212" s="1461"/>
      <c r="AB212" s="1577">
        <f>IFERROR(Y212/AG440,"")</f>
        <v>0</v>
      </c>
      <c r="AC212" s="1578"/>
      <c r="BC212" t="s">
        <v>308</v>
      </c>
      <c r="BI212" t="s">
        <v>1290</v>
      </c>
      <c r="BN212" s="23" t="s">
        <v>49</v>
      </c>
      <c r="BT212" s="32" t="s">
        <v>204</v>
      </c>
    </row>
    <row r="213" spans="1:72" ht="13.05" customHeight="1">
      <c r="D213" s="1189" t="s">
        <v>1741</v>
      </c>
      <c r="BC213" t="s">
        <v>534</v>
      </c>
      <c r="BI213" t="s">
        <v>2622</v>
      </c>
      <c r="BN213" s="23" t="s">
        <v>50</v>
      </c>
      <c r="BT213" s="32" t="s">
        <v>205</v>
      </c>
    </row>
    <row r="214" spans="1:72" ht="13.05" customHeight="1">
      <c r="D214" s="1517" t="s">
        <v>599</v>
      </c>
      <c r="E214" s="1517"/>
      <c r="F214" s="1517"/>
      <c r="G214" s="1517"/>
      <c r="H214" s="1517"/>
      <c r="I214" s="1517"/>
      <c r="J214" s="1517"/>
      <c r="K214" s="1517"/>
      <c r="L214" s="1517"/>
      <c r="M214" s="1517"/>
      <c r="N214" s="1517"/>
      <c r="O214" s="1517"/>
      <c r="P214" s="1517"/>
      <c r="Q214" s="1517"/>
      <c r="R214" s="1517"/>
      <c r="S214" s="1517"/>
      <c r="T214" s="1517"/>
      <c r="U214" s="1517"/>
      <c r="V214" s="1517"/>
      <c r="W214" s="1517"/>
      <c r="X214" s="1517"/>
      <c r="Y214" s="1517"/>
      <c r="Z214" s="1517"/>
      <c r="AU214" s="21"/>
      <c r="AV214" s="21"/>
      <c r="AW214" s="21"/>
      <c r="AX214" s="21"/>
      <c r="AY214" s="21"/>
      <c r="BC214" t="s">
        <v>538</v>
      </c>
      <c r="BI214" t="s">
        <v>2628</v>
      </c>
      <c r="BN214" s="23" t="s">
        <v>327</v>
      </c>
      <c r="BT214" s="32" t="s">
        <v>206</v>
      </c>
    </row>
    <row r="215" spans="1:72" ht="13.05" customHeight="1">
      <c r="D215" s="3" t="s">
        <v>1766</v>
      </c>
      <c r="Z215" s="40"/>
      <c r="AB215" s="1516"/>
      <c r="AC215" s="1516"/>
      <c r="AD215" s="1516"/>
      <c r="AE215" s="1516"/>
      <c r="AF215" s="1516"/>
      <c r="AG215" s="1516"/>
      <c r="AH215" s="1516"/>
      <c r="AI215" s="1516"/>
      <c r="AJ215" s="1516"/>
      <c r="AK215" s="1516"/>
      <c r="AL215" s="1516"/>
      <c r="AM215" s="21"/>
      <c r="AN215" s="21"/>
      <c r="AO215" s="21"/>
      <c r="AP215" s="21"/>
      <c r="AQ215" s="21"/>
      <c r="AR215" s="21"/>
      <c r="AS215" s="21"/>
      <c r="AT215" s="21"/>
      <c r="AU215" s="21"/>
      <c r="AV215" s="21"/>
      <c r="AW215" s="21"/>
      <c r="AX215" s="21"/>
      <c r="AY215" s="21"/>
      <c r="BC215" t="s">
        <v>535</v>
      </c>
      <c r="BI215" t="s">
        <v>2623</v>
      </c>
    </row>
    <row r="216" spans="1:72" ht="13.05" customHeight="1">
      <c r="D216" s="3" t="s">
        <v>1764</v>
      </c>
      <c r="Z216" s="40"/>
      <c r="AB216" s="1516"/>
      <c r="AC216" s="1516"/>
      <c r="AD216" s="1516"/>
      <c r="AE216" s="1516"/>
      <c r="AF216" s="1516"/>
      <c r="AG216" s="1516"/>
      <c r="AH216" s="1516"/>
      <c r="AI216" s="1516"/>
      <c r="AJ216" s="1516"/>
      <c r="AK216" s="1516"/>
      <c r="AL216" s="1516"/>
      <c r="AM216" s="21"/>
      <c r="AN216" s="21"/>
      <c r="AO216" s="21"/>
      <c r="AP216" s="21"/>
      <c r="AQ216" s="21"/>
      <c r="AR216" s="21"/>
      <c r="AS216" s="21"/>
      <c r="AT216" s="21"/>
      <c r="AU216" s="21"/>
      <c r="AV216" s="21"/>
      <c r="AW216" s="21"/>
      <c r="AX216" s="21"/>
      <c r="AY216" s="21"/>
      <c r="BC216" t="s">
        <v>574</v>
      </c>
      <c r="BI216" t="s">
        <v>2624</v>
      </c>
    </row>
    <row r="217" spans="1:72" ht="13.0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05" customHeight="1">
      <c r="A218" s="2" t="s">
        <v>600</v>
      </c>
      <c r="C218" s="2" t="s">
        <v>1328</v>
      </c>
      <c r="D218" s="28"/>
      <c r="BC218" t="s">
        <v>537</v>
      </c>
    </row>
    <row r="219" spans="1:72" ht="13.05" customHeight="1">
      <c r="A219" s="2"/>
      <c r="C219" s="2"/>
      <c r="D219" s="4" t="s">
        <v>1008</v>
      </c>
      <c r="AZ219" s="3"/>
      <c r="BA219" s="3"/>
      <c r="BC219" t="s">
        <v>378</v>
      </c>
    </row>
    <row r="220" spans="1:72" ht="13.05" customHeight="1">
      <c r="A220" s="2"/>
      <c r="C220" s="2"/>
      <c r="D220" s="1536" t="s">
        <v>1093</v>
      </c>
      <c r="E220" s="1536"/>
      <c r="F220" s="1536"/>
      <c r="G220" s="1536"/>
      <c r="H220" s="1536"/>
      <c r="I220" s="1536"/>
      <c r="J220" s="1536"/>
      <c r="K220" s="1536"/>
      <c r="L220" s="1536"/>
      <c r="M220" s="1536"/>
      <c r="N220" s="1536"/>
      <c r="O220" s="1536"/>
      <c r="P220" s="1536"/>
      <c r="Q220" s="1536"/>
      <c r="R220" s="1536"/>
      <c r="S220" s="1536"/>
      <c r="T220" s="1536"/>
      <c r="U220" s="1536"/>
      <c r="V220" s="1536"/>
      <c r="W220" s="1536"/>
      <c r="X220" s="1536"/>
      <c r="Y220" s="1536"/>
      <c r="Z220" s="1536"/>
      <c r="BA220" s="3"/>
      <c r="BC220" t="s">
        <v>301</v>
      </c>
    </row>
    <row r="221" spans="1:72" ht="13.05" customHeight="1">
      <c r="A221" s="2"/>
      <c r="B221" s="14"/>
      <c r="C221" s="2"/>
      <c r="AU221" s="95"/>
      <c r="AV221" s="95"/>
      <c r="AW221" s="95"/>
      <c r="AX221" s="95"/>
      <c r="AY221" s="95"/>
      <c r="BA221" s="3"/>
    </row>
    <row r="222" spans="1:72" ht="13.05" customHeight="1">
      <c r="A222" s="1674" t="s">
        <v>548</v>
      </c>
      <c r="B222" s="1674"/>
      <c r="C222" s="1674"/>
      <c r="D222" s="1674"/>
      <c r="E222" s="1674"/>
      <c r="F222" s="1674"/>
      <c r="G222" s="1674"/>
      <c r="H222" s="1674"/>
      <c r="I222" s="1674"/>
      <c r="J222" s="1674"/>
      <c r="K222" s="1674"/>
      <c r="L222" s="1674"/>
      <c r="M222" s="1674"/>
      <c r="N222" s="1674"/>
      <c r="O222" s="1674"/>
      <c r="P222" s="1674"/>
      <c r="Q222" s="1674"/>
      <c r="R222" s="1674"/>
      <c r="S222" s="1674"/>
      <c r="T222" s="1674"/>
      <c r="U222" s="1674"/>
      <c r="V222" s="1674"/>
      <c r="W222" s="1674"/>
      <c r="X222" s="1674"/>
      <c r="Y222" s="1674"/>
      <c r="Z222" s="1674"/>
      <c r="AA222" s="1674"/>
      <c r="AB222" s="1674"/>
      <c r="AC222" s="1674"/>
      <c r="AD222" s="1674"/>
      <c r="AE222" s="1674"/>
      <c r="AF222" s="1674"/>
      <c r="AG222" s="1674"/>
      <c r="AH222" s="1674"/>
      <c r="AI222" s="1674"/>
      <c r="AJ222" s="1674"/>
      <c r="AK222" s="1674"/>
      <c r="AL222" s="1674"/>
      <c r="AM222" s="1674"/>
      <c r="AN222" s="1674"/>
      <c r="AO222" s="1674"/>
      <c r="AP222" s="1674"/>
      <c r="AQ222" s="1674"/>
      <c r="AR222" s="1674"/>
      <c r="AS222" s="1674"/>
      <c r="AT222" s="1674"/>
      <c r="AU222" s="95"/>
      <c r="AV222" s="95"/>
      <c r="AW222" s="95"/>
      <c r="AX222" s="95"/>
      <c r="AY222" s="95"/>
      <c r="AZ222" s="3"/>
      <c r="BA222" s="3"/>
      <c r="BP222" s="34"/>
    </row>
    <row r="223" spans="1:72" ht="13.05" customHeight="1">
      <c r="A223" s="1674"/>
      <c r="B223" s="1674"/>
      <c r="C223" s="1674"/>
      <c r="D223" s="1674"/>
      <c r="E223" s="1674"/>
      <c r="F223" s="1674"/>
      <c r="G223" s="1674"/>
      <c r="H223" s="1674"/>
      <c r="I223" s="1674"/>
      <c r="J223" s="1674"/>
      <c r="K223" s="1674"/>
      <c r="L223" s="1674"/>
      <c r="M223" s="1674"/>
      <c r="N223" s="1674"/>
      <c r="O223" s="1674"/>
      <c r="P223" s="1674"/>
      <c r="Q223" s="1674"/>
      <c r="R223" s="1674"/>
      <c r="S223" s="1674"/>
      <c r="T223" s="1674"/>
      <c r="U223" s="1674"/>
      <c r="V223" s="1674"/>
      <c r="W223" s="1674"/>
      <c r="X223" s="1674"/>
      <c r="Y223" s="1674"/>
      <c r="Z223" s="1674"/>
      <c r="AA223" s="1674"/>
      <c r="AB223" s="1674"/>
      <c r="AC223" s="1674"/>
      <c r="AD223" s="1674"/>
      <c r="AE223" s="1674"/>
      <c r="AF223" s="1674"/>
      <c r="AG223" s="1674"/>
      <c r="AH223" s="1674"/>
      <c r="AI223" s="1674"/>
      <c r="AJ223" s="1674"/>
      <c r="AK223" s="1674"/>
      <c r="AL223" s="1674"/>
      <c r="AM223" s="1674"/>
      <c r="AN223" s="1674"/>
      <c r="AO223" s="1674"/>
      <c r="AP223" s="1674"/>
      <c r="AQ223" s="1674"/>
      <c r="AR223" s="1674"/>
      <c r="AS223" s="1674"/>
      <c r="AT223" s="1674"/>
      <c r="BA223" s="3"/>
      <c r="BB223" s="3"/>
      <c r="BQ223" s="34"/>
    </row>
    <row r="224" spans="1:72" ht="13.05" customHeight="1">
      <c r="AZ224" s="4"/>
      <c r="BA224" s="3"/>
      <c r="BB224" s="3"/>
      <c r="BQ224" s="34"/>
    </row>
    <row r="225" spans="1:69" ht="13.05" customHeight="1">
      <c r="A225" s="2" t="s">
        <v>320</v>
      </c>
      <c r="B225" s="2"/>
      <c r="C225" s="2" t="s">
        <v>2395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0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61" t="s">
        <v>599</v>
      </c>
      <c r="AJ226" s="1461"/>
      <c r="AL226" s="3"/>
      <c r="AM226" s="3"/>
      <c r="AN226" s="3"/>
      <c r="AO226" s="3"/>
      <c r="AP226" s="3"/>
      <c r="AQ226" s="3"/>
      <c r="AR226" s="3"/>
      <c r="AS226" s="3"/>
      <c r="AT226" s="3"/>
      <c r="AU226" s="3"/>
      <c r="AV226" s="3"/>
      <c r="AW226" s="3"/>
      <c r="AX226" s="3"/>
      <c r="AY226" s="3"/>
      <c r="AZ226" s="4"/>
      <c r="BB226" s="218" t="s">
        <v>546</v>
      </c>
      <c r="BG226" s="259">
        <f>IF(AND(AND($M$249="for profit",$M$257="for profit",$M$265="nonprofit")),2,0)</f>
        <v>2</v>
      </c>
      <c r="BO226" s="34"/>
    </row>
    <row r="227" spans="1:69" ht="13.0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61" t="s">
        <v>553</v>
      </c>
      <c r="AJ227" s="1461"/>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0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61" t="s">
        <v>599</v>
      </c>
      <c r="AJ228" s="1461"/>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0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61" t="s">
        <v>599</v>
      </c>
      <c r="AJ229" s="1461"/>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05" customHeight="1">
      <c r="A231" s="2" t="s">
        <v>584</v>
      </c>
      <c r="B231" s="4"/>
      <c r="C231" s="2" t="s">
        <v>2396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05" customHeight="1">
      <c r="D232" s="4" t="s">
        <v>478</v>
      </c>
      <c r="E232" s="4"/>
      <c r="F232" s="4"/>
      <c r="G232" s="4"/>
      <c r="H232" s="4"/>
      <c r="I232" s="4"/>
      <c r="J232" s="4"/>
      <c r="K232" s="4"/>
      <c r="M232" s="1567" t="str">
        <f>H16</f>
        <v>Bold Pardes II LLC</v>
      </c>
      <c r="N232" s="1567"/>
      <c r="O232" s="1567"/>
      <c r="P232" s="1567"/>
      <c r="Q232" s="1567"/>
      <c r="R232" s="1567"/>
      <c r="S232" s="1567"/>
      <c r="T232" s="1567"/>
      <c r="U232" s="1567"/>
      <c r="V232" s="1567"/>
      <c r="W232" s="1567"/>
      <c r="X232" s="1567"/>
      <c r="Y232" s="1567"/>
      <c r="Z232" s="1567"/>
      <c r="AA232" s="1567"/>
      <c r="AB232" s="1567"/>
      <c r="AC232" s="1567"/>
      <c r="AD232" s="1567"/>
      <c r="AE232" s="1567"/>
      <c r="AF232" s="1567"/>
      <c r="AG232" s="1567"/>
      <c r="AH232" s="1567"/>
      <c r="AI232" s="1567"/>
      <c r="AJ232" s="1567"/>
      <c r="AK232" s="1567"/>
      <c r="AZ232" s="4"/>
      <c r="BA232" s="3"/>
      <c r="BB232" s="219" t="s">
        <v>546</v>
      </c>
      <c r="BG232" s="259">
        <f>IF(AND(AND($M$249="nonprofit",$M$257="nonprofit",$M$265="for profit")),2,0)</f>
        <v>0</v>
      </c>
      <c r="BQ232" s="34"/>
    </row>
    <row r="233" spans="1:69" ht="13.05" customHeight="1">
      <c r="D233" s="4" t="s">
        <v>85</v>
      </c>
      <c r="E233" s="4"/>
      <c r="F233" s="4"/>
      <c r="G233" s="4"/>
      <c r="H233" s="4"/>
      <c r="I233" s="4"/>
      <c r="J233" s="4"/>
      <c r="K233" s="4"/>
      <c r="M233" s="1536" t="s">
        <v>2641</v>
      </c>
      <c r="N233" s="1536"/>
      <c r="O233" s="1536"/>
      <c r="P233" s="1536"/>
      <c r="Q233" s="1536"/>
      <c r="R233" s="1536"/>
      <c r="S233" s="1536"/>
      <c r="T233" s="1536"/>
      <c r="U233" s="1536"/>
      <c r="V233" s="1536"/>
      <c r="W233" s="1536"/>
      <c r="X233" s="1536"/>
      <c r="Y233" s="1536"/>
      <c r="Z233" s="1536"/>
      <c r="AA233" s="1536"/>
      <c r="AB233" s="1536"/>
      <c r="AC233" s="1536"/>
      <c r="AD233" s="1536"/>
      <c r="AE233" s="1536"/>
      <c r="BB233" s="219" t="s">
        <v>546</v>
      </c>
      <c r="BG233" s="259">
        <f>IF(AND(AND($M$249="nonprofit",$M$257="for profit",$M$265="nonprofit")),2,0)</f>
        <v>0</v>
      </c>
    </row>
    <row r="234" spans="1:69" ht="13.05" customHeight="1">
      <c r="D234" s="4" t="s">
        <v>588</v>
      </c>
      <c r="E234" s="4"/>
      <c r="M234" s="1536" t="s">
        <v>502</v>
      </c>
      <c r="N234" s="1536"/>
      <c r="O234" s="1536"/>
      <c r="P234" s="1536"/>
      <c r="Q234" s="1536"/>
      <c r="R234" s="1536"/>
      <c r="S234" s="1536"/>
      <c r="T234" s="1536"/>
      <c r="V234" s="33" t="s">
        <v>86</v>
      </c>
      <c r="W234" s="1522" t="s">
        <v>2642</v>
      </c>
      <c r="X234" s="1372"/>
      <c r="Y234" s="4" t="s">
        <v>591</v>
      </c>
      <c r="AC234" s="1536">
        <v>90032</v>
      </c>
      <c r="AD234" s="1536"/>
      <c r="AE234" s="1536"/>
      <c r="AU234" s="4"/>
      <c r="AV234" s="4"/>
      <c r="AW234" s="4"/>
      <c r="AX234" s="4"/>
      <c r="AY234" s="4"/>
      <c r="AZ234" s="4"/>
      <c r="BB234" s="219" t="s">
        <v>546</v>
      </c>
      <c r="BG234" s="258">
        <f>IF(AND(AND($M$249="for profit",$M$257="nonprofit",$M$265="nonprofit")),2,0)</f>
        <v>0</v>
      </c>
      <c r="BO234" s="34"/>
    </row>
    <row r="235" spans="1:69" ht="13.05" customHeight="1">
      <c r="D235" s="4" t="s">
        <v>87</v>
      </c>
      <c r="E235" s="4"/>
      <c r="F235" s="4"/>
      <c r="G235" s="4"/>
      <c r="H235" s="4"/>
      <c r="I235" s="4"/>
      <c r="J235" s="4"/>
      <c r="K235" s="19"/>
      <c r="M235" s="1536" t="s">
        <v>2643</v>
      </c>
      <c r="N235" s="1536"/>
      <c r="O235" s="1536"/>
      <c r="P235" s="1536"/>
      <c r="Q235" s="1536"/>
      <c r="R235" s="1536"/>
      <c r="S235" s="1536"/>
      <c r="T235" s="1536"/>
      <c r="U235" s="1536"/>
      <c r="V235" s="1536"/>
      <c r="W235" s="1536"/>
      <c r="X235" s="1536"/>
      <c r="Y235" s="1536"/>
      <c r="Z235" s="1536"/>
      <c r="AA235" s="1536"/>
      <c r="AB235" s="1536"/>
      <c r="AC235" s="1536"/>
      <c r="AD235" s="1536"/>
      <c r="AE235" s="1536"/>
      <c r="AI235" s="4"/>
      <c r="AJ235" s="4"/>
      <c r="AK235" s="4"/>
      <c r="AL235" s="4"/>
      <c r="AM235" s="4"/>
      <c r="AN235" s="4"/>
      <c r="AO235" s="4"/>
      <c r="AP235" s="4"/>
      <c r="AQ235" s="4"/>
      <c r="AR235" s="4"/>
      <c r="AS235" s="4"/>
      <c r="AT235" s="4"/>
      <c r="BB235" s="219"/>
      <c r="BG235" s="218"/>
    </row>
    <row r="236" spans="1:69" ht="13.05" customHeight="1">
      <c r="D236" s="4" t="s">
        <v>88</v>
      </c>
      <c r="E236" s="4"/>
      <c r="F236" s="4"/>
      <c r="M236" s="1421" t="s">
        <v>2781</v>
      </c>
      <c r="N236" s="1393"/>
      <c r="O236" s="1393"/>
      <c r="P236" s="1393"/>
      <c r="Q236" s="1393"/>
      <c r="R236" s="1393"/>
      <c r="S236" s="4" t="s">
        <v>207</v>
      </c>
      <c r="T236" s="4"/>
      <c r="U236" s="1372"/>
      <c r="V236" s="1372"/>
      <c r="W236" s="1372"/>
      <c r="X236" s="4" t="s">
        <v>89</v>
      </c>
      <c r="Z236" s="1393"/>
      <c r="AA236" s="1393"/>
      <c r="AB236" s="1393"/>
      <c r="AC236" s="1393"/>
      <c r="AD236" s="1393"/>
      <c r="AE236" s="1393"/>
      <c r="AU236" s="4"/>
      <c r="AV236" s="4"/>
      <c r="AW236" s="4"/>
      <c r="AX236" s="4"/>
      <c r="AY236" s="4"/>
      <c r="AZ236" s="4"/>
      <c r="BB236" s="218" t="s">
        <v>545</v>
      </c>
      <c r="BG236" s="259">
        <f>IF(AND(AND($M$249="nonprofit",$M$257="nonprofit",$M$265="(select one)")),1,0)</f>
        <v>0</v>
      </c>
    </row>
    <row r="237" spans="1:69" ht="13.05" customHeight="1">
      <c r="D237" s="4" t="s">
        <v>90</v>
      </c>
      <c r="E237" s="4"/>
      <c r="F237" s="4"/>
      <c r="M237" s="1537" t="s">
        <v>2644</v>
      </c>
      <c r="N237" s="1537"/>
      <c r="O237" s="1537"/>
      <c r="P237" s="1537"/>
      <c r="Q237" s="1537"/>
      <c r="R237" s="1537"/>
      <c r="S237" s="1537"/>
      <c r="T237" s="1537"/>
      <c r="U237" s="1537"/>
      <c r="V237" s="1537"/>
      <c r="W237" s="1537"/>
      <c r="X237" s="1537"/>
      <c r="Y237" s="1537"/>
      <c r="Z237" s="1537"/>
      <c r="AA237" s="1537"/>
      <c r="AB237" s="1537"/>
      <c r="AC237" s="1537"/>
      <c r="AD237" s="1537"/>
      <c r="AE237" s="1537"/>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05" customHeight="1">
      <c r="A238" s="2" t="s">
        <v>594</v>
      </c>
      <c r="C238" s="2" t="s">
        <v>533</v>
      </c>
      <c r="M238" s="1374" t="s">
        <v>378</v>
      </c>
      <c r="N238" s="1374"/>
      <c r="O238" s="1374"/>
      <c r="P238" s="1374"/>
      <c r="Q238" s="1374"/>
      <c r="R238" s="1374"/>
      <c r="S238" s="1374"/>
      <c r="T238" s="1374"/>
      <c r="U238" s="218" t="s">
        <v>921</v>
      </c>
      <c r="V238" s="218"/>
      <c r="W238" s="218"/>
      <c r="X238" s="218"/>
      <c r="Y238" s="218"/>
      <c r="Z238" s="218"/>
      <c r="AA238" s="1556" t="s">
        <v>2645</v>
      </c>
      <c r="AB238" s="1550"/>
      <c r="AC238" s="1550"/>
      <c r="AD238" s="1550"/>
      <c r="AE238" s="1550"/>
      <c r="AF238" s="1550"/>
      <c r="AG238" s="1550"/>
      <c r="AH238" s="1550"/>
      <c r="AI238" s="1550"/>
      <c r="AJ238" s="1550"/>
      <c r="AK238" s="1550"/>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05" customHeight="1">
      <c r="D239" t="s">
        <v>539</v>
      </c>
      <c r="M239" s="1405"/>
      <c r="N239" s="1405"/>
      <c r="O239" s="1405"/>
      <c r="P239" s="1405"/>
      <c r="Q239" s="1405"/>
      <c r="R239" s="1405"/>
      <c r="S239" s="1405"/>
      <c r="T239" s="1405"/>
      <c r="U239" s="1405"/>
      <c r="V239" s="1405"/>
      <c r="W239" s="1405"/>
      <c r="X239" s="1405"/>
      <c r="Y239" s="1405"/>
      <c r="Z239" s="1405"/>
      <c r="AA239" s="1405"/>
      <c r="AB239" s="1405"/>
      <c r="AC239" s="1405"/>
      <c r="AD239" s="1405"/>
      <c r="AE239" s="1405"/>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05" customHeight="1">
      <c r="D240" s="4"/>
      <c r="BB240" s="218" t="s">
        <v>889</v>
      </c>
      <c r="BG240" s="259">
        <f>IF(AND(AND($M$249="for profit",$M$257="for profit",$M$265="for profit")),3,0)</f>
        <v>0</v>
      </c>
    </row>
    <row r="241" spans="1:71" ht="13.0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05" customHeight="1">
      <c r="A243" s="19"/>
      <c r="B243" s="4"/>
      <c r="C243" s="56" t="s">
        <v>481</v>
      </c>
      <c r="D243" s="4" t="s">
        <v>540</v>
      </c>
      <c r="E243" s="4"/>
      <c r="F243" s="4"/>
      <c r="G243" s="4"/>
      <c r="H243" s="4"/>
      <c r="I243" s="4"/>
      <c r="J243" s="4"/>
      <c r="K243" s="4"/>
      <c r="L243" s="4"/>
      <c r="M243" s="1549" t="s">
        <v>2646</v>
      </c>
      <c r="N243" s="1549"/>
      <c r="O243" s="1549"/>
      <c r="P243" s="1549"/>
      <c r="Q243" s="1549"/>
      <c r="R243" s="1549"/>
      <c r="S243" s="1549"/>
      <c r="T243" s="1549"/>
      <c r="U243" s="1549"/>
      <c r="V243" s="1549"/>
      <c r="W243" s="1549"/>
      <c r="X243" s="1549"/>
      <c r="Y243" s="1549"/>
      <c r="Z243" s="1549"/>
      <c r="AA243" s="1549"/>
      <c r="AB243" s="1549"/>
      <c r="AC243" s="1549"/>
      <c r="AD243" s="1549"/>
      <c r="AE243" s="1549"/>
      <c r="AF243" s="1549" t="s">
        <v>2648</v>
      </c>
      <c r="AG243" s="1549"/>
      <c r="AH243" s="1549"/>
      <c r="AI243" s="1549"/>
      <c r="AJ243" s="1549"/>
      <c r="AK243" s="1549"/>
      <c r="AU243" s="4"/>
      <c r="AV243" s="4"/>
      <c r="AW243" s="4"/>
      <c r="AX243" s="4"/>
      <c r="AY243" s="4"/>
      <c r="BG243">
        <f>SUM(BG226:BG241)</f>
        <v>2</v>
      </c>
    </row>
    <row r="244" spans="1:71" ht="13.05" customHeight="1">
      <c r="A244" s="19"/>
      <c r="B244" s="4"/>
      <c r="C244" s="4"/>
      <c r="D244" s="4" t="s">
        <v>85</v>
      </c>
      <c r="E244" s="4"/>
      <c r="F244" s="4"/>
      <c r="G244" s="4"/>
      <c r="H244" s="4"/>
      <c r="I244" s="4"/>
      <c r="J244" s="4"/>
      <c r="K244" s="4"/>
      <c r="L244" s="4"/>
      <c r="M244" s="1536" t="s">
        <v>2647</v>
      </c>
      <c r="N244" s="1536"/>
      <c r="O244" s="1536"/>
      <c r="P244" s="1536"/>
      <c r="Q244" s="1536"/>
      <c r="R244" s="1536"/>
      <c r="S244" s="1536"/>
      <c r="T244" s="1536"/>
      <c r="U244" s="1536"/>
      <c r="V244" s="1536"/>
      <c r="W244" s="1536"/>
      <c r="X244" s="1536"/>
      <c r="Y244" s="1536"/>
      <c r="Z244" s="1536"/>
      <c r="AA244" s="1536"/>
      <c r="AB244" s="1536"/>
      <c r="AC244" s="1536"/>
      <c r="AD244" s="1536"/>
      <c r="AE244" s="1536"/>
      <c r="AF244" s="3" t="s">
        <v>1285</v>
      </c>
      <c r="AL244" s="4"/>
      <c r="AM244" s="4"/>
      <c r="AN244" s="4"/>
      <c r="AO244" s="4"/>
      <c r="AP244" s="4"/>
      <c r="AQ244" s="4"/>
      <c r="AR244" s="4"/>
      <c r="AS244" s="4"/>
      <c r="AT244" s="4"/>
      <c r="BB244" t="s">
        <v>308</v>
      </c>
      <c r="BG244">
        <v>1</v>
      </c>
      <c r="BH244" t="s">
        <v>542</v>
      </c>
    </row>
    <row r="245" spans="1:71" ht="13.05" customHeight="1">
      <c r="A245" s="19"/>
      <c r="B245" s="4"/>
      <c r="C245" s="4"/>
      <c r="D245" s="4" t="s">
        <v>588</v>
      </c>
      <c r="E245" s="4"/>
      <c r="M245" s="1536" t="s">
        <v>2649</v>
      </c>
      <c r="N245" s="1536"/>
      <c r="O245" s="1536"/>
      <c r="P245" s="1536"/>
      <c r="Q245" s="1536"/>
      <c r="R245" s="1536"/>
      <c r="S245" s="1536"/>
      <c r="T245" s="1536"/>
      <c r="V245" s="33" t="s">
        <v>86</v>
      </c>
      <c r="W245" s="1522" t="s">
        <v>2650</v>
      </c>
      <c r="X245" s="1372"/>
      <c r="Y245" s="4" t="s">
        <v>591</v>
      </c>
      <c r="AC245" s="1536">
        <v>10168</v>
      </c>
      <c r="AD245" s="1536"/>
      <c r="AE245" s="1536"/>
      <c r="AF245" s="3" t="s">
        <v>1286</v>
      </c>
      <c r="AU245" s="4"/>
      <c r="AV245" s="4"/>
      <c r="AW245" s="4"/>
      <c r="AX245" s="4"/>
      <c r="AY245" s="4"/>
      <c r="BB245" s="4" t="s">
        <v>281</v>
      </c>
      <c r="BG245">
        <v>2</v>
      </c>
      <c r="BH245" t="s">
        <v>574</v>
      </c>
      <c r="BO245" s="257" t="str">
        <f>VLOOKUP(BG243,BG244:BH247,2,FALSE)</f>
        <v>Joint Venture</v>
      </c>
    </row>
    <row r="246" spans="1:71" ht="13.05" customHeight="1">
      <c r="A246" s="19"/>
      <c r="B246" s="4"/>
      <c r="C246" s="4"/>
      <c r="D246" s="4" t="s">
        <v>87</v>
      </c>
      <c r="E246" s="4"/>
      <c r="F246" s="4"/>
      <c r="G246" s="4"/>
      <c r="H246" s="4"/>
      <c r="I246" s="4"/>
      <c r="J246" s="4"/>
      <c r="K246" s="4"/>
      <c r="L246" s="19"/>
      <c r="M246" s="1536" t="s">
        <v>2651</v>
      </c>
      <c r="N246" s="1536"/>
      <c r="O246" s="1536"/>
      <c r="P246" s="1536"/>
      <c r="Q246" s="1536"/>
      <c r="R246" s="1536"/>
      <c r="S246" s="1536"/>
      <c r="T246" s="1536"/>
      <c r="U246" s="1536"/>
      <c r="V246" s="1536"/>
      <c r="W246" s="1536"/>
      <c r="X246" s="1536"/>
      <c r="Y246" s="1536"/>
      <c r="Z246" s="1536"/>
      <c r="AA246" s="1536"/>
      <c r="AB246" s="1536"/>
      <c r="AC246" s="1536"/>
      <c r="AD246" s="1536"/>
      <c r="AE246" s="1536"/>
      <c r="AH246" s="1524">
        <v>2.5000000000000001E-3</v>
      </c>
      <c r="AI246" s="1524"/>
      <c r="AJ246" s="1524"/>
      <c r="AK246" s="1524"/>
      <c r="AL246" s="4"/>
      <c r="AM246" s="4"/>
      <c r="AN246" s="4"/>
      <c r="AO246" s="4"/>
      <c r="AP246" s="4"/>
      <c r="AQ246" s="4"/>
      <c r="AR246" s="4"/>
      <c r="AS246" s="4"/>
      <c r="AT246" s="4"/>
      <c r="BB246" s="4" t="s">
        <v>173</v>
      </c>
      <c r="BG246">
        <v>3</v>
      </c>
      <c r="BH246" t="s">
        <v>544</v>
      </c>
      <c r="BN246" s="34"/>
    </row>
    <row r="247" spans="1:71" ht="13.05" customHeight="1">
      <c r="A247" s="19"/>
      <c r="B247" s="4"/>
      <c r="C247" s="4"/>
      <c r="D247" s="4" t="s">
        <v>88</v>
      </c>
      <c r="E247" s="4"/>
      <c r="F247" s="4"/>
      <c r="M247" s="1393" t="s">
        <v>2652</v>
      </c>
      <c r="N247" s="1393"/>
      <c r="O247" s="1393"/>
      <c r="P247" s="1393"/>
      <c r="Q247" s="1393"/>
      <c r="R247" s="1393"/>
      <c r="S247" s="4" t="s">
        <v>207</v>
      </c>
      <c r="T247" s="4"/>
      <c r="U247" s="1372"/>
      <c r="V247" s="1372"/>
      <c r="W247" s="1372"/>
      <c r="X247" s="4" t="s">
        <v>89</v>
      </c>
      <c r="Z247" s="1393"/>
      <c r="AA247" s="1393"/>
      <c r="AB247" s="1393"/>
      <c r="AC247" s="1393"/>
      <c r="AD247" s="1393"/>
      <c r="AE247" s="1393"/>
      <c r="AU247" s="4"/>
      <c r="AV247" s="4"/>
      <c r="AW247" s="4"/>
      <c r="AX247" s="4"/>
      <c r="AY247" s="4"/>
      <c r="BG247">
        <v>0</v>
      </c>
      <c r="BH247" s="3"/>
      <c r="BN247" s="34"/>
    </row>
    <row r="248" spans="1:71" ht="13.05" customHeight="1">
      <c r="A248" s="19"/>
      <c r="B248" s="4"/>
      <c r="C248" s="4"/>
      <c r="D248" s="4" t="s">
        <v>90</v>
      </c>
      <c r="E248" s="4"/>
      <c r="F248" s="4"/>
      <c r="M248" s="1537" t="s">
        <v>2653</v>
      </c>
      <c r="N248" s="1537"/>
      <c r="O248" s="1537"/>
      <c r="P248" s="1537"/>
      <c r="Q248" s="1537"/>
      <c r="R248" s="1537"/>
      <c r="S248" s="1537"/>
      <c r="T248" s="1537"/>
      <c r="U248" s="1537"/>
      <c r="V248" s="1537"/>
      <c r="W248" s="1537"/>
      <c r="X248" s="1537"/>
      <c r="Y248" s="1537"/>
      <c r="Z248" s="1537"/>
      <c r="AA248" s="1537"/>
      <c r="AB248" s="1537"/>
      <c r="AC248" s="1537"/>
      <c r="AD248" s="1537"/>
      <c r="AE248" s="1537"/>
      <c r="AG248" s="4"/>
      <c r="AH248" s="4"/>
      <c r="AI248" s="4"/>
      <c r="AJ248" s="4"/>
      <c r="AK248" s="4"/>
      <c r="AL248" s="4"/>
      <c r="AM248" s="4"/>
      <c r="AN248" s="4"/>
      <c r="AO248" s="4"/>
      <c r="AP248" s="4"/>
      <c r="AQ248" s="4"/>
      <c r="AR248" s="4"/>
      <c r="AS248" s="4"/>
      <c r="AT248" s="4"/>
      <c r="BN248" s="34"/>
    </row>
    <row r="249" spans="1:71" ht="13.05" customHeight="1">
      <c r="A249" s="13"/>
      <c r="B249" s="4"/>
      <c r="C249" s="56"/>
      <c r="D249" s="4" t="s">
        <v>543</v>
      </c>
      <c r="E249" s="4"/>
      <c r="F249" s="4"/>
      <c r="G249" s="4"/>
      <c r="H249" s="4"/>
      <c r="I249" s="4"/>
      <c r="J249" s="4"/>
      <c r="K249" s="4"/>
      <c r="L249" s="4"/>
      <c r="M249" s="1374" t="s">
        <v>544</v>
      </c>
      <c r="N249" s="1374"/>
      <c r="O249" s="1374"/>
      <c r="P249" s="1374"/>
      <c r="Q249" s="1374"/>
      <c r="R249" s="1374"/>
      <c r="S249" s="1374"/>
      <c r="T249" s="1374"/>
      <c r="U249" s="218" t="s">
        <v>921</v>
      </c>
      <c r="V249" s="218"/>
      <c r="W249" s="218"/>
      <c r="X249" s="218"/>
      <c r="Y249" s="218"/>
      <c r="Z249" s="218"/>
      <c r="AA249" s="1550"/>
      <c r="AB249" s="1550"/>
      <c r="AC249" s="1550"/>
      <c r="AD249" s="1550"/>
      <c r="AE249" s="1550"/>
      <c r="AF249" s="1550"/>
      <c r="AG249" s="1550"/>
      <c r="AH249" s="1550"/>
      <c r="AI249" s="1550"/>
      <c r="AJ249" s="1550"/>
      <c r="AK249" s="1550"/>
      <c r="BN249" s="34"/>
    </row>
    <row r="250" spans="1:71" ht="13.05" customHeight="1">
      <c r="A250" s="19"/>
      <c r="B250" s="4"/>
      <c r="C250" s="4"/>
      <c r="D250" s="4"/>
      <c r="E250" s="4"/>
      <c r="F250" s="4"/>
      <c r="G250" s="4"/>
      <c r="H250" s="4"/>
      <c r="I250" s="4"/>
      <c r="J250" s="4"/>
      <c r="K250" s="4"/>
      <c r="L250" s="4"/>
      <c r="AG250" s="4"/>
      <c r="AH250" s="4"/>
      <c r="AI250" s="4"/>
      <c r="AJ250" s="4"/>
      <c r="BN250" s="34"/>
    </row>
    <row r="251" spans="1:71" ht="13.05" customHeight="1">
      <c r="A251" s="2"/>
      <c r="B251" s="4"/>
      <c r="C251" s="56" t="s">
        <v>98</v>
      </c>
      <c r="D251" s="4" t="s">
        <v>974</v>
      </c>
      <c r="E251" s="4"/>
      <c r="F251" s="4"/>
      <c r="G251" s="4"/>
      <c r="H251" s="4"/>
      <c r="I251" s="4"/>
      <c r="J251" s="4"/>
      <c r="K251" s="4"/>
      <c r="L251" s="4"/>
      <c r="M251" s="1554" t="s">
        <v>2787</v>
      </c>
      <c r="N251" s="1549"/>
      <c r="O251" s="1549"/>
      <c r="P251" s="1549"/>
      <c r="Q251" s="1549"/>
      <c r="R251" s="1549"/>
      <c r="S251" s="1549"/>
      <c r="T251" s="1549"/>
      <c r="U251" s="1549"/>
      <c r="V251" s="1549"/>
      <c r="W251" s="1549"/>
      <c r="X251" s="1549"/>
      <c r="Y251" s="1549"/>
      <c r="Z251" s="1549"/>
      <c r="AA251" s="1549"/>
      <c r="AB251" s="1549"/>
      <c r="AC251" s="1549"/>
      <c r="AD251" s="1549"/>
      <c r="AE251" s="1549"/>
      <c r="AF251" s="1549" t="s">
        <v>2648</v>
      </c>
      <c r="AG251" s="1549"/>
      <c r="AH251" s="1549"/>
      <c r="AI251" s="1549"/>
      <c r="AJ251" s="1549"/>
      <c r="AK251" s="1549"/>
      <c r="AU251" s="4"/>
      <c r="AV251" s="4"/>
      <c r="AW251" s="4"/>
      <c r="AX251" s="4"/>
      <c r="AY251" s="4"/>
      <c r="BN251" s="34"/>
    </row>
    <row r="252" spans="1:71" ht="13.05" customHeight="1">
      <c r="A252" s="19"/>
      <c r="B252" s="4"/>
      <c r="C252" s="4"/>
      <c r="D252" s="4" t="s">
        <v>85</v>
      </c>
      <c r="E252" s="4"/>
      <c r="F252" s="4"/>
      <c r="G252" s="4"/>
      <c r="H252" s="4"/>
      <c r="I252" s="4"/>
      <c r="J252" s="4"/>
      <c r="K252" s="4"/>
      <c r="L252" s="4"/>
      <c r="M252" s="1404" t="s">
        <v>2788</v>
      </c>
      <c r="N252" s="1536"/>
      <c r="O252" s="1536"/>
      <c r="P252" s="1536"/>
      <c r="Q252" s="1536"/>
      <c r="R252" s="1536"/>
      <c r="S252" s="1536"/>
      <c r="T252" s="1536"/>
      <c r="U252" s="1536"/>
      <c r="V252" s="1536"/>
      <c r="W252" s="1536"/>
      <c r="X252" s="1536"/>
      <c r="Y252" s="1536"/>
      <c r="Z252" s="1536"/>
      <c r="AA252" s="1536"/>
      <c r="AB252" s="1536"/>
      <c r="AC252" s="1536"/>
      <c r="AD252" s="1536"/>
      <c r="AE252" s="1536"/>
      <c r="AF252" s="3" t="s">
        <v>1285</v>
      </c>
      <c r="AL252" s="4"/>
      <c r="AM252" s="4"/>
      <c r="AN252" s="4"/>
      <c r="AO252" s="4"/>
      <c r="AP252" s="4"/>
      <c r="AQ252" s="4"/>
      <c r="AR252" s="4"/>
      <c r="AS252" s="4"/>
      <c r="AT252" s="4"/>
      <c r="BN252" s="34"/>
    </row>
    <row r="253" spans="1:71" ht="13.05" customHeight="1">
      <c r="A253" s="19"/>
      <c r="B253" s="4"/>
      <c r="C253" s="4"/>
      <c r="D253" s="4" t="s">
        <v>588</v>
      </c>
      <c r="E253" s="4"/>
      <c r="M253" s="1404" t="s">
        <v>2789</v>
      </c>
      <c r="N253" s="1536"/>
      <c r="O253" s="1536"/>
      <c r="P253" s="1536"/>
      <c r="Q253" s="1536"/>
      <c r="R253" s="1536"/>
      <c r="S253" s="1536"/>
      <c r="T253" s="1536"/>
      <c r="V253" s="33" t="s">
        <v>86</v>
      </c>
      <c r="W253" s="1522" t="s">
        <v>2790</v>
      </c>
      <c r="X253" s="1372"/>
      <c r="Y253" s="4" t="s">
        <v>591</v>
      </c>
      <c r="AC253" s="1536">
        <v>33486</v>
      </c>
      <c r="AD253" s="1536"/>
      <c r="AE253" s="1536"/>
      <c r="AF253" s="3" t="s">
        <v>1286</v>
      </c>
      <c r="AU253" s="4"/>
      <c r="AV253" s="4"/>
      <c r="AW253" s="4"/>
      <c r="AX253" s="4"/>
      <c r="AY253" s="4"/>
      <c r="BN253" s="34"/>
    </row>
    <row r="254" spans="1:71" ht="13.05" customHeight="1">
      <c r="A254" s="19"/>
      <c r="B254" s="4"/>
      <c r="C254" s="4"/>
      <c r="D254" s="4" t="s">
        <v>87</v>
      </c>
      <c r="E254" s="4"/>
      <c r="F254" s="4"/>
      <c r="G254" s="4"/>
      <c r="H254" s="4"/>
      <c r="I254" s="4"/>
      <c r="J254" s="4"/>
      <c r="K254" s="4"/>
      <c r="L254" s="19"/>
      <c r="M254" s="1536" t="s">
        <v>2654</v>
      </c>
      <c r="N254" s="1536"/>
      <c r="O254" s="1536"/>
      <c r="P254" s="1536"/>
      <c r="Q254" s="1536"/>
      <c r="R254" s="1536"/>
      <c r="S254" s="1536"/>
      <c r="T254" s="1536"/>
      <c r="U254" s="1536"/>
      <c r="V254" s="1536"/>
      <c r="W254" s="1536"/>
      <c r="X254" s="1536"/>
      <c r="Y254" s="1536"/>
      <c r="Z254" s="1536"/>
      <c r="AA254" s="1536"/>
      <c r="AB254" s="1536"/>
      <c r="AC254" s="1536"/>
      <c r="AD254" s="1536"/>
      <c r="AE254" s="1536"/>
      <c r="AH254" s="1524">
        <v>2.3999999999999998E-3</v>
      </c>
      <c r="AI254" s="1524"/>
      <c r="AJ254" s="1524"/>
      <c r="AK254" s="1524"/>
      <c r="AL254" s="4"/>
      <c r="AM254" s="4"/>
      <c r="AN254" s="4"/>
      <c r="AO254" s="4"/>
      <c r="AP254" s="4"/>
      <c r="AQ254" s="4"/>
      <c r="AR254" s="4"/>
      <c r="AS254" s="4"/>
      <c r="AT254" s="4"/>
    </row>
    <row r="255" spans="1:71" ht="13.05" customHeight="1">
      <c r="A255" s="19"/>
      <c r="B255" s="4"/>
      <c r="C255" s="4"/>
      <c r="D255" s="4" t="s">
        <v>88</v>
      </c>
      <c r="E255" s="4"/>
      <c r="F255" s="4"/>
      <c r="M255" s="1393"/>
      <c r="N255" s="1393"/>
      <c r="O255" s="1393"/>
      <c r="P255" s="1393"/>
      <c r="Q255" s="1393"/>
      <c r="R255" s="1393"/>
      <c r="S255" s="4" t="s">
        <v>207</v>
      </c>
      <c r="T255" s="4"/>
      <c r="U255" s="1372"/>
      <c r="V255" s="1372"/>
      <c r="W255" s="1372"/>
      <c r="X255" s="4" t="s">
        <v>89</v>
      </c>
      <c r="Z255" s="1393"/>
      <c r="AA255" s="1393"/>
      <c r="AB255" s="1393"/>
      <c r="AC255" s="1393"/>
      <c r="AD255" s="1393"/>
      <c r="AE255" s="1393"/>
      <c r="AU255" s="4"/>
      <c r="AV255" s="4"/>
      <c r="AW255" s="4"/>
      <c r="AX255" s="4"/>
      <c r="AY255" s="4"/>
      <c r="BN255" s="34"/>
    </row>
    <row r="256" spans="1:71" ht="13.05" customHeight="1">
      <c r="A256" s="19"/>
      <c r="B256" s="4"/>
      <c r="C256" s="4"/>
      <c r="D256" s="4" t="s">
        <v>90</v>
      </c>
      <c r="E256" s="4"/>
      <c r="F256" s="4"/>
      <c r="M256" s="1537"/>
      <c r="N256" s="1537"/>
      <c r="O256" s="1537"/>
      <c r="P256" s="1537"/>
      <c r="Q256" s="1537"/>
      <c r="R256" s="1537"/>
      <c r="S256" s="1537"/>
      <c r="T256" s="1537"/>
      <c r="U256" s="1537"/>
      <c r="V256" s="1537"/>
      <c r="W256" s="1537"/>
      <c r="X256" s="1537"/>
      <c r="Y256" s="1537"/>
      <c r="Z256" s="1537"/>
      <c r="AA256" s="1537"/>
      <c r="AB256" s="1537"/>
      <c r="AC256" s="1537"/>
      <c r="AD256" s="1537"/>
      <c r="AE256" s="1537"/>
      <c r="AG256" s="4"/>
      <c r="AH256" s="4"/>
      <c r="AI256" s="4"/>
      <c r="AJ256" s="4"/>
      <c r="AK256" s="4"/>
      <c r="AL256" s="4"/>
      <c r="AM256" s="4"/>
      <c r="AN256" s="4"/>
      <c r="AO256" s="4"/>
      <c r="AP256" s="4"/>
      <c r="AQ256" s="4"/>
      <c r="AR256" s="4"/>
      <c r="AS256" s="4"/>
      <c r="AT256" s="4"/>
      <c r="AU256" s="3"/>
      <c r="AV256" s="3"/>
      <c r="AW256" s="3"/>
      <c r="AX256" s="3"/>
      <c r="AY256" s="3"/>
      <c r="BN256" s="34"/>
    </row>
    <row r="257" spans="1:66" ht="13.05" customHeight="1">
      <c r="A257" s="13"/>
      <c r="B257" s="4"/>
      <c r="C257" s="56"/>
      <c r="D257" s="4" t="s">
        <v>543</v>
      </c>
      <c r="E257" s="4"/>
      <c r="F257" s="4"/>
      <c r="G257" s="4"/>
      <c r="H257" s="4"/>
      <c r="I257" s="4"/>
      <c r="J257" s="4"/>
      <c r="K257" s="4"/>
      <c r="L257" s="4"/>
      <c r="M257" s="1374" t="s">
        <v>544</v>
      </c>
      <c r="N257" s="1374"/>
      <c r="O257" s="1374"/>
      <c r="P257" s="1374"/>
      <c r="Q257" s="1374"/>
      <c r="R257" s="1374"/>
      <c r="S257" s="1374"/>
      <c r="T257" s="1374"/>
      <c r="U257" s="218" t="s">
        <v>921</v>
      </c>
      <c r="V257" s="218"/>
      <c r="W257" s="218"/>
      <c r="X257" s="218"/>
      <c r="Y257" s="218"/>
      <c r="Z257" s="218"/>
      <c r="AA257" s="1550"/>
      <c r="AB257" s="1550"/>
      <c r="AC257" s="1550"/>
      <c r="AD257" s="1550"/>
      <c r="AE257" s="1550"/>
      <c r="AF257" s="1550"/>
      <c r="AG257" s="1550"/>
      <c r="AH257" s="1550"/>
      <c r="AI257" s="1550"/>
      <c r="AJ257" s="1550"/>
      <c r="AK257" s="1550"/>
      <c r="AL257" s="3"/>
      <c r="AM257" s="3"/>
      <c r="AN257" s="3"/>
      <c r="AO257" s="3"/>
      <c r="AP257" s="3"/>
      <c r="AQ257" s="3"/>
      <c r="AR257" s="3"/>
      <c r="AS257" s="3"/>
      <c r="AT257" s="3"/>
      <c r="AU257" s="3"/>
      <c r="AV257" s="3"/>
      <c r="AW257" s="3"/>
      <c r="AX257" s="3"/>
      <c r="AY257" s="3"/>
      <c r="BN257" s="34"/>
    </row>
    <row r="258" spans="1:66"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05" customHeight="1">
      <c r="A259" s="13"/>
      <c r="B259" s="4"/>
      <c r="C259" s="56" t="s">
        <v>888</v>
      </c>
      <c r="D259" s="4" t="s">
        <v>540</v>
      </c>
      <c r="E259" s="4"/>
      <c r="F259" s="4"/>
      <c r="G259" s="4"/>
      <c r="H259" s="4"/>
      <c r="I259" s="4"/>
      <c r="J259" s="4"/>
      <c r="K259" s="4"/>
      <c r="L259" s="4"/>
      <c r="M259" s="1549" t="s">
        <v>2630</v>
      </c>
      <c r="N259" s="1549"/>
      <c r="O259" s="1549"/>
      <c r="P259" s="1549"/>
      <c r="Q259" s="1549"/>
      <c r="R259" s="1549"/>
      <c r="S259" s="1549"/>
      <c r="T259" s="1549"/>
      <c r="U259" s="1549"/>
      <c r="V259" s="1549"/>
      <c r="W259" s="1549"/>
      <c r="X259" s="1549"/>
      <c r="Y259" s="1549"/>
      <c r="Z259" s="1549"/>
      <c r="AA259" s="1549"/>
      <c r="AB259" s="1549"/>
      <c r="AC259" s="1549"/>
      <c r="AD259" s="1549"/>
      <c r="AE259" s="1549"/>
      <c r="AF259" s="1549" t="s">
        <v>2655</v>
      </c>
      <c r="AG259" s="1549"/>
      <c r="AH259" s="1549"/>
      <c r="AI259" s="1549"/>
      <c r="AJ259" s="1549"/>
      <c r="AK259" s="1549"/>
      <c r="AL259" s="3"/>
      <c r="AM259" s="3"/>
      <c r="AN259" s="3"/>
      <c r="AO259" s="3"/>
      <c r="AP259" s="3"/>
      <c r="AQ259" s="3"/>
      <c r="AR259" s="3"/>
      <c r="AS259" s="3"/>
      <c r="AT259" s="3"/>
      <c r="AU259" s="3"/>
      <c r="AV259" s="3"/>
      <c r="AW259" s="3"/>
      <c r="AX259" s="3"/>
      <c r="AY259" s="3"/>
      <c r="BN259" s="34"/>
    </row>
    <row r="260" spans="1:66" ht="13.05" customHeight="1">
      <c r="A260" s="13"/>
      <c r="B260" s="4"/>
      <c r="C260" s="4"/>
      <c r="D260" s="4" t="s">
        <v>85</v>
      </c>
      <c r="E260" s="4"/>
      <c r="F260" s="4"/>
      <c r="G260" s="4"/>
      <c r="H260" s="4"/>
      <c r="I260" s="4"/>
      <c r="J260" s="4"/>
      <c r="K260" s="4"/>
      <c r="L260" s="4"/>
      <c r="M260" s="1536" t="s">
        <v>2641</v>
      </c>
      <c r="N260" s="1536"/>
      <c r="O260" s="1536"/>
      <c r="P260" s="1536"/>
      <c r="Q260" s="1536"/>
      <c r="R260" s="1536"/>
      <c r="S260" s="1536"/>
      <c r="T260" s="1536"/>
      <c r="U260" s="1536"/>
      <c r="V260" s="1536"/>
      <c r="W260" s="1536"/>
      <c r="X260" s="1536"/>
      <c r="Y260" s="1536"/>
      <c r="Z260" s="1536"/>
      <c r="AA260" s="1536"/>
      <c r="AB260" s="1536"/>
      <c r="AC260" s="1536"/>
      <c r="AD260" s="1536"/>
      <c r="AE260" s="1536"/>
      <c r="AF260" s="3" t="s">
        <v>1285</v>
      </c>
      <c r="AL260" s="3"/>
      <c r="AM260" s="3"/>
      <c r="AN260" s="3"/>
      <c r="AO260" s="3"/>
      <c r="AP260" s="3"/>
      <c r="AQ260" s="3"/>
      <c r="AR260" s="3"/>
      <c r="AS260" s="3"/>
      <c r="AT260" s="3"/>
      <c r="AU260" s="3"/>
      <c r="AV260" s="3"/>
      <c r="AW260" s="3"/>
      <c r="AX260" s="3"/>
      <c r="AY260" s="3"/>
      <c r="BN260" s="34"/>
    </row>
    <row r="261" spans="1:66" ht="13.05" customHeight="1">
      <c r="A261" s="13"/>
      <c r="B261" s="4"/>
      <c r="C261" s="4"/>
      <c r="D261" s="4" t="s">
        <v>588</v>
      </c>
      <c r="E261" s="4"/>
      <c r="M261" s="1536" t="s">
        <v>502</v>
      </c>
      <c r="N261" s="1536"/>
      <c r="O261" s="1536"/>
      <c r="P261" s="1536"/>
      <c r="Q261" s="1536"/>
      <c r="R261" s="1536"/>
      <c r="S261" s="1536"/>
      <c r="T261" s="1536"/>
      <c r="V261" s="33" t="s">
        <v>86</v>
      </c>
      <c r="W261" s="1522" t="s">
        <v>2642</v>
      </c>
      <c r="X261" s="1372"/>
      <c r="Y261" s="4" t="s">
        <v>591</v>
      </c>
      <c r="AC261" s="1536">
        <v>90032</v>
      </c>
      <c r="AD261" s="1536"/>
      <c r="AE261" s="1536"/>
      <c r="AF261" s="3" t="s">
        <v>1286</v>
      </c>
      <c r="AL261" s="3"/>
      <c r="AM261" s="3"/>
      <c r="AN261" s="3"/>
      <c r="AO261" s="3"/>
      <c r="AP261" s="3"/>
      <c r="AQ261" s="3"/>
      <c r="AR261" s="3"/>
      <c r="AS261" s="3"/>
      <c r="AT261" s="3"/>
      <c r="AU261" s="3"/>
      <c r="AV261" s="3"/>
      <c r="AW261" s="3"/>
      <c r="AX261" s="3"/>
      <c r="AY261" s="3"/>
      <c r="BN261" s="34"/>
    </row>
    <row r="262" spans="1:66" ht="13.05" customHeight="1">
      <c r="A262" s="13"/>
      <c r="B262" s="4"/>
      <c r="C262" s="4"/>
      <c r="D262" s="4" t="s">
        <v>87</v>
      </c>
      <c r="E262" s="4"/>
      <c r="F262" s="4"/>
      <c r="G262" s="4"/>
      <c r="H262" s="4"/>
      <c r="I262" s="4"/>
      <c r="J262" s="4"/>
      <c r="K262" s="4"/>
      <c r="L262" s="19"/>
      <c r="M262" s="1536" t="s">
        <v>2643</v>
      </c>
      <c r="N262" s="1536"/>
      <c r="O262" s="1536"/>
      <c r="P262" s="1536"/>
      <c r="Q262" s="1536"/>
      <c r="R262" s="1536"/>
      <c r="S262" s="1536"/>
      <c r="T262" s="1536"/>
      <c r="U262" s="1536"/>
      <c r="V262" s="1536"/>
      <c r="W262" s="1536"/>
      <c r="X262" s="1536"/>
      <c r="Y262" s="1536"/>
      <c r="Z262" s="1536"/>
      <c r="AA262" s="1536"/>
      <c r="AB262" s="1536"/>
      <c r="AC262" s="1536"/>
      <c r="AD262" s="1536"/>
      <c r="AE262" s="1536"/>
      <c r="AH262" s="1524">
        <v>5.1000000000000004E-3</v>
      </c>
      <c r="AI262" s="1524"/>
      <c r="AJ262" s="1524"/>
      <c r="AK262" s="1524"/>
      <c r="AL262" s="3"/>
      <c r="AM262" s="3"/>
      <c r="AN262" s="3"/>
      <c r="AO262" s="3"/>
      <c r="AP262" s="3"/>
      <c r="AQ262" s="3"/>
      <c r="AR262" s="3"/>
      <c r="AS262" s="3"/>
      <c r="AT262" s="3"/>
      <c r="AU262" s="3"/>
      <c r="AV262" s="3"/>
      <c r="AW262" s="3"/>
      <c r="AX262" s="3"/>
      <c r="AY262" s="3"/>
      <c r="BN262" s="34"/>
    </row>
    <row r="263" spans="1:66" ht="13.05" customHeight="1">
      <c r="A263" s="13"/>
      <c r="B263" s="4"/>
      <c r="C263" s="4"/>
      <c r="D263" s="4" t="s">
        <v>88</v>
      </c>
      <c r="E263" s="4"/>
      <c r="F263" s="4"/>
      <c r="M263" s="1421" t="s">
        <v>2781</v>
      </c>
      <c r="N263" s="1393"/>
      <c r="O263" s="1393"/>
      <c r="P263" s="1393"/>
      <c r="Q263" s="1393"/>
      <c r="R263" s="1393"/>
      <c r="S263" s="4" t="s">
        <v>207</v>
      </c>
      <c r="T263" s="4"/>
      <c r="U263" s="1372"/>
      <c r="V263" s="1372"/>
      <c r="W263" s="1372"/>
      <c r="X263" s="4" t="s">
        <v>89</v>
      </c>
      <c r="Z263" s="1393"/>
      <c r="AA263" s="1393"/>
      <c r="AB263" s="1393"/>
      <c r="AC263" s="1393"/>
      <c r="AD263" s="1393"/>
      <c r="AE263" s="1393"/>
      <c r="AL263" s="3"/>
      <c r="AM263" s="3"/>
      <c r="AN263" s="3"/>
      <c r="AO263" s="3"/>
      <c r="AP263" s="3"/>
      <c r="AQ263" s="3"/>
      <c r="AR263" s="3"/>
      <c r="AS263" s="3"/>
      <c r="AT263" s="3"/>
      <c r="AU263" s="3"/>
      <c r="AV263" s="3"/>
      <c r="AW263" s="3"/>
      <c r="AX263" s="3"/>
      <c r="AY263" s="3"/>
      <c r="BN263" s="34"/>
    </row>
    <row r="264" spans="1:66" ht="13.05" customHeight="1">
      <c r="A264" s="13"/>
      <c r="B264" s="4"/>
      <c r="C264" s="4"/>
      <c r="D264" s="4" t="s">
        <v>90</v>
      </c>
      <c r="E264" s="4"/>
      <c r="F264" s="4"/>
      <c r="M264" s="1537" t="str">
        <f>M237</f>
        <v>mike@boldcommunities.org</v>
      </c>
      <c r="N264" s="1537"/>
      <c r="O264" s="1537"/>
      <c r="P264" s="1537"/>
      <c r="Q264" s="1537"/>
      <c r="R264" s="1537"/>
      <c r="S264" s="1537"/>
      <c r="T264" s="1537"/>
      <c r="U264" s="1537"/>
      <c r="V264" s="1537"/>
      <c r="W264" s="1537"/>
      <c r="X264" s="1537"/>
      <c r="Y264" s="1537"/>
      <c r="Z264" s="1537"/>
      <c r="AA264" s="1538"/>
      <c r="AB264" s="1538"/>
      <c r="AC264" s="1538"/>
      <c r="AD264" s="1538"/>
      <c r="AE264" s="1538"/>
      <c r="AG264" s="4"/>
      <c r="AH264" s="4"/>
      <c r="AI264" s="4"/>
      <c r="AJ264" s="4"/>
      <c r="AK264" s="4"/>
      <c r="AL264" s="3"/>
      <c r="AM264" s="3"/>
      <c r="AN264" s="3"/>
      <c r="AO264" s="3"/>
      <c r="AP264" s="3"/>
      <c r="AQ264" s="3"/>
      <c r="AR264" s="3"/>
      <c r="AS264" s="3"/>
      <c r="AT264" s="3"/>
      <c r="AU264" s="3"/>
      <c r="AV264" s="3"/>
      <c r="AW264" s="3"/>
      <c r="AX264" s="3"/>
      <c r="AY264" s="3"/>
      <c r="BN264" s="34"/>
    </row>
    <row r="265" spans="1:66" ht="13.05" customHeight="1">
      <c r="A265" s="13"/>
      <c r="B265" s="4"/>
      <c r="C265" s="56"/>
      <c r="D265" s="4" t="s">
        <v>543</v>
      </c>
      <c r="E265" s="4"/>
      <c r="F265" s="4"/>
      <c r="G265" s="4"/>
      <c r="H265" s="4"/>
      <c r="I265" s="4"/>
      <c r="J265" s="4"/>
      <c r="K265" s="4"/>
      <c r="L265" s="4"/>
      <c r="M265" s="1374" t="s">
        <v>542</v>
      </c>
      <c r="N265" s="1374"/>
      <c r="O265" s="1374"/>
      <c r="P265" s="1374"/>
      <c r="Q265" s="1374"/>
      <c r="R265" s="1374"/>
      <c r="S265" s="1374"/>
      <c r="T265" s="1374"/>
      <c r="U265" s="218" t="s">
        <v>921</v>
      </c>
      <c r="V265" s="218"/>
      <c r="W265" s="218"/>
      <c r="X265" s="218"/>
      <c r="Y265" s="218"/>
      <c r="Z265" s="218"/>
      <c r="AA265" s="1551" t="s">
        <v>2645</v>
      </c>
      <c r="AB265" s="1551"/>
      <c r="AC265" s="1551"/>
      <c r="AD265" s="1551"/>
      <c r="AE265" s="1551"/>
      <c r="AF265" s="1551"/>
      <c r="AG265" s="1551"/>
      <c r="AH265" s="1551"/>
      <c r="AI265" s="1551"/>
      <c r="AJ265" s="1551"/>
      <c r="AK265" s="1551"/>
      <c r="AL265" s="3"/>
      <c r="AM265" s="3"/>
      <c r="AN265" s="3"/>
      <c r="AO265" s="3"/>
      <c r="AP265" s="3"/>
      <c r="AQ265" s="3"/>
      <c r="AR265" s="3"/>
      <c r="AS265" s="3"/>
      <c r="AT265" s="3"/>
      <c r="BN265" s="34"/>
    </row>
    <row r="266" spans="1:66"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05" customHeight="1">
      <c r="A267" s="57" t="s">
        <v>598</v>
      </c>
      <c r="B267" s="4"/>
      <c r="C267" s="2" t="s">
        <v>296</v>
      </c>
      <c r="D267" s="4"/>
      <c r="E267" s="4"/>
      <c r="F267" s="4"/>
      <c r="G267" s="4"/>
      <c r="H267" s="4"/>
      <c r="I267" s="4"/>
      <c r="J267" s="4"/>
      <c r="K267" s="4"/>
      <c r="L267" s="4"/>
      <c r="M267" s="35"/>
      <c r="N267" s="35"/>
      <c r="O267" s="35"/>
      <c r="P267" s="35"/>
      <c r="Q267" s="35"/>
      <c r="T267" s="1565" t="str">
        <f>IFERROR(BO245,"")</f>
        <v>Joint Venture</v>
      </c>
      <c r="U267" s="1565"/>
      <c r="V267" s="1565"/>
      <c r="W267" s="1565"/>
      <c r="X267" s="1565"/>
      <c r="Z267" s="331" t="s">
        <v>973</v>
      </c>
      <c r="AA267" s="332"/>
      <c r="AB267" s="332"/>
      <c r="AC267" s="332"/>
      <c r="AD267" s="105"/>
      <c r="AE267" s="105"/>
      <c r="AF267" s="105"/>
      <c r="AG267" s="105"/>
      <c r="AH267" s="105"/>
      <c r="AI267" s="105"/>
      <c r="AJ267" s="105"/>
      <c r="AK267" s="333"/>
      <c r="AL267" s="58"/>
      <c r="BN267" s="34"/>
    </row>
    <row r="268" spans="1:66" ht="13.0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0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05" customHeight="1">
      <c r="A270" s="4"/>
      <c r="B270" s="36">
        <v>0</v>
      </c>
      <c r="D270" s="1536" t="s">
        <v>281</v>
      </c>
      <c r="E270" s="1536"/>
      <c r="F270" s="1536"/>
      <c r="G270" s="1536"/>
      <c r="H270" s="1536"/>
      <c r="J270" t="s">
        <v>280</v>
      </c>
      <c r="X270" s="1571"/>
      <c r="Y270" s="1571"/>
      <c r="Z270" s="1571"/>
      <c r="AA270" s="1571"/>
      <c r="AB270" s="1571"/>
      <c r="AC270" s="1571"/>
      <c r="AU270" s="3"/>
      <c r="AV270" s="3"/>
      <c r="AW270" s="3"/>
      <c r="AX270" s="3"/>
      <c r="AY270" s="3"/>
      <c r="BN270" s="34"/>
    </row>
    <row r="271" spans="1:66" ht="13.0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0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05" customHeight="1">
      <c r="D274" s="4" t="s">
        <v>297</v>
      </c>
      <c r="E274" s="4"/>
      <c r="F274" s="4"/>
      <c r="G274" s="4"/>
      <c r="H274" s="4"/>
      <c r="I274" s="4"/>
      <c r="J274" s="4"/>
      <c r="K274" s="4"/>
      <c r="L274" s="1549" t="s">
        <v>2656</v>
      </c>
      <c r="M274" s="1549"/>
      <c r="N274" s="1549"/>
      <c r="O274" s="1549"/>
      <c r="P274" s="1549"/>
      <c r="Q274" s="1549"/>
      <c r="R274" s="1549"/>
      <c r="S274" s="1549"/>
      <c r="T274" s="1549"/>
      <c r="U274" s="1549"/>
      <c r="V274" s="1549"/>
      <c r="W274" s="1549"/>
      <c r="X274" s="1549"/>
      <c r="Y274" s="1549"/>
      <c r="Z274" s="1549"/>
      <c r="AA274" s="1549"/>
      <c r="AB274" s="1549"/>
      <c r="AC274" s="1549"/>
      <c r="AD274" s="1549"/>
      <c r="AE274" s="1549"/>
      <c r="AF274" s="1549"/>
      <c r="AG274" s="1549"/>
      <c r="AH274" s="1549"/>
      <c r="AI274" s="1549"/>
      <c r="AJ274" s="1549"/>
      <c r="AK274" s="3"/>
      <c r="AL274" s="3"/>
      <c r="AM274" s="3"/>
      <c r="AN274" s="3"/>
      <c r="AO274" s="3"/>
      <c r="AP274" s="3"/>
      <c r="AQ274" s="3"/>
      <c r="AR274" s="3"/>
      <c r="AS274" s="3"/>
      <c r="AT274" s="3"/>
      <c r="AU274" s="3"/>
      <c r="AV274" s="3"/>
      <c r="AW274" s="3"/>
      <c r="AX274" s="3"/>
      <c r="AY274" s="3"/>
      <c r="BN274" s="34"/>
    </row>
    <row r="275" spans="1:66" ht="13.05" customHeight="1">
      <c r="D275" s="4" t="s">
        <v>85</v>
      </c>
      <c r="E275" s="4"/>
      <c r="F275" s="4"/>
      <c r="G275" s="4"/>
      <c r="H275" s="4"/>
      <c r="I275" s="4"/>
      <c r="J275" s="4"/>
      <c r="K275" s="4"/>
      <c r="L275" s="1536" t="str">
        <f>M244</f>
        <v>122 E 42nd Street, suite 1903</v>
      </c>
      <c r="M275" s="1536"/>
      <c r="N275" s="1536"/>
      <c r="O275" s="1536"/>
      <c r="P275" s="1536"/>
      <c r="Q275" s="1536"/>
      <c r="R275" s="1536"/>
      <c r="S275" s="1536"/>
      <c r="T275" s="1536"/>
      <c r="U275" s="1536"/>
      <c r="V275" s="1536"/>
      <c r="W275" s="1536"/>
      <c r="X275" s="1536"/>
      <c r="Y275" s="1536"/>
      <c r="Z275" s="1536"/>
      <c r="AA275" s="1536"/>
      <c r="AB275" s="1536"/>
      <c r="AC275" s="1536"/>
      <c r="AD275" s="1536"/>
      <c r="AK275" s="3"/>
      <c r="AL275" s="3"/>
      <c r="AM275" s="3"/>
      <c r="AN275" s="3"/>
      <c r="AO275" s="3"/>
      <c r="AP275" s="3"/>
      <c r="AQ275" s="3"/>
      <c r="AR275" s="3"/>
      <c r="AS275" s="3"/>
      <c r="AT275" s="3"/>
      <c r="AU275" s="3"/>
      <c r="AV275" s="3"/>
      <c r="AW275" s="3"/>
      <c r="AX275" s="3"/>
      <c r="AY275" s="3"/>
      <c r="BN275" s="34"/>
    </row>
    <row r="276" spans="1:66" ht="13.05" customHeight="1">
      <c r="D276" s="4" t="s">
        <v>588</v>
      </c>
      <c r="E276" s="4"/>
      <c r="L276" s="1536" t="str">
        <f>M245</f>
        <v>New York</v>
      </c>
      <c r="M276" s="1536"/>
      <c r="N276" s="1536"/>
      <c r="O276" s="1536"/>
      <c r="P276" s="1536"/>
      <c r="Q276" s="1536"/>
      <c r="R276" s="1536"/>
      <c r="S276" s="1536"/>
      <c r="U276" s="33" t="s">
        <v>86</v>
      </c>
      <c r="V276" s="1522" t="s">
        <v>2650</v>
      </c>
      <c r="W276" s="1372"/>
      <c r="X276" s="4" t="s">
        <v>591</v>
      </c>
      <c r="AB276" s="1536">
        <v>10168</v>
      </c>
      <c r="AC276" s="1536"/>
      <c r="AD276" s="1536"/>
      <c r="AK276" s="3"/>
      <c r="AL276" s="3"/>
      <c r="AM276" s="3"/>
      <c r="AN276" s="3"/>
      <c r="AO276" s="3"/>
      <c r="AP276" s="3"/>
      <c r="AQ276" s="3"/>
      <c r="AR276" s="3"/>
      <c r="AS276" s="3"/>
      <c r="AT276" s="3"/>
      <c r="AU276" s="3"/>
      <c r="AV276" s="3"/>
      <c r="AW276" s="3"/>
      <c r="AX276" s="3"/>
      <c r="AY276" s="3"/>
      <c r="BN276" s="34"/>
    </row>
    <row r="277" spans="1:66" ht="13.05" customHeight="1">
      <c r="D277" s="4" t="s">
        <v>87</v>
      </c>
      <c r="E277" s="4"/>
      <c r="F277" s="4"/>
      <c r="G277" s="4"/>
      <c r="H277" s="4"/>
      <c r="I277" s="4"/>
      <c r="J277" s="4"/>
      <c r="K277" s="19"/>
      <c r="L277" s="1536" t="s">
        <v>2657</v>
      </c>
      <c r="M277" s="1536"/>
      <c r="N277" s="1536"/>
      <c r="O277" s="1536"/>
      <c r="P277" s="1536"/>
      <c r="Q277" s="1536"/>
      <c r="R277" s="1536"/>
      <c r="S277" s="1536"/>
      <c r="T277" s="1536"/>
      <c r="U277" s="1536"/>
      <c r="V277" s="1536"/>
      <c r="W277" s="1536"/>
      <c r="X277" s="1536"/>
      <c r="Y277" s="1536"/>
      <c r="Z277" s="1536"/>
      <c r="AA277" s="1536"/>
      <c r="AB277" s="1536"/>
      <c r="AC277" s="1536"/>
      <c r="AD277" s="1536"/>
      <c r="AI277" s="4"/>
      <c r="AJ277" s="4"/>
      <c r="AK277" s="3"/>
      <c r="AL277" s="3"/>
      <c r="AM277" s="3"/>
      <c r="AN277" s="3"/>
      <c r="AO277" s="3"/>
      <c r="AP277" s="3"/>
      <c r="AQ277" s="3"/>
      <c r="AR277" s="3"/>
      <c r="AS277" s="3"/>
      <c r="AT277" s="3"/>
      <c r="BN277" s="34"/>
    </row>
    <row r="278" spans="1:66" ht="13.05" customHeight="1">
      <c r="D278" s="4" t="s">
        <v>88</v>
      </c>
      <c r="E278" s="4"/>
      <c r="F278" s="4"/>
      <c r="L278" s="1393" t="s">
        <v>2658</v>
      </c>
      <c r="M278" s="1393"/>
      <c r="N278" s="1393"/>
      <c r="O278" s="1393"/>
      <c r="P278" s="1393"/>
      <c r="Q278" s="1393"/>
      <c r="R278" s="4" t="s">
        <v>207</v>
      </c>
      <c r="S278" s="4"/>
      <c r="T278" s="1372"/>
      <c r="U278" s="1372"/>
      <c r="V278" s="1372"/>
      <c r="W278" s="4" t="s">
        <v>89</v>
      </c>
      <c r="Y278" s="1393"/>
      <c r="Z278" s="1393"/>
      <c r="AA278" s="1393"/>
      <c r="AB278" s="1393"/>
      <c r="AC278" s="1393"/>
      <c r="AD278" s="1393"/>
      <c r="BN278" s="34"/>
    </row>
    <row r="279" spans="1:66" ht="13.05" customHeight="1">
      <c r="D279" s="4" t="s">
        <v>90</v>
      </c>
      <c r="E279" s="4"/>
      <c r="F279" s="4"/>
      <c r="L279" s="1537" t="s">
        <v>2659</v>
      </c>
      <c r="M279" s="1537"/>
      <c r="N279" s="1537"/>
      <c r="O279" s="1537"/>
      <c r="P279" s="1537"/>
      <c r="Q279" s="1537"/>
      <c r="R279" s="1537"/>
      <c r="S279" s="1537"/>
      <c r="T279" s="1537"/>
      <c r="U279" s="1537"/>
      <c r="V279" s="1537"/>
      <c r="W279" s="1537"/>
      <c r="X279" s="1537"/>
      <c r="Y279" s="1537"/>
      <c r="Z279" s="1537"/>
      <c r="AA279" s="1537"/>
      <c r="AB279" s="1537"/>
      <c r="AC279" s="1537"/>
      <c r="AD279" s="1537"/>
      <c r="AF279" s="4"/>
      <c r="AG279" s="4"/>
      <c r="AH279" s="4"/>
      <c r="AI279" s="4"/>
      <c r="AJ279" s="4"/>
      <c r="AU279" s="3"/>
      <c r="AV279" s="3"/>
      <c r="AW279" s="3"/>
      <c r="AX279" s="3"/>
      <c r="AY279" s="3"/>
      <c r="BN279" s="34"/>
    </row>
    <row r="280" spans="1:66" ht="13.05" customHeight="1">
      <c r="D280" s="3" t="s">
        <v>631</v>
      </c>
      <c r="E280" s="3"/>
      <c r="F280" s="3"/>
      <c r="G280" s="3"/>
      <c r="H280" s="3"/>
      <c r="I280" s="3"/>
      <c r="L280" s="1522" t="s">
        <v>2660</v>
      </c>
      <c r="M280" s="1522"/>
      <c r="N280" s="1522"/>
      <c r="O280" s="1522"/>
      <c r="P280" s="1522"/>
      <c r="Q280" s="1522"/>
      <c r="R280" s="1522"/>
      <c r="S280" s="1522"/>
      <c r="T280" s="1522"/>
      <c r="U280" s="1522"/>
      <c r="V280" s="1522"/>
      <c r="W280" s="1522"/>
      <c r="X280" s="1522"/>
      <c r="Y280" s="1522"/>
      <c r="Z280" s="1522"/>
      <c r="AA280" s="1522"/>
      <c r="AB280" s="1522"/>
      <c r="AC280" s="1522"/>
      <c r="AD280" s="1522"/>
      <c r="AK280" s="3"/>
      <c r="AL280" s="3"/>
      <c r="AM280" s="3"/>
      <c r="AN280" s="3"/>
      <c r="AO280" s="3"/>
      <c r="AP280" s="3"/>
      <c r="AQ280" s="3"/>
      <c r="AR280" s="3"/>
      <c r="AS280" s="3"/>
      <c r="AT280" s="3"/>
      <c r="BN280" s="34"/>
    </row>
    <row r="281" spans="1:66" ht="13.05" customHeight="1">
      <c r="L281" s="22" t="s">
        <v>632</v>
      </c>
      <c r="AU281" s="95"/>
      <c r="AV281" s="95"/>
      <c r="AW281" s="95"/>
      <c r="AX281" s="95"/>
      <c r="AY281" s="95"/>
      <c r="BN281" s="34"/>
    </row>
    <row r="282" spans="1:66" ht="13.05" customHeight="1">
      <c r="A282" s="1674" t="s">
        <v>549</v>
      </c>
      <c r="B282" s="1674"/>
      <c r="C282" s="1674"/>
      <c r="D282" s="1674"/>
      <c r="E282" s="1674"/>
      <c r="F282" s="1674"/>
      <c r="G282" s="1674"/>
      <c r="H282" s="1674"/>
      <c r="I282" s="1674"/>
      <c r="J282" s="1674"/>
      <c r="K282" s="1674"/>
      <c r="L282" s="1674"/>
      <c r="M282" s="1674"/>
      <c r="N282" s="1674"/>
      <c r="O282" s="1674"/>
      <c r="P282" s="1674"/>
      <c r="Q282" s="1674"/>
      <c r="R282" s="1674"/>
      <c r="S282" s="1674"/>
      <c r="T282" s="1674"/>
      <c r="U282" s="1674"/>
      <c r="V282" s="1674"/>
      <c r="W282" s="1674"/>
      <c r="X282" s="1674"/>
      <c r="Y282" s="1674"/>
      <c r="Z282" s="1674"/>
      <c r="AA282" s="1674"/>
      <c r="AB282" s="1674"/>
      <c r="AC282" s="1674"/>
      <c r="AD282" s="1674"/>
      <c r="AE282" s="1674"/>
      <c r="AF282" s="1674"/>
      <c r="AG282" s="1674"/>
      <c r="AH282" s="1674"/>
      <c r="AI282" s="1674"/>
      <c r="AJ282" s="1674"/>
      <c r="AK282" s="1674"/>
      <c r="AL282" s="1674"/>
      <c r="AM282" s="1674"/>
      <c r="AN282" s="1674"/>
      <c r="AO282" s="1674"/>
      <c r="AP282" s="1674"/>
      <c r="AQ282" s="1674"/>
      <c r="AR282" s="1674"/>
      <c r="AS282" s="1674"/>
      <c r="AT282" s="1674"/>
      <c r="AU282" s="95"/>
      <c r="AV282" s="95"/>
      <c r="AW282" s="95"/>
      <c r="AX282" s="95"/>
      <c r="AY282" s="95"/>
      <c r="BN282" s="34"/>
    </row>
    <row r="283" spans="1:66" ht="13.05" customHeight="1">
      <c r="A283" s="1674"/>
      <c r="B283" s="1674"/>
      <c r="C283" s="1674"/>
      <c r="D283" s="1674"/>
      <c r="E283" s="1674"/>
      <c r="F283" s="1674"/>
      <c r="G283" s="1674"/>
      <c r="H283" s="1674"/>
      <c r="I283" s="1674"/>
      <c r="J283" s="1674"/>
      <c r="K283" s="1674"/>
      <c r="L283" s="1674"/>
      <c r="M283" s="1674"/>
      <c r="N283" s="1674"/>
      <c r="O283" s="1674"/>
      <c r="P283" s="1674"/>
      <c r="Q283" s="1674"/>
      <c r="R283" s="1674"/>
      <c r="S283" s="1674"/>
      <c r="T283" s="1674"/>
      <c r="U283" s="1674"/>
      <c r="V283" s="1674"/>
      <c r="W283" s="1674"/>
      <c r="X283" s="1674"/>
      <c r="Y283" s="1674"/>
      <c r="Z283" s="1674"/>
      <c r="AA283" s="1674"/>
      <c r="AB283" s="1674"/>
      <c r="AC283" s="1674"/>
      <c r="AD283" s="1674"/>
      <c r="AE283" s="1674"/>
      <c r="AF283" s="1674"/>
      <c r="AG283" s="1674"/>
      <c r="AH283" s="1674"/>
      <c r="AI283" s="1674"/>
      <c r="AJ283" s="1674"/>
      <c r="AK283" s="1674"/>
      <c r="AL283" s="1674"/>
      <c r="AM283" s="1674"/>
      <c r="AN283" s="1674"/>
      <c r="AO283" s="1674"/>
      <c r="AP283" s="1674"/>
      <c r="AQ283" s="1674"/>
      <c r="AR283" s="1674"/>
      <c r="AS283" s="1674"/>
      <c r="AT283" s="1674"/>
      <c r="AU283" s="25"/>
      <c r="AV283" s="25"/>
      <c r="AW283" s="25"/>
      <c r="AX283" s="25"/>
      <c r="AY283" s="25"/>
      <c r="BN283" s="34"/>
    </row>
    <row r="284" spans="1:66"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0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05" customHeight="1">
      <c r="B287" s="3" t="s">
        <v>634</v>
      </c>
      <c r="C287" s="3"/>
      <c r="D287" s="3"/>
      <c r="E287" s="3"/>
      <c r="F287" s="3"/>
      <c r="H287" s="1405" t="s">
        <v>2656</v>
      </c>
      <c r="I287" s="1405"/>
      <c r="J287" s="1405"/>
      <c r="K287" s="1405"/>
      <c r="L287" s="1405"/>
      <c r="M287" s="1405"/>
      <c r="N287" s="1405"/>
      <c r="O287" s="1405"/>
      <c r="P287" s="1405"/>
      <c r="Q287" s="1405"/>
      <c r="R287" s="1405"/>
      <c r="T287" s="3" t="s">
        <v>575</v>
      </c>
      <c r="V287" s="3"/>
      <c r="W287" s="3"/>
      <c r="X287" s="3"/>
      <c r="Y287" s="3"/>
      <c r="AA287" s="1405" t="s">
        <v>2662</v>
      </c>
      <c r="AB287" s="1405"/>
      <c r="AC287" s="1405"/>
      <c r="AD287" s="1405"/>
      <c r="AE287" s="1405"/>
      <c r="AF287" s="1405"/>
      <c r="AG287" s="1405"/>
      <c r="AH287" s="1405"/>
      <c r="AI287" s="1405"/>
      <c r="AJ287" s="1405"/>
      <c r="AK287" s="1405"/>
      <c r="BN287" s="34"/>
    </row>
    <row r="288" spans="1:66" ht="13.05" customHeight="1">
      <c r="B288" s="3" t="s">
        <v>479</v>
      </c>
      <c r="C288" s="3"/>
      <c r="D288" s="3"/>
      <c r="E288" s="3"/>
      <c r="F288" s="3"/>
      <c r="H288" s="1374" t="str">
        <f>L275</f>
        <v>122 E 42nd Street, suite 1903</v>
      </c>
      <c r="I288" s="1374"/>
      <c r="J288" s="1374"/>
      <c r="K288" s="1374"/>
      <c r="L288" s="1374"/>
      <c r="M288" s="1374"/>
      <c r="N288" s="1374"/>
      <c r="O288" s="1374"/>
      <c r="P288" s="1374"/>
      <c r="Q288" s="1374"/>
      <c r="R288" s="1374"/>
      <c r="T288" s="3" t="s">
        <v>479</v>
      </c>
      <c r="V288" s="3"/>
      <c r="W288" s="3"/>
      <c r="X288" s="3"/>
      <c r="Y288" s="3"/>
      <c r="AA288" s="1374" t="s">
        <v>2663</v>
      </c>
      <c r="AB288" s="1374"/>
      <c r="AC288" s="1374"/>
      <c r="AD288" s="1374"/>
      <c r="AE288" s="1374"/>
      <c r="AF288" s="1374"/>
      <c r="AG288" s="1374"/>
      <c r="AH288" s="1374"/>
      <c r="AI288" s="1374"/>
      <c r="AJ288" s="1374"/>
      <c r="AK288" s="1374"/>
      <c r="BN288" s="34"/>
    </row>
    <row r="289" spans="2:66" ht="13.05" customHeight="1">
      <c r="B289" s="3" t="s">
        <v>480</v>
      </c>
      <c r="C289" s="3"/>
      <c r="D289" s="3"/>
      <c r="E289" s="3"/>
      <c r="F289" s="3"/>
      <c r="H289" s="1374" t="s">
        <v>2661</v>
      </c>
      <c r="I289" s="1374"/>
      <c r="J289" s="1374"/>
      <c r="K289" s="1374"/>
      <c r="L289" s="1374"/>
      <c r="M289" s="1374"/>
      <c r="N289" s="1374"/>
      <c r="O289" s="1374"/>
      <c r="P289" s="1374"/>
      <c r="Q289" s="1374"/>
      <c r="R289" s="1374"/>
      <c r="T289" s="3" t="s">
        <v>75</v>
      </c>
      <c r="V289" s="3"/>
      <c r="W289" s="3"/>
      <c r="X289" s="3"/>
      <c r="Y289" s="3"/>
      <c r="AA289" s="1374" t="s">
        <v>2664</v>
      </c>
      <c r="AB289" s="1374"/>
      <c r="AC289" s="1374"/>
      <c r="AD289" s="1374"/>
      <c r="AE289" s="1374"/>
      <c r="AF289" s="1374"/>
      <c r="AG289" s="1374"/>
      <c r="AH289" s="1374"/>
      <c r="AI289" s="1374"/>
      <c r="AJ289" s="1374"/>
      <c r="AK289" s="1374"/>
      <c r="BN289" s="34"/>
    </row>
    <row r="290" spans="2:66" ht="13.05" customHeight="1">
      <c r="B290" s="3" t="s">
        <v>87</v>
      </c>
      <c r="C290" s="3"/>
      <c r="D290" s="3"/>
      <c r="E290" s="3"/>
      <c r="F290" s="3"/>
      <c r="H290" s="1374" t="s">
        <v>2651</v>
      </c>
      <c r="I290" s="1374"/>
      <c r="J290" s="1374"/>
      <c r="K290" s="1374"/>
      <c r="L290" s="1374"/>
      <c r="M290" s="1374"/>
      <c r="N290" s="1374"/>
      <c r="O290" s="1374"/>
      <c r="P290" s="1374"/>
      <c r="Q290" s="1374"/>
      <c r="R290" s="1374"/>
      <c r="T290" s="3" t="s">
        <v>87</v>
      </c>
      <c r="V290" s="3"/>
      <c r="W290" s="3"/>
      <c r="X290" s="3"/>
      <c r="Y290" s="3"/>
      <c r="AA290" s="1374" t="s">
        <v>2665</v>
      </c>
      <c r="AB290" s="1374"/>
      <c r="AC290" s="1374"/>
      <c r="AD290" s="1374"/>
      <c r="AE290" s="1374"/>
      <c r="AF290" s="1374"/>
      <c r="AG290" s="1374"/>
      <c r="AH290" s="1374"/>
      <c r="AI290" s="1374"/>
      <c r="AJ290" s="1374"/>
      <c r="AK290" s="1374"/>
      <c r="BN290" s="34"/>
    </row>
    <row r="291" spans="2:66" ht="13.05" customHeight="1">
      <c r="B291" s="3" t="s">
        <v>88</v>
      </c>
      <c r="C291" s="3"/>
      <c r="D291" s="3"/>
      <c r="E291" s="3"/>
      <c r="F291" s="3"/>
      <c r="G291" s="3"/>
      <c r="H291" s="1540" t="s">
        <v>2652</v>
      </c>
      <c r="I291" s="1540"/>
      <c r="J291" s="1540"/>
      <c r="K291" s="1540"/>
      <c r="L291" s="1540"/>
      <c r="M291" s="1540"/>
      <c r="N291" s="4" t="s">
        <v>207</v>
      </c>
      <c r="O291" s="4"/>
      <c r="P291" s="1536"/>
      <c r="Q291" s="1536"/>
      <c r="R291" s="1536"/>
      <c r="S291" s="3"/>
      <c r="T291" s="3" t="s">
        <v>88</v>
      </c>
      <c r="V291" s="3"/>
      <c r="W291" s="3"/>
      <c r="X291" s="3"/>
      <c r="Y291" s="3"/>
      <c r="AA291" s="1540" t="s">
        <v>2666</v>
      </c>
      <c r="AB291" s="1540"/>
      <c r="AC291" s="1540"/>
      <c r="AD291" s="1540"/>
      <c r="AE291" s="1540"/>
      <c r="AF291" s="1540"/>
      <c r="AG291" s="4" t="s">
        <v>207</v>
      </c>
      <c r="AH291" s="4"/>
      <c r="AI291" s="1536"/>
      <c r="AJ291" s="1536"/>
      <c r="AK291" s="1536"/>
      <c r="BN291" s="34"/>
    </row>
    <row r="292" spans="2:66" ht="13.05" customHeight="1">
      <c r="B292" s="3" t="s">
        <v>89</v>
      </c>
      <c r="C292" s="3"/>
      <c r="D292" s="3"/>
      <c r="E292" s="3"/>
      <c r="F292" s="3"/>
      <c r="G292" s="3"/>
      <c r="H292" s="1393"/>
      <c r="I292" s="1393"/>
      <c r="J292" s="1393"/>
      <c r="K292" s="1393"/>
      <c r="L292" s="1393"/>
      <c r="M292" s="1393"/>
      <c r="N292" s="4"/>
      <c r="O292" s="4"/>
      <c r="P292" s="35"/>
      <c r="Q292" s="35"/>
      <c r="R292" s="35"/>
      <c r="S292" s="3"/>
      <c r="T292" s="3" t="s">
        <v>89</v>
      </c>
      <c r="V292" s="3"/>
      <c r="W292" s="3"/>
      <c r="X292" s="3"/>
      <c r="Y292" s="3"/>
      <c r="AA292" s="1393"/>
      <c r="AB292" s="1393"/>
      <c r="AC292" s="1393"/>
      <c r="AD292" s="1393"/>
      <c r="AE292" s="1393"/>
      <c r="AF292" s="1393"/>
      <c r="AG292" s="4"/>
      <c r="AH292" s="4"/>
      <c r="AI292" s="35"/>
      <c r="AJ292" s="35"/>
      <c r="AK292" s="35"/>
      <c r="BN292" s="34"/>
    </row>
    <row r="293" spans="2:66" ht="13.05" customHeight="1">
      <c r="B293" s="3" t="s">
        <v>76</v>
      </c>
      <c r="C293" s="3"/>
      <c r="D293" s="3"/>
      <c r="E293" s="3"/>
      <c r="F293" s="3"/>
      <c r="G293" s="3"/>
      <c r="H293" s="1374" t="s">
        <v>2653</v>
      </c>
      <c r="I293" s="1374"/>
      <c r="J293" s="1374"/>
      <c r="K293" s="1374"/>
      <c r="L293" s="1374"/>
      <c r="M293" s="1374"/>
      <c r="N293" s="1405"/>
      <c r="O293" s="1405"/>
      <c r="P293" s="1405"/>
      <c r="Q293" s="1405"/>
      <c r="R293" s="1405"/>
      <c r="S293" s="3"/>
      <c r="T293" s="3" t="s">
        <v>76</v>
      </c>
      <c r="V293" s="3"/>
      <c r="W293" s="3"/>
      <c r="X293" s="3"/>
      <c r="Y293" s="3"/>
      <c r="AA293" s="1374" t="s">
        <v>2667</v>
      </c>
      <c r="AB293" s="1374"/>
      <c r="AC293" s="1374"/>
      <c r="AD293" s="1374"/>
      <c r="AE293" s="1374"/>
      <c r="AF293" s="1374"/>
      <c r="AG293" s="1405"/>
      <c r="AH293" s="1405"/>
      <c r="AI293" s="1405"/>
      <c r="AJ293" s="1405"/>
      <c r="AK293" s="1405"/>
      <c r="BN293" s="34"/>
    </row>
    <row r="294" spans="2:66"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05" customHeight="1">
      <c r="B295" s="3" t="s">
        <v>324</v>
      </c>
      <c r="C295" s="3"/>
      <c r="D295" s="3"/>
      <c r="E295" s="3"/>
      <c r="F295" s="3"/>
      <c r="H295" s="1405" t="s">
        <v>2668</v>
      </c>
      <c r="I295" s="1405"/>
      <c r="J295" s="1405"/>
      <c r="K295" s="1405"/>
      <c r="L295" s="1405"/>
      <c r="M295" s="1405"/>
      <c r="N295" s="1405"/>
      <c r="O295" s="1405"/>
      <c r="P295" s="1405"/>
      <c r="Q295" s="1405"/>
      <c r="R295" s="1405"/>
      <c r="T295" s="3" t="s">
        <v>365</v>
      </c>
      <c r="V295" s="3"/>
      <c r="W295" s="3"/>
      <c r="X295" s="3"/>
      <c r="Y295" s="3"/>
      <c r="AA295" s="1405" t="s">
        <v>2674</v>
      </c>
      <c r="AB295" s="1405"/>
      <c r="AC295" s="1405"/>
      <c r="AD295" s="1405"/>
      <c r="AE295" s="1405"/>
      <c r="AF295" s="1405"/>
      <c r="AG295" s="1405"/>
      <c r="AH295" s="1405"/>
      <c r="AI295" s="1405"/>
      <c r="AJ295" s="1405"/>
      <c r="AK295" s="1405"/>
      <c r="BN295" s="34"/>
    </row>
    <row r="296" spans="2:66" ht="13.05" customHeight="1">
      <c r="B296" s="3" t="s">
        <v>479</v>
      </c>
      <c r="C296" s="3"/>
      <c r="D296" s="3"/>
      <c r="E296" s="3"/>
      <c r="F296" s="3"/>
      <c r="H296" s="1374" t="s">
        <v>2669</v>
      </c>
      <c r="I296" s="1374"/>
      <c r="J296" s="1374"/>
      <c r="K296" s="1374"/>
      <c r="L296" s="1374"/>
      <c r="M296" s="1374"/>
      <c r="N296" s="1374"/>
      <c r="O296" s="1374"/>
      <c r="P296" s="1374"/>
      <c r="Q296" s="1374"/>
      <c r="R296" s="1374"/>
      <c r="T296" s="3" t="s">
        <v>479</v>
      </c>
      <c r="V296" s="3"/>
      <c r="W296" s="3"/>
      <c r="X296" s="3"/>
      <c r="Y296" s="3"/>
      <c r="AA296" s="1374" t="s">
        <v>2675</v>
      </c>
      <c r="AB296" s="1374"/>
      <c r="AC296" s="1374"/>
      <c r="AD296" s="1374"/>
      <c r="AE296" s="1374"/>
      <c r="AF296" s="1374"/>
      <c r="AG296" s="1374"/>
      <c r="AH296" s="1374"/>
      <c r="AI296" s="1374"/>
      <c r="AJ296" s="1374"/>
      <c r="AK296" s="1374"/>
      <c r="BN296" s="34"/>
    </row>
    <row r="297" spans="2:66" ht="13.05" customHeight="1">
      <c r="B297" s="3" t="s">
        <v>480</v>
      </c>
      <c r="C297" s="3"/>
      <c r="D297" s="3"/>
      <c r="E297" s="3"/>
      <c r="F297" s="3"/>
      <c r="H297" s="1374" t="s">
        <v>2670</v>
      </c>
      <c r="I297" s="1374"/>
      <c r="J297" s="1374"/>
      <c r="K297" s="1374"/>
      <c r="L297" s="1374"/>
      <c r="M297" s="1374"/>
      <c r="N297" s="1374"/>
      <c r="O297" s="1374"/>
      <c r="P297" s="1374"/>
      <c r="Q297" s="1374"/>
      <c r="R297" s="1374"/>
      <c r="T297" s="3" t="s">
        <v>75</v>
      </c>
      <c r="V297" s="3"/>
      <c r="W297" s="3"/>
      <c r="X297" s="3"/>
      <c r="Y297" s="3"/>
      <c r="AA297" s="1374" t="s">
        <v>2676</v>
      </c>
      <c r="AB297" s="1374"/>
      <c r="AC297" s="1374"/>
      <c r="AD297" s="1374"/>
      <c r="AE297" s="1374"/>
      <c r="AF297" s="1374"/>
      <c r="AG297" s="1374"/>
      <c r="AH297" s="1374"/>
      <c r="AI297" s="1374"/>
      <c r="AJ297" s="1374"/>
      <c r="AK297" s="1374"/>
      <c r="BN297" s="34"/>
    </row>
    <row r="298" spans="2:66" ht="13.05" customHeight="1">
      <c r="B298" s="3" t="s">
        <v>87</v>
      </c>
      <c r="C298" s="3"/>
      <c r="D298" s="3"/>
      <c r="E298" s="3"/>
      <c r="F298" s="3"/>
      <c r="H298" s="1374" t="s">
        <v>2671</v>
      </c>
      <c r="I298" s="1374"/>
      <c r="J298" s="1374"/>
      <c r="K298" s="1374"/>
      <c r="L298" s="1374"/>
      <c r="M298" s="1374"/>
      <c r="N298" s="1374"/>
      <c r="O298" s="1374"/>
      <c r="P298" s="1374"/>
      <c r="Q298" s="1374"/>
      <c r="R298" s="1374"/>
      <c r="T298" s="3" t="s">
        <v>87</v>
      </c>
      <c r="V298" s="3"/>
      <c r="W298" s="3"/>
      <c r="X298" s="3"/>
      <c r="Y298" s="3"/>
      <c r="AA298" s="1374" t="s">
        <v>2677</v>
      </c>
      <c r="AB298" s="1374"/>
      <c r="AC298" s="1374"/>
      <c r="AD298" s="1374"/>
      <c r="AE298" s="1374"/>
      <c r="AF298" s="1374"/>
      <c r="AG298" s="1374"/>
      <c r="AH298" s="1374"/>
      <c r="AI298" s="1374"/>
      <c r="AJ298" s="1374"/>
      <c r="AK298" s="1374"/>
      <c r="BN298" s="34"/>
    </row>
    <row r="299" spans="2:66" ht="13.05" customHeight="1">
      <c r="B299" s="3" t="s">
        <v>88</v>
      </c>
      <c r="C299" s="3"/>
      <c r="D299" s="3"/>
      <c r="E299" s="3"/>
      <c r="F299" s="3"/>
      <c r="G299" s="3"/>
      <c r="H299" s="1540" t="s">
        <v>2672</v>
      </c>
      <c r="I299" s="1540"/>
      <c r="J299" s="1540"/>
      <c r="K299" s="1540"/>
      <c r="L299" s="1540"/>
      <c r="M299" s="1540"/>
      <c r="N299" s="4" t="s">
        <v>207</v>
      </c>
      <c r="O299" s="4"/>
      <c r="P299" s="1536"/>
      <c r="Q299" s="1536"/>
      <c r="R299" s="1536"/>
      <c r="S299" s="3"/>
      <c r="T299" s="3" t="s">
        <v>88</v>
      </c>
      <c r="V299" s="3"/>
      <c r="W299" s="3"/>
      <c r="X299" s="3"/>
      <c r="Y299" s="3"/>
      <c r="AA299" s="1540" t="s">
        <v>2678</v>
      </c>
      <c r="AB299" s="1540"/>
      <c r="AC299" s="1540"/>
      <c r="AD299" s="1540"/>
      <c r="AE299" s="1540"/>
      <c r="AF299" s="1540"/>
      <c r="AG299" s="4" t="s">
        <v>207</v>
      </c>
      <c r="AH299" s="4"/>
      <c r="AI299" s="1536"/>
      <c r="AJ299" s="1536"/>
      <c r="AK299" s="1536"/>
      <c r="BN299" s="34"/>
    </row>
    <row r="300" spans="2:66" ht="13.05" customHeight="1">
      <c r="B300" s="3" t="s">
        <v>89</v>
      </c>
      <c r="C300" s="3"/>
      <c r="D300" s="3"/>
      <c r="E300" s="3"/>
      <c r="F300" s="3"/>
      <c r="G300" s="3"/>
      <c r="H300" s="1393"/>
      <c r="I300" s="1393"/>
      <c r="J300" s="1393"/>
      <c r="K300" s="1393"/>
      <c r="L300" s="1393"/>
      <c r="M300" s="1393"/>
      <c r="N300" s="4"/>
      <c r="O300" s="4"/>
      <c r="P300" s="35"/>
      <c r="Q300" s="35"/>
      <c r="R300" s="35"/>
      <c r="S300" s="3"/>
      <c r="T300" s="3" t="s">
        <v>89</v>
      </c>
      <c r="V300" s="3"/>
      <c r="W300" s="3"/>
      <c r="X300" s="3"/>
      <c r="Y300" s="3"/>
      <c r="AA300" s="1393"/>
      <c r="AB300" s="1393"/>
      <c r="AC300" s="1393"/>
      <c r="AD300" s="1393"/>
      <c r="AE300" s="1393"/>
      <c r="AF300" s="1393"/>
      <c r="AG300" s="4"/>
      <c r="AH300" s="4"/>
      <c r="AI300" s="35"/>
      <c r="AJ300" s="35"/>
      <c r="AK300" s="35"/>
      <c r="BN300" s="34"/>
    </row>
    <row r="301" spans="2:66" ht="13.05" customHeight="1">
      <c r="B301" s="3" t="s">
        <v>76</v>
      </c>
      <c r="C301" s="3"/>
      <c r="D301" s="3"/>
      <c r="E301" s="3"/>
      <c r="F301" s="3"/>
      <c r="G301" s="3"/>
      <c r="H301" s="1374" t="s">
        <v>2673</v>
      </c>
      <c r="I301" s="1374"/>
      <c r="J301" s="1374"/>
      <c r="K301" s="1374"/>
      <c r="L301" s="1374"/>
      <c r="M301" s="1374"/>
      <c r="N301" s="1405"/>
      <c r="O301" s="1405"/>
      <c r="P301" s="1405"/>
      <c r="Q301" s="1405"/>
      <c r="R301" s="1405"/>
      <c r="S301" s="3"/>
      <c r="T301" s="3" t="s">
        <v>76</v>
      </c>
      <c r="V301" s="3"/>
      <c r="W301" s="3"/>
      <c r="X301" s="3"/>
      <c r="Y301" s="3"/>
      <c r="AA301" s="1374" t="s">
        <v>2679</v>
      </c>
      <c r="AB301" s="1374"/>
      <c r="AC301" s="1374"/>
      <c r="AD301" s="1374"/>
      <c r="AE301" s="1374"/>
      <c r="AF301" s="1374"/>
      <c r="AG301" s="1405"/>
      <c r="AH301" s="1405"/>
      <c r="AI301" s="1405"/>
      <c r="AJ301" s="1405"/>
      <c r="AK301" s="1405"/>
      <c r="BN301" s="34"/>
    </row>
    <row r="302" spans="2:66" ht="13.05" customHeight="1">
      <c r="BN302" s="34"/>
    </row>
    <row r="303" spans="2:66" ht="13.05" customHeight="1">
      <c r="B303" s="3" t="s">
        <v>77</v>
      </c>
      <c r="C303" s="3"/>
      <c r="D303" s="3"/>
      <c r="E303" s="3"/>
      <c r="F303" s="3"/>
      <c r="H303" s="1405" t="str">
        <f>H295</f>
        <v>Hobson Bernardino + Davis LLP</v>
      </c>
      <c r="I303" s="1405"/>
      <c r="J303" s="1405"/>
      <c r="K303" s="1405"/>
      <c r="L303" s="1405"/>
      <c r="M303" s="1405"/>
      <c r="N303" s="1405"/>
      <c r="O303" s="1405"/>
      <c r="P303" s="1405"/>
      <c r="Q303" s="1405"/>
      <c r="R303" s="1405"/>
      <c r="T303" s="4" t="s">
        <v>890</v>
      </c>
      <c r="V303" s="3"/>
      <c r="W303" s="3"/>
      <c r="X303" s="3"/>
      <c r="Y303" s="3"/>
      <c r="AA303" s="1405" t="s">
        <v>2680</v>
      </c>
      <c r="AB303" s="1405"/>
      <c r="AC303" s="1405"/>
      <c r="AD303" s="1405"/>
      <c r="AE303" s="1405"/>
      <c r="AF303" s="1405"/>
      <c r="AG303" s="1405"/>
      <c r="AH303" s="1405"/>
      <c r="AI303" s="1405"/>
      <c r="AJ303" s="1405"/>
      <c r="AK303" s="1405"/>
      <c r="BN303" s="34"/>
    </row>
    <row r="304" spans="2:66" ht="13.05" customHeight="1">
      <c r="B304" s="3" t="s">
        <v>479</v>
      </c>
      <c r="C304" s="3"/>
      <c r="D304" s="3"/>
      <c r="E304" s="3"/>
      <c r="F304" s="3"/>
      <c r="H304" s="1374" t="str">
        <f>H296</f>
        <v>6060 Center Drive, Floor 10</v>
      </c>
      <c r="I304" s="1374"/>
      <c r="J304" s="1374"/>
      <c r="K304" s="1374"/>
      <c r="L304" s="1374"/>
      <c r="M304" s="1374"/>
      <c r="N304" s="1374"/>
      <c r="O304" s="1374"/>
      <c r="P304" s="1374"/>
      <c r="Q304" s="1374"/>
      <c r="R304" s="1374"/>
      <c r="T304" s="3" t="s">
        <v>479</v>
      </c>
      <c r="V304" s="3"/>
      <c r="W304" s="3"/>
      <c r="X304" s="3"/>
      <c r="Y304" s="3"/>
      <c r="AA304" s="1374" t="s">
        <v>2681</v>
      </c>
      <c r="AB304" s="1374"/>
      <c r="AC304" s="1374"/>
      <c r="AD304" s="1374"/>
      <c r="AE304" s="1374"/>
      <c r="AF304" s="1374"/>
      <c r="AG304" s="1374"/>
      <c r="AH304" s="1374"/>
      <c r="AI304" s="1374"/>
      <c r="AJ304" s="1374"/>
      <c r="AK304" s="1374"/>
      <c r="BN304" s="34"/>
    </row>
    <row r="305" spans="2:66" ht="13.05" customHeight="1">
      <c r="B305" s="3" t="s">
        <v>480</v>
      </c>
      <c r="C305" s="3"/>
      <c r="D305" s="3"/>
      <c r="E305" s="3"/>
      <c r="F305" s="3"/>
      <c r="H305" s="1374" t="str">
        <f>H297</f>
        <v>Los Angeles, CA 90045</v>
      </c>
      <c r="I305" s="1374"/>
      <c r="J305" s="1374"/>
      <c r="K305" s="1374"/>
      <c r="L305" s="1374"/>
      <c r="M305" s="1374"/>
      <c r="N305" s="1374"/>
      <c r="O305" s="1374"/>
      <c r="P305" s="1374"/>
      <c r="Q305" s="1374"/>
      <c r="R305" s="1374"/>
      <c r="T305" s="3" t="s">
        <v>75</v>
      </c>
      <c r="V305" s="3"/>
      <c r="W305" s="3"/>
      <c r="X305" s="3"/>
      <c r="Y305" s="3"/>
      <c r="AA305" s="1374" t="s">
        <v>2682</v>
      </c>
      <c r="AB305" s="1374"/>
      <c r="AC305" s="1374"/>
      <c r="AD305" s="1374"/>
      <c r="AE305" s="1374"/>
      <c r="AF305" s="1374"/>
      <c r="AG305" s="1374"/>
      <c r="AH305" s="1374"/>
      <c r="AI305" s="1374"/>
      <c r="AJ305" s="1374"/>
      <c r="AK305" s="1374"/>
      <c r="BN305" s="34"/>
    </row>
    <row r="306" spans="2:66" ht="13.05" customHeight="1">
      <c r="B306" s="3" t="s">
        <v>87</v>
      </c>
      <c r="C306" s="3"/>
      <c r="D306" s="3"/>
      <c r="E306" s="3"/>
      <c r="F306" s="3"/>
      <c r="H306" s="1374" t="str">
        <f>H298</f>
        <v>Jason Hobson</v>
      </c>
      <c r="I306" s="1374"/>
      <c r="J306" s="1374"/>
      <c r="K306" s="1374"/>
      <c r="L306" s="1374"/>
      <c r="M306" s="1374"/>
      <c r="N306" s="1374"/>
      <c r="O306" s="1374"/>
      <c r="P306" s="1374"/>
      <c r="Q306" s="1374"/>
      <c r="R306" s="1374"/>
      <c r="T306" s="3" t="s">
        <v>87</v>
      </c>
      <c r="V306" s="3"/>
      <c r="W306" s="3"/>
      <c r="X306" s="3"/>
      <c r="Y306" s="3"/>
      <c r="AA306" s="1374" t="s">
        <v>2683</v>
      </c>
      <c r="AB306" s="1374"/>
      <c r="AC306" s="1374"/>
      <c r="AD306" s="1374"/>
      <c r="AE306" s="1374"/>
      <c r="AF306" s="1374"/>
      <c r="AG306" s="1374"/>
      <c r="AH306" s="1374"/>
      <c r="AI306" s="1374"/>
      <c r="AJ306" s="1374"/>
      <c r="AK306" s="1374"/>
      <c r="BN306" s="34"/>
    </row>
    <row r="307" spans="2:66" ht="13.05" customHeight="1">
      <c r="B307" s="3" t="s">
        <v>88</v>
      </c>
      <c r="C307" s="3"/>
      <c r="D307" s="3"/>
      <c r="E307" s="3"/>
      <c r="F307" s="3"/>
      <c r="G307" s="3"/>
      <c r="H307" s="1393" t="str">
        <f>H299</f>
        <v>213-235-9191</v>
      </c>
      <c r="I307" s="1393"/>
      <c r="J307" s="1393"/>
      <c r="K307" s="1393"/>
      <c r="L307" s="1393"/>
      <c r="M307" s="1393"/>
      <c r="N307" s="4" t="s">
        <v>207</v>
      </c>
      <c r="O307" s="4"/>
      <c r="P307" s="1536"/>
      <c r="Q307" s="1536"/>
      <c r="R307" s="1536"/>
      <c r="S307" s="3"/>
      <c r="T307" s="3" t="s">
        <v>88</v>
      </c>
      <c r="V307" s="3"/>
      <c r="W307" s="3"/>
      <c r="X307" s="3"/>
      <c r="Y307" s="3"/>
      <c r="AA307" s="1540" t="s">
        <v>2684</v>
      </c>
      <c r="AB307" s="1540"/>
      <c r="AC307" s="1540"/>
      <c r="AD307" s="1540"/>
      <c r="AE307" s="1540"/>
      <c r="AF307" s="1540"/>
      <c r="AG307" s="4" t="s">
        <v>207</v>
      </c>
      <c r="AH307" s="4"/>
      <c r="AI307" s="1536"/>
      <c r="AJ307" s="1536"/>
      <c r="AK307" s="1536"/>
      <c r="BN307" s="34"/>
    </row>
    <row r="308" spans="2:66" ht="13.05" customHeight="1">
      <c r="B308" s="3" t="s">
        <v>89</v>
      </c>
      <c r="C308" s="3"/>
      <c r="D308" s="3"/>
      <c r="E308" s="3"/>
      <c r="F308" s="3"/>
      <c r="G308" s="3"/>
      <c r="H308" s="1393"/>
      <c r="I308" s="1393"/>
      <c r="J308" s="1393"/>
      <c r="K308" s="1393"/>
      <c r="L308" s="1393"/>
      <c r="M308" s="1393"/>
      <c r="N308" s="4"/>
      <c r="O308" s="4"/>
      <c r="P308" s="35"/>
      <c r="Q308" s="35"/>
      <c r="R308" s="35"/>
      <c r="S308" s="3"/>
      <c r="T308" s="3" t="s">
        <v>89</v>
      </c>
      <c r="V308" s="3"/>
      <c r="W308" s="3"/>
      <c r="X308" s="3"/>
      <c r="Y308" s="3"/>
      <c r="AA308" s="1393"/>
      <c r="AB308" s="1393"/>
      <c r="AC308" s="1393"/>
      <c r="AD308" s="1393"/>
      <c r="AE308" s="1393"/>
      <c r="AF308" s="1393"/>
      <c r="AG308" s="4"/>
      <c r="AH308" s="4"/>
      <c r="AI308" s="35"/>
      <c r="AJ308" s="35"/>
      <c r="AK308" s="35"/>
      <c r="BN308" s="34"/>
    </row>
    <row r="309" spans="2:66" ht="13.05" customHeight="1">
      <c r="B309" s="3" t="s">
        <v>76</v>
      </c>
      <c r="C309" s="3"/>
      <c r="D309" s="3"/>
      <c r="E309" s="3"/>
      <c r="F309" s="3"/>
      <c r="G309" s="3"/>
      <c r="H309" s="1374" t="str">
        <f>H301</f>
        <v>jhobson@hbdlegal.com</v>
      </c>
      <c r="I309" s="1374"/>
      <c r="J309" s="1374"/>
      <c r="K309" s="1374"/>
      <c r="L309" s="1374"/>
      <c r="M309" s="1374"/>
      <c r="N309" s="1405"/>
      <c r="O309" s="1405"/>
      <c r="P309" s="1405"/>
      <c r="Q309" s="1405"/>
      <c r="R309" s="1405"/>
      <c r="S309" s="3"/>
      <c r="T309" s="3" t="s">
        <v>76</v>
      </c>
      <c r="V309" s="3"/>
      <c r="W309" s="3"/>
      <c r="X309" s="3"/>
      <c r="Y309" s="3"/>
      <c r="AA309" s="1374" t="s">
        <v>2685</v>
      </c>
      <c r="AB309" s="1374"/>
      <c r="AC309" s="1374"/>
      <c r="AD309" s="1374"/>
      <c r="AE309" s="1374"/>
      <c r="AF309" s="1374"/>
      <c r="AG309" s="1405"/>
      <c r="AH309" s="1405"/>
      <c r="AI309" s="1405"/>
      <c r="AJ309" s="1405"/>
      <c r="AK309" s="1405"/>
      <c r="BN309" s="34"/>
    </row>
    <row r="310" spans="2:66"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05" customHeight="1">
      <c r="B311" s="4" t="s">
        <v>922</v>
      </c>
      <c r="C311" s="3"/>
      <c r="D311" s="3"/>
      <c r="E311" s="3"/>
      <c r="F311" s="3"/>
      <c r="H311" s="1405" t="s">
        <v>2686</v>
      </c>
      <c r="I311" s="1405"/>
      <c r="J311" s="1405"/>
      <c r="K311" s="1405"/>
      <c r="L311" s="1405"/>
      <c r="M311" s="1405"/>
      <c r="N311" s="1405"/>
      <c r="O311" s="1405"/>
      <c r="P311" s="1405"/>
      <c r="Q311" s="1405"/>
      <c r="R311" s="1405"/>
      <c r="S311" s="3"/>
      <c r="T311" s="3" t="s">
        <v>366</v>
      </c>
      <c r="V311" s="3"/>
      <c r="W311" s="3"/>
      <c r="X311" s="3"/>
      <c r="Y311" s="3"/>
      <c r="AA311" s="1405" t="s">
        <v>2692</v>
      </c>
      <c r="AB311" s="1405"/>
      <c r="AC311" s="1405"/>
      <c r="AD311" s="1405"/>
      <c r="AE311" s="1405"/>
      <c r="AF311" s="1405"/>
      <c r="AG311" s="1405"/>
      <c r="AH311" s="1405"/>
      <c r="AI311" s="1405"/>
      <c r="AJ311" s="1405"/>
      <c r="AK311" s="1405"/>
      <c r="BN311" s="34"/>
    </row>
    <row r="312" spans="2:66" ht="13.05" customHeight="1">
      <c r="B312" s="3" t="s">
        <v>479</v>
      </c>
      <c r="C312" s="3"/>
      <c r="D312" s="3"/>
      <c r="E312" s="3"/>
      <c r="F312" s="3"/>
      <c r="H312" s="1374" t="s">
        <v>2687</v>
      </c>
      <c r="I312" s="1374"/>
      <c r="J312" s="1374"/>
      <c r="K312" s="1374"/>
      <c r="L312" s="1374"/>
      <c r="M312" s="1374"/>
      <c r="N312" s="1374"/>
      <c r="O312" s="1374"/>
      <c r="P312" s="1374"/>
      <c r="Q312" s="1374"/>
      <c r="R312" s="1374"/>
      <c r="S312" s="3"/>
      <c r="T312" s="3" t="s">
        <v>479</v>
      </c>
      <c r="V312" s="3"/>
      <c r="W312" s="3"/>
      <c r="X312" s="3"/>
      <c r="Y312" s="3"/>
      <c r="AA312" s="1374" t="s">
        <v>2693</v>
      </c>
      <c r="AB312" s="1374"/>
      <c r="AC312" s="1374"/>
      <c r="AD312" s="1374"/>
      <c r="AE312" s="1374"/>
      <c r="AF312" s="1374"/>
      <c r="AG312" s="1374"/>
      <c r="AH312" s="1374"/>
      <c r="AI312" s="1374"/>
      <c r="AJ312" s="1374"/>
      <c r="AK312" s="1374"/>
      <c r="BN312" s="34"/>
    </row>
    <row r="313" spans="2:66" ht="13.05" customHeight="1">
      <c r="B313" s="3" t="s">
        <v>480</v>
      </c>
      <c r="C313" s="3"/>
      <c r="D313" s="3"/>
      <c r="E313" s="3"/>
      <c r="F313" s="3"/>
      <c r="H313" s="1374" t="s">
        <v>2688</v>
      </c>
      <c r="I313" s="1374"/>
      <c r="J313" s="1374"/>
      <c r="K313" s="1374"/>
      <c r="L313" s="1374"/>
      <c r="M313" s="1374"/>
      <c r="N313" s="1374"/>
      <c r="O313" s="1374"/>
      <c r="P313" s="1374"/>
      <c r="Q313" s="1374"/>
      <c r="R313" s="1374"/>
      <c r="S313" s="3"/>
      <c r="T313" s="3" t="s">
        <v>75</v>
      </c>
      <c r="V313" s="3"/>
      <c r="W313" s="3"/>
      <c r="X313" s="3"/>
      <c r="Y313" s="3"/>
      <c r="AA313" s="1374" t="s">
        <v>2694</v>
      </c>
      <c r="AB313" s="1374"/>
      <c r="AC313" s="1374"/>
      <c r="AD313" s="1374"/>
      <c r="AE313" s="1374"/>
      <c r="AF313" s="1374"/>
      <c r="AG313" s="1374"/>
      <c r="AH313" s="1374"/>
      <c r="AI313" s="1374"/>
      <c r="AJ313" s="1374"/>
      <c r="AK313" s="1374"/>
      <c r="BN313" s="34"/>
    </row>
    <row r="314" spans="2:66" ht="13.05" customHeight="1">
      <c r="B314" s="3" t="s">
        <v>87</v>
      </c>
      <c r="C314" s="3"/>
      <c r="D314" s="3"/>
      <c r="E314" s="3"/>
      <c r="F314" s="3"/>
      <c r="H314" s="1374" t="s">
        <v>2689</v>
      </c>
      <c r="I314" s="1374"/>
      <c r="J314" s="1374"/>
      <c r="K314" s="1374"/>
      <c r="L314" s="1374"/>
      <c r="M314" s="1374"/>
      <c r="N314" s="1374"/>
      <c r="O314" s="1374"/>
      <c r="P314" s="1374"/>
      <c r="Q314" s="1374"/>
      <c r="R314" s="1374"/>
      <c r="S314" s="3"/>
      <c r="T314" s="3" t="s">
        <v>87</v>
      </c>
      <c r="V314" s="3"/>
      <c r="W314" s="3"/>
      <c r="X314" s="3"/>
      <c r="Y314" s="3"/>
      <c r="AA314" s="1374" t="s">
        <v>2695</v>
      </c>
      <c r="AB314" s="1374"/>
      <c r="AC314" s="1374"/>
      <c r="AD314" s="1374"/>
      <c r="AE314" s="1374"/>
      <c r="AF314" s="1374"/>
      <c r="AG314" s="1374"/>
      <c r="AH314" s="1374"/>
      <c r="AI314" s="1374"/>
      <c r="AJ314" s="1374"/>
      <c r="AK314" s="1374"/>
      <c r="BN314" s="34"/>
    </row>
    <row r="315" spans="2:66" ht="13.05" customHeight="1">
      <c r="B315" s="3" t="s">
        <v>88</v>
      </c>
      <c r="C315" s="3"/>
      <c r="D315" s="3"/>
      <c r="E315" s="3"/>
      <c r="F315" s="3"/>
      <c r="G315" s="3"/>
      <c r="H315" s="1540" t="s">
        <v>2690</v>
      </c>
      <c r="I315" s="1540"/>
      <c r="J315" s="1540"/>
      <c r="K315" s="1540"/>
      <c r="L315" s="1540"/>
      <c r="M315" s="1540"/>
      <c r="N315" s="4" t="s">
        <v>207</v>
      </c>
      <c r="O315" s="4"/>
      <c r="P315" s="1536"/>
      <c r="Q315" s="1536"/>
      <c r="R315" s="1536"/>
      <c r="S315" s="3"/>
      <c r="T315" s="3" t="s">
        <v>88</v>
      </c>
      <c r="V315" s="3"/>
      <c r="W315" s="3"/>
      <c r="X315" s="3"/>
      <c r="Y315" s="3"/>
      <c r="AA315" s="1539" t="s">
        <v>2696</v>
      </c>
      <c r="AB315" s="1540"/>
      <c r="AC315" s="1540"/>
      <c r="AD315" s="1540"/>
      <c r="AE315" s="1540"/>
      <c r="AF315" s="1540"/>
      <c r="AG315" s="4" t="s">
        <v>207</v>
      </c>
      <c r="AH315" s="4"/>
      <c r="AI315" s="1536"/>
      <c r="AJ315" s="1536"/>
      <c r="AK315" s="1536"/>
      <c r="BN315" s="34"/>
    </row>
    <row r="316" spans="2:66" ht="13.05" customHeight="1">
      <c r="B316" s="3" t="s">
        <v>89</v>
      </c>
      <c r="C316" s="3"/>
      <c r="D316" s="3"/>
      <c r="E316" s="3"/>
      <c r="F316" s="3"/>
      <c r="G316" s="3"/>
      <c r="H316" s="1393"/>
      <c r="I316" s="1393"/>
      <c r="J316" s="1393"/>
      <c r="K316" s="1393"/>
      <c r="L316" s="1393"/>
      <c r="M316" s="1393"/>
      <c r="N316" s="4"/>
      <c r="O316" s="4"/>
      <c r="P316" s="35"/>
      <c r="Q316" s="35"/>
      <c r="R316" s="35"/>
      <c r="S316" s="3"/>
      <c r="T316" s="3" t="s">
        <v>89</v>
      </c>
      <c r="V316" s="3"/>
      <c r="W316" s="3"/>
      <c r="X316" s="3"/>
      <c r="Y316" s="3"/>
      <c r="AA316" s="1393"/>
      <c r="AB316" s="1393"/>
      <c r="AC316" s="1393"/>
      <c r="AD316" s="1393"/>
      <c r="AE316" s="1393"/>
      <c r="AF316" s="1393"/>
      <c r="AG316" s="4"/>
      <c r="AH316" s="4"/>
      <c r="AI316" s="35"/>
      <c r="AJ316" s="35"/>
      <c r="AK316" s="35"/>
      <c r="BN316" s="34"/>
    </row>
    <row r="317" spans="2:66" ht="13.05" customHeight="1">
      <c r="B317" s="3" t="s">
        <v>76</v>
      </c>
      <c r="C317" s="3"/>
      <c r="D317" s="3"/>
      <c r="E317" s="3"/>
      <c r="F317" s="3"/>
      <c r="G317" s="3"/>
      <c r="H317" s="1374" t="s">
        <v>2691</v>
      </c>
      <c r="I317" s="1374"/>
      <c r="J317" s="1374"/>
      <c r="K317" s="1374"/>
      <c r="L317" s="1374"/>
      <c r="M317" s="1374"/>
      <c r="N317" s="1405"/>
      <c r="O317" s="1405"/>
      <c r="P317" s="1405"/>
      <c r="Q317" s="1405"/>
      <c r="R317" s="1405"/>
      <c r="S317" s="3"/>
      <c r="T317" s="3" t="s">
        <v>76</v>
      </c>
      <c r="V317" s="3"/>
      <c r="W317" s="3"/>
      <c r="X317" s="3"/>
      <c r="Y317" s="3"/>
      <c r="AA317" s="1374" t="s">
        <v>2697</v>
      </c>
      <c r="AB317" s="1374"/>
      <c r="AC317" s="1374"/>
      <c r="AD317" s="1374"/>
      <c r="AE317" s="1374"/>
      <c r="AF317" s="1374"/>
      <c r="AG317" s="1405"/>
      <c r="AH317" s="1405"/>
      <c r="AI317" s="1405"/>
      <c r="AJ317" s="1405"/>
      <c r="AK317" s="1405"/>
      <c r="BN317" s="34"/>
    </row>
    <row r="318" spans="2:66" ht="13.05" customHeight="1">
      <c r="BN318" s="34"/>
    </row>
    <row r="319" spans="2:66" ht="13.05" customHeight="1">
      <c r="B319" s="4" t="s">
        <v>923</v>
      </c>
      <c r="C319" s="3"/>
      <c r="D319" s="3"/>
      <c r="E319" s="3"/>
      <c r="F319" s="3"/>
      <c r="H319" s="1405" t="s">
        <v>599</v>
      </c>
      <c r="I319" s="1405"/>
      <c r="J319" s="1405"/>
      <c r="K319" s="1405"/>
      <c r="L319" s="1405"/>
      <c r="M319" s="1405"/>
      <c r="N319" s="1405"/>
      <c r="O319" s="1405"/>
      <c r="P319" s="1405"/>
      <c r="Q319" s="1405"/>
      <c r="R319" s="1405"/>
      <c r="T319" s="3" t="s">
        <v>367</v>
      </c>
      <c r="V319" s="3"/>
      <c r="W319" s="3"/>
      <c r="X319" s="3"/>
      <c r="Y319" s="3"/>
      <c r="AA319" s="1405" t="s">
        <v>2686</v>
      </c>
      <c r="AB319" s="1405"/>
      <c r="AC319" s="1405"/>
      <c r="AD319" s="1405"/>
      <c r="AE319" s="1405"/>
      <c r="AF319" s="1405"/>
      <c r="AG319" s="1405"/>
      <c r="AH319" s="1405"/>
      <c r="AI319" s="1405"/>
      <c r="AJ319" s="1405"/>
      <c r="AK319" s="1405"/>
      <c r="BN319" s="34"/>
    </row>
    <row r="320" spans="2:66" ht="13.05" customHeight="1">
      <c r="B320" s="3" t="s">
        <v>479</v>
      </c>
      <c r="C320" s="3"/>
      <c r="D320" s="3"/>
      <c r="E320" s="3"/>
      <c r="F320" s="3"/>
      <c r="H320" s="1374"/>
      <c r="I320" s="1374"/>
      <c r="J320" s="1374"/>
      <c r="K320" s="1374"/>
      <c r="L320" s="1374"/>
      <c r="M320" s="1374"/>
      <c r="N320" s="1374"/>
      <c r="O320" s="1374"/>
      <c r="P320" s="1374"/>
      <c r="Q320" s="1374"/>
      <c r="R320" s="1374"/>
      <c r="T320" s="3" t="s">
        <v>479</v>
      </c>
      <c r="V320" s="3"/>
      <c r="W320" s="3"/>
      <c r="X320" s="3"/>
      <c r="Y320" s="3"/>
      <c r="AA320" s="1374" t="s">
        <v>2687</v>
      </c>
      <c r="AB320" s="1374"/>
      <c r="AC320" s="1374"/>
      <c r="AD320" s="1374"/>
      <c r="AE320" s="1374"/>
      <c r="AF320" s="1374"/>
      <c r="AG320" s="1374"/>
      <c r="AH320" s="1374"/>
      <c r="AI320" s="1374"/>
      <c r="AJ320" s="1374"/>
      <c r="AK320" s="1374"/>
      <c r="BN320" s="34"/>
    </row>
    <row r="321" spans="2:66" ht="13.05" customHeight="1">
      <c r="B321" s="3" t="s">
        <v>480</v>
      </c>
      <c r="C321" s="3"/>
      <c r="D321" s="3"/>
      <c r="E321" s="3"/>
      <c r="F321" s="3"/>
      <c r="H321" s="1374"/>
      <c r="I321" s="1374"/>
      <c r="J321" s="1374"/>
      <c r="K321" s="1374"/>
      <c r="L321" s="1374"/>
      <c r="M321" s="1374"/>
      <c r="N321" s="1374"/>
      <c r="O321" s="1374"/>
      <c r="P321" s="1374"/>
      <c r="Q321" s="1374"/>
      <c r="R321" s="1374"/>
      <c r="T321" s="3" t="s">
        <v>75</v>
      </c>
      <c r="V321" s="3"/>
      <c r="W321" s="3"/>
      <c r="X321" s="3"/>
      <c r="Y321" s="3"/>
      <c r="AA321" s="1374" t="s">
        <v>2688</v>
      </c>
      <c r="AB321" s="1374"/>
      <c r="AC321" s="1374"/>
      <c r="AD321" s="1374"/>
      <c r="AE321" s="1374"/>
      <c r="AF321" s="1374"/>
      <c r="AG321" s="1374"/>
      <c r="AH321" s="1374"/>
      <c r="AI321" s="1374"/>
      <c r="AJ321" s="1374"/>
      <c r="AK321" s="1374"/>
      <c r="BN321" s="34"/>
    </row>
    <row r="322" spans="2:66" ht="13.05" customHeight="1">
      <c r="B322" s="3" t="s">
        <v>87</v>
      </c>
      <c r="C322" s="3"/>
      <c r="D322" s="3"/>
      <c r="E322" s="3"/>
      <c r="F322" s="3"/>
      <c r="H322" s="1374"/>
      <c r="I322" s="1374"/>
      <c r="J322" s="1374"/>
      <c r="K322" s="1374"/>
      <c r="L322" s="1374"/>
      <c r="M322" s="1374"/>
      <c r="N322" s="1374"/>
      <c r="O322" s="1374"/>
      <c r="P322" s="1374"/>
      <c r="Q322" s="1374"/>
      <c r="R322" s="1374"/>
      <c r="T322" s="3" t="s">
        <v>87</v>
      </c>
      <c r="V322" s="3"/>
      <c r="W322" s="3"/>
      <c r="X322" s="3"/>
      <c r="Y322" s="3"/>
      <c r="AA322" s="1374" t="s">
        <v>2698</v>
      </c>
      <c r="AB322" s="1374"/>
      <c r="AC322" s="1374"/>
      <c r="AD322" s="1374"/>
      <c r="AE322" s="1374"/>
      <c r="AF322" s="1374"/>
      <c r="AG322" s="1374"/>
      <c r="AH322" s="1374"/>
      <c r="AI322" s="1374"/>
      <c r="AJ322" s="1374"/>
      <c r="AK322" s="1374"/>
      <c r="BN322" s="34"/>
    </row>
    <row r="323" spans="2:66" ht="13.05" customHeight="1">
      <c r="B323" s="3" t="s">
        <v>88</v>
      </c>
      <c r="C323" s="3"/>
      <c r="D323" s="3"/>
      <c r="E323" s="3"/>
      <c r="F323" s="3"/>
      <c r="G323" s="3"/>
      <c r="H323" s="1540"/>
      <c r="I323" s="1540"/>
      <c r="J323" s="1540"/>
      <c r="K323" s="1540"/>
      <c r="L323" s="1540"/>
      <c r="M323" s="1540"/>
      <c r="N323" s="4" t="s">
        <v>207</v>
      </c>
      <c r="O323" s="4"/>
      <c r="P323" s="1536"/>
      <c r="Q323" s="1536"/>
      <c r="R323" s="1536"/>
      <c r="S323" s="3"/>
      <c r="T323" s="3" t="s">
        <v>88</v>
      </c>
      <c r="V323" s="3"/>
      <c r="W323" s="3"/>
      <c r="X323" s="3"/>
      <c r="Y323" s="3"/>
      <c r="AA323" s="1540" t="s">
        <v>2699</v>
      </c>
      <c r="AB323" s="1540"/>
      <c r="AC323" s="1540"/>
      <c r="AD323" s="1540"/>
      <c r="AE323" s="1540"/>
      <c r="AF323" s="1540"/>
      <c r="AG323" s="4" t="s">
        <v>207</v>
      </c>
      <c r="AH323" s="4"/>
      <c r="AI323" s="1536"/>
      <c r="AJ323" s="1536"/>
      <c r="AK323" s="1536"/>
    </row>
    <row r="324" spans="2:66" ht="13.05" customHeight="1">
      <c r="B324" s="3" t="s">
        <v>89</v>
      </c>
      <c r="C324" s="3"/>
      <c r="D324" s="3"/>
      <c r="E324" s="3"/>
      <c r="F324" s="3"/>
      <c r="G324" s="3"/>
      <c r="H324" s="1393"/>
      <c r="I324" s="1393"/>
      <c r="J324" s="1393"/>
      <c r="K324" s="1393"/>
      <c r="L324" s="1393"/>
      <c r="M324" s="1393"/>
      <c r="N324" s="4"/>
      <c r="O324" s="4"/>
      <c r="P324" s="35"/>
      <c r="Q324" s="35"/>
      <c r="R324" s="35"/>
      <c r="S324" s="3"/>
      <c r="T324" s="3" t="s">
        <v>89</v>
      </c>
      <c r="V324" s="3"/>
      <c r="W324" s="3"/>
      <c r="X324" s="3"/>
      <c r="Y324" s="3"/>
      <c r="AA324" s="1393"/>
      <c r="AB324" s="1393"/>
      <c r="AC324" s="1393"/>
      <c r="AD324" s="1393"/>
      <c r="AE324" s="1393"/>
      <c r="AF324" s="1393"/>
      <c r="AG324" s="4"/>
      <c r="AH324" s="4"/>
      <c r="AI324" s="35"/>
      <c r="AJ324" s="35"/>
      <c r="AK324" s="35"/>
    </row>
    <row r="325" spans="2:66" ht="13.05" customHeight="1">
      <c r="B325" s="3" t="s">
        <v>76</v>
      </c>
      <c r="C325" s="3"/>
      <c r="D325" s="3"/>
      <c r="E325" s="3"/>
      <c r="F325" s="3"/>
      <c r="G325" s="3"/>
      <c r="H325" s="1374"/>
      <c r="I325" s="1374"/>
      <c r="J325" s="1374"/>
      <c r="K325" s="1374"/>
      <c r="L325" s="1374"/>
      <c r="M325" s="1374"/>
      <c r="N325" s="1405"/>
      <c r="O325" s="1405"/>
      <c r="P325" s="1405"/>
      <c r="Q325" s="1405"/>
      <c r="R325" s="1405"/>
      <c r="S325" s="3"/>
      <c r="T325" s="3" t="s">
        <v>76</v>
      </c>
      <c r="V325" s="3"/>
      <c r="W325" s="3"/>
      <c r="X325" s="3"/>
      <c r="Y325" s="3"/>
      <c r="AA325" s="1374" t="s">
        <v>2700</v>
      </c>
      <c r="AB325" s="1374"/>
      <c r="AC325" s="1374"/>
      <c r="AD325" s="1374"/>
      <c r="AE325" s="1374"/>
      <c r="AF325" s="1374"/>
      <c r="AG325" s="1405"/>
      <c r="AH325" s="1405"/>
      <c r="AI325" s="1405"/>
      <c r="AJ325" s="1405"/>
      <c r="AK325" s="1405"/>
    </row>
    <row r="326" spans="2:66" ht="13.05" customHeight="1">
      <c r="B326" s="3"/>
      <c r="C326" s="3"/>
      <c r="D326" s="3"/>
      <c r="E326" s="3"/>
      <c r="F326" s="3"/>
      <c r="G326" s="3"/>
      <c r="P326" s="163"/>
      <c r="Q326" s="163"/>
      <c r="R326" s="163"/>
      <c r="S326" s="163"/>
      <c r="T326" s="163"/>
      <c r="U326" s="163"/>
      <c r="V326" s="4"/>
      <c r="W326" s="4"/>
      <c r="X326" s="35"/>
      <c r="Y326" s="35"/>
      <c r="Z326" s="35"/>
    </row>
    <row r="327" spans="2:66" ht="13.05" customHeight="1">
      <c r="B327" s="3" t="s">
        <v>368</v>
      </c>
      <c r="C327" s="3"/>
      <c r="D327" s="3"/>
      <c r="E327" s="3"/>
      <c r="F327" s="3"/>
      <c r="H327" s="1405" t="s">
        <v>2686</v>
      </c>
      <c r="I327" s="1405"/>
      <c r="J327" s="1405"/>
      <c r="K327" s="1405"/>
      <c r="L327" s="1405"/>
      <c r="M327" s="1405"/>
      <c r="N327" s="1405"/>
      <c r="O327" s="1405"/>
      <c r="P327" s="1405"/>
      <c r="Q327" s="1405"/>
      <c r="R327" s="1405"/>
      <c r="T327" s="3" t="s">
        <v>369</v>
      </c>
      <c r="V327" s="3"/>
      <c r="W327" s="3"/>
      <c r="X327" s="3"/>
      <c r="Y327" s="3"/>
      <c r="AA327" s="1405" t="s">
        <v>599</v>
      </c>
      <c r="AB327" s="1405"/>
      <c r="AC327" s="1405"/>
      <c r="AD327" s="1405"/>
      <c r="AE327" s="1405"/>
      <c r="AF327" s="1405"/>
      <c r="AG327" s="1405"/>
      <c r="AH327" s="1405"/>
      <c r="AI327" s="1405"/>
      <c r="AJ327" s="1405"/>
      <c r="AK327" s="1405"/>
    </row>
    <row r="328" spans="2:66" ht="13.05" customHeight="1">
      <c r="B328" s="3" t="s">
        <v>479</v>
      </c>
      <c r="C328" s="3"/>
      <c r="D328" s="3"/>
      <c r="E328" s="3"/>
      <c r="F328" s="3"/>
      <c r="H328" s="1374" t="s">
        <v>2687</v>
      </c>
      <c r="I328" s="1374"/>
      <c r="J328" s="1374"/>
      <c r="K328" s="1374"/>
      <c r="L328" s="1374"/>
      <c r="M328" s="1374"/>
      <c r="N328" s="1374"/>
      <c r="O328" s="1374"/>
      <c r="P328" s="1374"/>
      <c r="Q328" s="1374"/>
      <c r="R328" s="1374"/>
      <c r="T328" s="3" t="s">
        <v>479</v>
      </c>
      <c r="V328" s="3"/>
      <c r="W328" s="3"/>
      <c r="X328" s="3"/>
      <c r="Y328" s="3"/>
      <c r="AA328" s="1374"/>
      <c r="AB328" s="1374"/>
      <c r="AC328" s="1374"/>
      <c r="AD328" s="1374"/>
      <c r="AE328" s="1374"/>
      <c r="AF328" s="1374"/>
      <c r="AG328" s="1374"/>
      <c r="AH328" s="1374"/>
      <c r="AI328" s="1374"/>
      <c r="AJ328" s="1374"/>
      <c r="AK328" s="1374"/>
    </row>
    <row r="329" spans="2:66" ht="13.05" customHeight="1">
      <c r="B329" s="3" t="s">
        <v>480</v>
      </c>
      <c r="C329" s="3"/>
      <c r="D329" s="3"/>
      <c r="E329" s="3"/>
      <c r="F329" s="3"/>
      <c r="H329" s="1374" t="s">
        <v>2688</v>
      </c>
      <c r="I329" s="1374"/>
      <c r="J329" s="1374"/>
      <c r="K329" s="1374"/>
      <c r="L329" s="1374"/>
      <c r="M329" s="1374"/>
      <c r="N329" s="1374"/>
      <c r="O329" s="1374"/>
      <c r="P329" s="1374"/>
      <c r="Q329" s="1374"/>
      <c r="R329" s="1374"/>
      <c r="T329" s="3" t="s">
        <v>75</v>
      </c>
      <c r="V329" s="3"/>
      <c r="W329" s="3"/>
      <c r="X329" s="3"/>
      <c r="Y329" s="3"/>
      <c r="AA329" s="1374"/>
      <c r="AB329" s="1374"/>
      <c r="AC329" s="1374"/>
      <c r="AD329" s="1374"/>
      <c r="AE329" s="1374"/>
      <c r="AF329" s="1374"/>
      <c r="AG329" s="1374"/>
      <c r="AH329" s="1374"/>
      <c r="AI329" s="1374"/>
      <c r="AJ329" s="1374"/>
      <c r="AK329" s="1374"/>
    </row>
    <row r="330" spans="2:66" ht="13.05" customHeight="1">
      <c r="B330" s="3" t="s">
        <v>87</v>
      </c>
      <c r="C330" s="3"/>
      <c r="D330" s="3"/>
      <c r="E330" s="3"/>
      <c r="F330" s="3"/>
      <c r="H330" s="1374" t="s">
        <v>2698</v>
      </c>
      <c r="I330" s="1374"/>
      <c r="J330" s="1374"/>
      <c r="K330" s="1374"/>
      <c r="L330" s="1374"/>
      <c r="M330" s="1374"/>
      <c r="N330" s="1374"/>
      <c r="O330" s="1374"/>
      <c r="P330" s="1374"/>
      <c r="Q330" s="1374"/>
      <c r="R330" s="1374"/>
      <c r="T330" s="3" t="s">
        <v>87</v>
      </c>
      <c r="V330" s="3"/>
      <c r="W330" s="3"/>
      <c r="X330" s="3"/>
      <c r="Y330" s="3"/>
      <c r="AA330" s="1374"/>
      <c r="AB330" s="1374"/>
      <c r="AC330" s="1374"/>
      <c r="AD330" s="1374"/>
      <c r="AE330" s="1374"/>
      <c r="AF330" s="1374"/>
      <c r="AG330" s="1374"/>
      <c r="AH330" s="1374"/>
      <c r="AI330" s="1374"/>
      <c r="AJ330" s="1374"/>
      <c r="AK330" s="1374"/>
    </row>
    <row r="331" spans="2:66" ht="13.05" customHeight="1">
      <c r="B331" s="3" t="s">
        <v>88</v>
      </c>
      <c r="C331" s="3"/>
      <c r="D331" s="3"/>
      <c r="E331" s="3"/>
      <c r="F331" s="3"/>
      <c r="G331" s="3"/>
      <c r="H331" s="1540" t="s">
        <v>2699</v>
      </c>
      <c r="I331" s="1540"/>
      <c r="J331" s="1540"/>
      <c r="K331" s="1540"/>
      <c r="L331" s="1540"/>
      <c r="M331" s="1540"/>
      <c r="N331" s="4" t="s">
        <v>207</v>
      </c>
      <c r="O331" s="4"/>
      <c r="P331" s="1536"/>
      <c r="Q331" s="1536"/>
      <c r="R331" s="1536"/>
      <c r="S331" s="3"/>
      <c r="T331" s="3" t="s">
        <v>88</v>
      </c>
      <c r="V331" s="3"/>
      <c r="W331" s="3"/>
      <c r="X331" s="3"/>
      <c r="Y331" s="3"/>
      <c r="AA331" s="1540"/>
      <c r="AB331" s="1540"/>
      <c r="AC331" s="1540"/>
      <c r="AD331" s="1540"/>
      <c r="AE331" s="1540"/>
      <c r="AF331" s="1540"/>
      <c r="AG331" s="4" t="s">
        <v>207</v>
      </c>
      <c r="AH331" s="4"/>
      <c r="AI331" s="1536"/>
      <c r="AJ331" s="1536"/>
      <c r="AK331" s="1536"/>
    </row>
    <row r="332" spans="2:66" ht="13.05" customHeight="1">
      <c r="B332" s="3" t="s">
        <v>89</v>
      </c>
      <c r="C332" s="3"/>
      <c r="D332" s="3"/>
      <c r="E332" s="3"/>
      <c r="F332" s="3"/>
      <c r="G332" s="3"/>
      <c r="H332" s="1393"/>
      <c r="I332" s="1393"/>
      <c r="J332" s="1393"/>
      <c r="K332" s="1393"/>
      <c r="L332" s="1393"/>
      <c r="M332" s="1393"/>
      <c r="N332" s="4"/>
      <c r="O332" s="4"/>
      <c r="P332" s="35"/>
      <c r="Q332" s="35"/>
      <c r="R332" s="35"/>
      <c r="S332" s="3"/>
      <c r="T332" s="3" t="s">
        <v>89</v>
      </c>
      <c r="V332" s="3"/>
      <c r="W332" s="3"/>
      <c r="X332" s="3"/>
      <c r="Y332" s="3"/>
      <c r="AA332" s="1393"/>
      <c r="AB332" s="1393"/>
      <c r="AC332" s="1393"/>
      <c r="AD332" s="1393"/>
      <c r="AE332" s="1393"/>
      <c r="AF332" s="1393"/>
      <c r="AG332" s="4"/>
      <c r="AH332" s="4"/>
      <c r="AI332" s="35"/>
      <c r="AJ332" s="35"/>
      <c r="AK332" s="35"/>
    </row>
    <row r="333" spans="2:66" ht="13.05" customHeight="1">
      <c r="B333" s="3" t="s">
        <v>76</v>
      </c>
      <c r="C333" s="3"/>
      <c r="D333" s="3"/>
      <c r="E333" s="3"/>
      <c r="F333" s="3"/>
      <c r="G333" s="3"/>
      <c r="H333" s="1374" t="s">
        <v>2700</v>
      </c>
      <c r="I333" s="1374"/>
      <c r="J333" s="1374"/>
      <c r="K333" s="1374"/>
      <c r="L333" s="1374"/>
      <c r="M333" s="1374"/>
      <c r="N333" s="1405"/>
      <c r="O333" s="1405"/>
      <c r="P333" s="1405"/>
      <c r="Q333" s="1405"/>
      <c r="R333" s="1405"/>
      <c r="S333" s="3"/>
      <c r="T333" s="3" t="s">
        <v>76</v>
      </c>
      <c r="V333" s="3"/>
      <c r="W333" s="3"/>
      <c r="X333" s="3"/>
      <c r="Y333" s="3"/>
      <c r="AA333" s="1374"/>
      <c r="AB333" s="1374"/>
      <c r="AC333" s="1374"/>
      <c r="AD333" s="1374"/>
      <c r="AE333" s="1374"/>
      <c r="AF333" s="1374"/>
      <c r="AG333" s="1405"/>
      <c r="AH333" s="1405"/>
      <c r="AI333" s="1405"/>
      <c r="AJ333" s="1405"/>
      <c r="AK333" s="1405"/>
    </row>
    <row r="334" spans="2:66" ht="13.05" customHeight="1">
      <c r="B334" s="3"/>
      <c r="C334" s="3"/>
      <c r="D334" s="3"/>
      <c r="E334" s="3"/>
      <c r="F334" s="3"/>
      <c r="G334" s="3"/>
      <c r="P334" s="163"/>
      <c r="Q334" s="163"/>
      <c r="R334" s="163"/>
      <c r="S334" s="163"/>
      <c r="T334" s="163"/>
      <c r="U334" s="163"/>
      <c r="V334" s="4"/>
      <c r="W334" s="4"/>
      <c r="X334" s="35"/>
      <c r="Y334" s="35"/>
      <c r="Z334" s="35"/>
    </row>
    <row r="335" spans="2:66" ht="13.05" customHeight="1">
      <c r="B335" s="3" t="s">
        <v>330</v>
      </c>
      <c r="C335" s="3"/>
      <c r="D335" s="3"/>
      <c r="E335" s="3"/>
      <c r="F335" s="3"/>
      <c r="H335" s="1405" t="s">
        <v>2701</v>
      </c>
      <c r="I335" s="1405"/>
      <c r="J335" s="1405"/>
      <c r="K335" s="1405"/>
      <c r="L335" s="1405"/>
      <c r="M335" s="1405"/>
      <c r="N335" s="1405"/>
      <c r="O335" s="1405"/>
      <c r="P335" s="1405"/>
      <c r="Q335" s="1405"/>
      <c r="R335" s="1405"/>
      <c r="T335" s="218" t="s">
        <v>899</v>
      </c>
      <c r="V335" s="3"/>
      <c r="W335" s="3"/>
      <c r="X335" s="3"/>
      <c r="Y335" s="3"/>
      <c r="AA335" s="1405" t="s">
        <v>2704</v>
      </c>
      <c r="AB335" s="1405"/>
      <c r="AC335" s="1405"/>
      <c r="AD335" s="1405"/>
      <c r="AE335" s="1405"/>
      <c r="AF335" s="1405"/>
      <c r="AG335" s="1405"/>
      <c r="AH335" s="1405"/>
      <c r="AI335" s="1405"/>
      <c r="AJ335" s="1405"/>
      <c r="AK335" s="1405"/>
    </row>
    <row r="336" spans="2:66" ht="13.05" customHeight="1">
      <c r="B336" s="3" t="s">
        <v>479</v>
      </c>
      <c r="C336" s="3"/>
      <c r="D336" s="3"/>
      <c r="E336" s="3"/>
      <c r="F336" s="3"/>
      <c r="H336" s="1374" t="s">
        <v>2763</v>
      </c>
      <c r="I336" s="1374"/>
      <c r="J336" s="1374"/>
      <c r="K336" s="1374"/>
      <c r="L336" s="1374"/>
      <c r="M336" s="1374"/>
      <c r="N336" s="1374"/>
      <c r="O336" s="1374"/>
      <c r="P336" s="1374"/>
      <c r="Q336" s="1374"/>
      <c r="R336" s="1374"/>
      <c r="T336" s="3" t="s">
        <v>479</v>
      </c>
      <c r="V336" s="3"/>
      <c r="W336" s="3"/>
      <c r="X336" s="3"/>
      <c r="Y336" s="3"/>
      <c r="AA336" s="1374" t="s">
        <v>2705</v>
      </c>
      <c r="AB336" s="1374"/>
      <c r="AC336" s="1374"/>
      <c r="AD336" s="1374"/>
      <c r="AE336" s="1374"/>
      <c r="AF336" s="1374"/>
      <c r="AG336" s="1374"/>
      <c r="AH336" s="1374"/>
      <c r="AI336" s="1374"/>
      <c r="AJ336" s="1374"/>
      <c r="AK336" s="1374"/>
    </row>
    <row r="337" spans="1:66" ht="13.05" customHeight="1">
      <c r="B337" s="3" t="s">
        <v>75</v>
      </c>
      <c r="C337" s="3"/>
      <c r="D337" s="3"/>
      <c r="E337" s="3"/>
      <c r="F337" s="3"/>
      <c r="H337" s="1374" t="s">
        <v>2702</v>
      </c>
      <c r="I337" s="1374"/>
      <c r="J337" s="1374"/>
      <c r="K337" s="1374"/>
      <c r="L337" s="1374"/>
      <c r="M337" s="1374"/>
      <c r="N337" s="1374"/>
      <c r="O337" s="1374"/>
      <c r="P337" s="1374"/>
      <c r="Q337" s="1374"/>
      <c r="R337" s="1374"/>
      <c r="T337" s="3" t="s">
        <v>75</v>
      </c>
      <c r="V337" s="3"/>
      <c r="W337" s="3"/>
      <c r="X337" s="3"/>
      <c r="Y337" s="3"/>
      <c r="AA337" s="1374" t="s">
        <v>2706</v>
      </c>
      <c r="AB337" s="1374"/>
      <c r="AC337" s="1374"/>
      <c r="AD337" s="1374"/>
      <c r="AE337" s="1374"/>
      <c r="AF337" s="1374"/>
      <c r="AG337" s="1374"/>
      <c r="AH337" s="1374"/>
      <c r="AI337" s="1374"/>
      <c r="AJ337" s="1374"/>
      <c r="AK337" s="1374"/>
    </row>
    <row r="338" spans="1:66" ht="13.05" customHeight="1">
      <c r="B338" s="3" t="s">
        <v>87</v>
      </c>
      <c r="C338" s="3"/>
      <c r="D338" s="3"/>
      <c r="E338" s="3"/>
      <c r="F338" s="3"/>
      <c r="G338" s="3"/>
      <c r="H338" s="1374" t="s">
        <v>2761</v>
      </c>
      <c r="I338" s="1374"/>
      <c r="J338" s="1374"/>
      <c r="K338" s="1374"/>
      <c r="L338" s="1374"/>
      <c r="M338" s="1374"/>
      <c r="N338" s="1374"/>
      <c r="O338" s="1374"/>
      <c r="P338" s="1374"/>
      <c r="Q338" s="1374"/>
      <c r="R338" s="1374"/>
      <c r="T338" s="3" t="s">
        <v>87</v>
      </c>
      <c r="V338" s="3"/>
      <c r="W338" s="3"/>
      <c r="X338" s="3"/>
      <c r="Y338" s="3"/>
      <c r="AA338" s="1374" t="s">
        <v>2707</v>
      </c>
      <c r="AB338" s="1374"/>
      <c r="AC338" s="1374"/>
      <c r="AD338" s="1374"/>
      <c r="AE338" s="1374"/>
      <c r="AF338" s="1374"/>
      <c r="AG338" s="1374"/>
      <c r="AH338" s="1374"/>
      <c r="AI338" s="1374"/>
      <c r="AJ338" s="1374"/>
      <c r="AK338" s="1374"/>
    </row>
    <row r="339" spans="1:66" ht="13.05" customHeight="1">
      <c r="B339" s="3" t="s">
        <v>88</v>
      </c>
      <c r="C339" s="3"/>
      <c r="D339" s="3"/>
      <c r="E339" s="3"/>
      <c r="F339" s="3"/>
      <c r="G339" s="3"/>
      <c r="H339" s="1539" t="s">
        <v>2762</v>
      </c>
      <c r="I339" s="1540"/>
      <c r="J339" s="1540"/>
      <c r="K339" s="1540"/>
      <c r="L339" s="1540"/>
      <c r="M339" s="1540"/>
      <c r="N339" s="4" t="s">
        <v>207</v>
      </c>
      <c r="O339" s="4"/>
      <c r="P339" s="1536"/>
      <c r="Q339" s="1536"/>
      <c r="R339" s="1536"/>
      <c r="S339" s="3"/>
      <c r="T339" s="3" t="s">
        <v>88</v>
      </c>
      <c r="V339" s="3"/>
      <c r="W339" s="3"/>
      <c r="X339" s="3"/>
      <c r="Y339" s="3"/>
      <c r="AA339" s="1540" t="s">
        <v>2708</v>
      </c>
      <c r="AB339" s="1540"/>
      <c r="AC339" s="1540"/>
      <c r="AD339" s="1540"/>
      <c r="AE339" s="1540"/>
      <c r="AF339" s="1540"/>
      <c r="AG339" s="4" t="s">
        <v>207</v>
      </c>
      <c r="AH339" s="4"/>
      <c r="AI339" s="1536"/>
      <c r="AJ339" s="1536"/>
      <c r="AK339" s="1536"/>
    </row>
    <row r="340" spans="1:66" ht="13.05" customHeight="1">
      <c r="B340" s="3" t="s">
        <v>89</v>
      </c>
      <c r="C340" s="3"/>
      <c r="D340" s="3"/>
      <c r="E340" s="3"/>
      <c r="F340" s="3"/>
      <c r="G340" s="3"/>
      <c r="H340" s="1393"/>
      <c r="I340" s="1393"/>
      <c r="J340" s="1393"/>
      <c r="K340" s="1393"/>
      <c r="L340" s="1393"/>
      <c r="M340" s="1393"/>
      <c r="N340" s="4"/>
      <c r="O340" s="4"/>
      <c r="P340" s="35"/>
      <c r="Q340" s="35"/>
      <c r="R340" s="35"/>
      <c r="S340" s="3"/>
      <c r="T340" s="3" t="s">
        <v>89</v>
      </c>
      <c r="V340" s="3"/>
      <c r="W340" s="3"/>
      <c r="X340" s="3"/>
      <c r="Y340" s="3"/>
      <c r="AA340" s="1393"/>
      <c r="AB340" s="1393"/>
      <c r="AC340" s="1393"/>
      <c r="AD340" s="1393"/>
      <c r="AE340" s="1393"/>
      <c r="AF340" s="1393"/>
      <c r="AG340" s="4"/>
      <c r="AH340" s="4"/>
      <c r="AI340" s="35"/>
      <c r="AJ340" s="35"/>
      <c r="AK340" s="35"/>
    </row>
    <row r="341" spans="1:66" ht="13.05" customHeight="1">
      <c r="B341" s="3" t="s">
        <v>76</v>
      </c>
      <c r="C341" s="3"/>
      <c r="D341" s="3"/>
      <c r="E341" s="3"/>
      <c r="F341" s="3"/>
      <c r="G341" s="3"/>
      <c r="H341" s="1374" t="s">
        <v>2703</v>
      </c>
      <c r="I341" s="1374"/>
      <c r="J341" s="1374"/>
      <c r="K341" s="1374"/>
      <c r="L341" s="1374"/>
      <c r="M341" s="1374"/>
      <c r="N341" s="1405"/>
      <c r="O341" s="1405"/>
      <c r="P341" s="1405"/>
      <c r="Q341" s="1405"/>
      <c r="R341" s="1405"/>
      <c r="S341" s="3"/>
      <c r="T341" s="3" t="s">
        <v>76</v>
      </c>
      <c r="V341" s="3"/>
      <c r="W341" s="3"/>
      <c r="X341" s="3"/>
      <c r="Y341" s="3"/>
      <c r="AA341" s="1374" t="s">
        <v>2709</v>
      </c>
      <c r="AB341" s="1374"/>
      <c r="AC341" s="1374"/>
      <c r="AD341" s="1374"/>
      <c r="AE341" s="1374"/>
      <c r="AF341" s="1374"/>
      <c r="AG341" s="1405"/>
      <c r="AH341" s="1405"/>
      <c r="AI341" s="1405"/>
      <c r="AJ341" s="1405"/>
      <c r="AK341" s="1405"/>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05" customHeight="1">
      <c r="B343" s="3"/>
      <c r="C343" s="4"/>
      <c r="D343" s="4"/>
      <c r="E343" s="4"/>
      <c r="F343" s="4"/>
      <c r="I343" s="218" t="s">
        <v>900</v>
      </c>
      <c r="P343" s="1405"/>
      <c r="Q343" s="1405"/>
      <c r="R343" s="1405"/>
      <c r="S343" s="1405"/>
      <c r="T343" s="1405"/>
      <c r="U343" s="1405"/>
      <c r="V343" s="1405"/>
      <c r="W343" s="1405"/>
      <c r="X343" s="1405"/>
      <c r="Y343" s="1405"/>
      <c r="Z343" s="1405"/>
      <c r="AA343" s="1405"/>
      <c r="AB343" s="1405"/>
      <c r="AC343" s="1405"/>
      <c r="AD343" s="1405"/>
      <c r="AE343" s="1405"/>
      <c r="BN343" t="s">
        <v>677</v>
      </c>
    </row>
    <row r="344" spans="1:66" ht="13.05" customHeight="1">
      <c r="B344" s="4"/>
      <c r="C344" s="4"/>
      <c r="D344" s="4"/>
      <c r="E344" s="4"/>
      <c r="F344" s="4"/>
      <c r="I344" s="4" t="s">
        <v>479</v>
      </c>
      <c r="P344" s="1374"/>
      <c r="Q344" s="1374"/>
      <c r="R344" s="1374"/>
      <c r="S344" s="1374"/>
      <c r="T344" s="1374"/>
      <c r="U344" s="1374"/>
      <c r="V344" s="1374"/>
      <c r="W344" s="1374"/>
      <c r="X344" s="1374"/>
      <c r="Y344" s="1374"/>
      <c r="Z344" s="1374"/>
      <c r="AA344" s="1374"/>
      <c r="AB344" s="1374"/>
      <c r="AC344" s="1374"/>
      <c r="AD344" s="1374"/>
      <c r="AE344" s="1374"/>
      <c r="BN344" t="s">
        <v>553</v>
      </c>
    </row>
    <row r="345" spans="1:66" ht="13.05" customHeight="1">
      <c r="B345" s="4"/>
      <c r="C345" s="4"/>
      <c r="D345" s="4"/>
      <c r="E345" s="4"/>
      <c r="F345" s="4"/>
      <c r="I345" s="4" t="s">
        <v>75</v>
      </c>
      <c r="P345" s="1374"/>
      <c r="Q345" s="1374"/>
      <c r="R345" s="1374"/>
      <c r="S345" s="1374"/>
      <c r="T345" s="1374"/>
      <c r="U345" s="1374"/>
      <c r="V345" s="1374"/>
      <c r="W345" s="1374"/>
      <c r="X345" s="1374"/>
      <c r="Y345" s="1374"/>
      <c r="Z345" s="1374"/>
      <c r="AA345" s="1374"/>
      <c r="AB345" s="1374"/>
      <c r="AC345" s="1374"/>
      <c r="AD345" s="1374"/>
      <c r="AE345" s="1374"/>
    </row>
    <row r="346" spans="1:66" ht="13.05" customHeight="1">
      <c r="B346" s="4"/>
      <c r="C346" s="4"/>
      <c r="D346" s="4"/>
      <c r="E346" s="4"/>
      <c r="F346" s="4"/>
      <c r="G346" s="4"/>
      <c r="I346" s="4" t="s">
        <v>87</v>
      </c>
      <c r="P346" s="1374"/>
      <c r="Q346" s="1374"/>
      <c r="R346" s="1374"/>
      <c r="S346" s="1374"/>
      <c r="T346" s="1374"/>
      <c r="U346" s="1374"/>
      <c r="V346" s="1374"/>
      <c r="W346" s="1374"/>
      <c r="X346" s="1374"/>
      <c r="Y346" s="1374"/>
      <c r="Z346" s="1374"/>
      <c r="AA346" s="1374"/>
      <c r="AB346" s="1374"/>
      <c r="AC346" s="1374"/>
      <c r="AD346" s="1374"/>
      <c r="AE346" s="1374"/>
    </row>
    <row r="347" spans="1:66" ht="13.05" customHeight="1">
      <c r="B347" s="4"/>
      <c r="C347" s="4"/>
      <c r="D347" s="4"/>
      <c r="E347" s="4"/>
      <c r="F347" s="4"/>
      <c r="G347" s="4"/>
      <c r="H347" s="324"/>
      <c r="I347" s="4" t="s">
        <v>88</v>
      </c>
      <c r="P347" s="1393"/>
      <c r="Q347" s="1393"/>
      <c r="R347" s="1393"/>
      <c r="S347" s="1393"/>
      <c r="T347" s="1393"/>
      <c r="U347" s="1393"/>
      <c r="V347" s="1393"/>
      <c r="W347" s="1393"/>
      <c r="X347" s="1393"/>
      <c r="Y347" s="1393"/>
      <c r="Z347" s="1393"/>
      <c r="AA347" s="4" t="s">
        <v>207</v>
      </c>
      <c r="AB347" s="4"/>
      <c r="AC347" s="1372"/>
      <c r="AD347" s="1372"/>
      <c r="AE347" s="1372"/>
      <c r="AF347" s="324"/>
      <c r="AG347" s="4"/>
      <c r="AH347" s="4"/>
      <c r="AI347" s="4"/>
      <c r="AJ347" s="4"/>
      <c r="AK347" s="4"/>
    </row>
    <row r="348" spans="1:66" ht="13.05" customHeight="1">
      <c r="B348" s="4"/>
      <c r="C348" s="4"/>
      <c r="D348" s="4"/>
      <c r="E348" s="4"/>
      <c r="F348" s="4"/>
      <c r="G348" s="4"/>
      <c r="H348" s="324"/>
      <c r="I348" s="4" t="s">
        <v>89</v>
      </c>
      <c r="P348" s="1393"/>
      <c r="Q348" s="1393"/>
      <c r="R348" s="1393"/>
      <c r="S348" s="1393"/>
      <c r="T348" s="1393"/>
      <c r="U348" s="1393"/>
      <c r="V348" s="1393"/>
      <c r="W348" s="1393"/>
      <c r="X348" s="1393"/>
      <c r="Y348" s="1393"/>
      <c r="Z348" s="1393"/>
      <c r="AF348" s="324"/>
      <c r="AG348" s="4"/>
      <c r="AH348" s="4"/>
      <c r="AI348" s="35"/>
      <c r="AJ348" s="35"/>
      <c r="AK348" s="35"/>
    </row>
    <row r="349" spans="1:66" ht="13.05" customHeight="1">
      <c r="B349" s="4"/>
      <c r="C349" s="4"/>
      <c r="D349" s="4"/>
      <c r="E349" s="4"/>
      <c r="F349" s="4"/>
      <c r="G349" s="4"/>
      <c r="I349" s="4" t="s">
        <v>76</v>
      </c>
      <c r="P349" s="1405"/>
      <c r="Q349" s="1405"/>
      <c r="R349" s="1405"/>
      <c r="S349" s="1405"/>
      <c r="T349" s="1405"/>
      <c r="U349" s="1405"/>
      <c r="V349" s="1405"/>
      <c r="W349" s="1405"/>
      <c r="X349" s="1405"/>
      <c r="Y349" s="1405"/>
      <c r="Z349" s="1405"/>
      <c r="AA349" s="1405"/>
      <c r="AB349" s="1405"/>
      <c r="AC349" s="1405"/>
      <c r="AD349" s="1405"/>
      <c r="AE349" s="1405"/>
    </row>
    <row r="350" spans="1:66" ht="13.05" customHeight="1">
      <c r="T350" s="8"/>
      <c r="U350" s="8"/>
      <c r="V350" s="8"/>
      <c r="W350" s="8"/>
      <c r="X350" s="8"/>
      <c r="Y350" s="8"/>
      <c r="Z350" s="8"/>
      <c r="AU350" s="95"/>
      <c r="AV350" s="95"/>
      <c r="AW350" s="95"/>
      <c r="AX350" s="95"/>
      <c r="AY350" s="95"/>
    </row>
    <row r="351" spans="1:66" ht="13.05" customHeight="1">
      <c r="A351" s="1674" t="s">
        <v>550</v>
      </c>
      <c r="B351" s="1674"/>
      <c r="C351" s="1674"/>
      <c r="D351" s="1674"/>
      <c r="E351" s="1674"/>
      <c r="F351" s="1674"/>
      <c r="G351" s="1674"/>
      <c r="H351" s="1674"/>
      <c r="I351" s="1674"/>
      <c r="J351" s="1674"/>
      <c r="K351" s="1674"/>
      <c r="L351" s="1674"/>
      <c r="M351" s="1674"/>
      <c r="N351" s="1674"/>
      <c r="O351" s="1674"/>
      <c r="P351" s="1674"/>
      <c r="Q351" s="1674"/>
      <c r="R351" s="1674"/>
      <c r="S351" s="1674"/>
      <c r="T351" s="1674"/>
      <c r="U351" s="1674"/>
      <c r="V351" s="1674"/>
      <c r="W351" s="1674"/>
      <c r="X351" s="1674"/>
      <c r="Y351" s="1674"/>
      <c r="Z351" s="1674"/>
      <c r="AA351" s="1674"/>
      <c r="AB351" s="1674"/>
      <c r="AC351" s="1674"/>
      <c r="AD351" s="1674"/>
      <c r="AE351" s="1674"/>
      <c r="AF351" s="1674"/>
      <c r="AG351" s="1674"/>
      <c r="AH351" s="1674"/>
      <c r="AI351" s="1674"/>
      <c r="AJ351" s="1674"/>
      <c r="AK351" s="1674"/>
      <c r="AL351" s="1674"/>
      <c r="AM351" s="1674"/>
      <c r="AN351" s="1674"/>
      <c r="AO351" s="1674"/>
      <c r="AP351" s="1674"/>
      <c r="AQ351" s="1674"/>
      <c r="AR351" s="1674"/>
      <c r="AS351" s="1674"/>
      <c r="AT351" s="1674"/>
      <c r="AU351" s="95"/>
      <c r="AV351" s="95"/>
      <c r="AW351" s="95"/>
      <c r="AX351" s="95"/>
      <c r="AY351" s="95"/>
    </row>
    <row r="352" spans="1:66" ht="13.05" customHeight="1">
      <c r="A352" s="1674"/>
      <c r="B352" s="1674"/>
      <c r="C352" s="1674"/>
      <c r="D352" s="1674"/>
      <c r="E352" s="1674"/>
      <c r="F352" s="1674"/>
      <c r="G352" s="1674"/>
      <c r="H352" s="1674"/>
      <c r="I352" s="1674"/>
      <c r="J352" s="1674"/>
      <c r="K352" s="1674"/>
      <c r="L352" s="1674"/>
      <c r="M352" s="1674"/>
      <c r="N352" s="1674"/>
      <c r="O352" s="1674"/>
      <c r="P352" s="1674"/>
      <c r="Q352" s="1674"/>
      <c r="R352" s="1674"/>
      <c r="S352" s="1674"/>
      <c r="T352" s="1674"/>
      <c r="U352" s="1674"/>
      <c r="V352" s="1674"/>
      <c r="W352" s="1674"/>
      <c r="X352" s="1674"/>
      <c r="Y352" s="1674"/>
      <c r="Z352" s="1674"/>
      <c r="AA352" s="1674"/>
      <c r="AB352" s="1674"/>
      <c r="AC352" s="1674"/>
      <c r="AD352" s="1674"/>
      <c r="AE352" s="1674"/>
      <c r="AF352" s="1674"/>
      <c r="AG352" s="1674"/>
      <c r="AH352" s="1674"/>
      <c r="AI352" s="1674"/>
      <c r="AJ352" s="1674"/>
      <c r="AK352" s="1674"/>
      <c r="AL352" s="1674"/>
      <c r="AM352" s="1674"/>
      <c r="AN352" s="1674"/>
      <c r="AO352" s="1674"/>
      <c r="AP352" s="1674"/>
      <c r="AQ352" s="1674"/>
      <c r="AR352" s="1674"/>
      <c r="AS352" s="1674"/>
      <c r="AT352" s="1674"/>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320</v>
      </c>
      <c r="B354" s="2"/>
      <c r="C354" s="2" t="s">
        <v>791</v>
      </c>
    </row>
    <row r="355" spans="1:46" ht="13.05" customHeight="1">
      <c r="D355" s="3" t="s">
        <v>2413</v>
      </c>
      <c r="M355" s="1461" t="s">
        <v>553</v>
      </c>
      <c r="N355" s="1461"/>
      <c r="P355" t="s">
        <v>1763</v>
      </c>
      <c r="AJ355" s="1461" t="s">
        <v>599</v>
      </c>
      <c r="AK355" s="1461"/>
    </row>
    <row r="356" spans="1:46" ht="13.05" customHeight="1">
      <c r="D356" s="3" t="s">
        <v>1752</v>
      </c>
      <c r="M356" s="1461" t="s">
        <v>599</v>
      </c>
      <c r="N356" s="1461"/>
      <c r="P356" s="3" t="s">
        <v>1909</v>
      </c>
      <c r="AJ356" s="1450">
        <v>0</v>
      </c>
      <c r="AK356" s="1450"/>
    </row>
    <row r="357" spans="1:46" ht="13.05" customHeight="1">
      <c r="D357" s="3" t="s">
        <v>713</v>
      </c>
      <c r="M357" s="1461" t="s">
        <v>599</v>
      </c>
      <c r="N357" s="1461"/>
      <c r="P357" t="s">
        <v>1762</v>
      </c>
      <c r="AJ357" s="1461" t="s">
        <v>599</v>
      </c>
      <c r="AK357" s="1461"/>
    </row>
    <row r="358" spans="1:46" ht="13.05" customHeight="1">
      <c r="D358" s="3" t="s">
        <v>714</v>
      </c>
      <c r="M358" s="1461" t="s">
        <v>599</v>
      </c>
      <c r="N358" s="1461"/>
      <c r="Q358" s="4"/>
    </row>
    <row r="359" spans="1:46" ht="13.05" customHeight="1">
      <c r="Q359" s="4"/>
    </row>
    <row r="360" spans="1:46" ht="13.05" customHeight="1">
      <c r="Q360" s="4"/>
    </row>
    <row r="361" spans="1:46" ht="13.05" customHeight="1">
      <c r="A361" s="2" t="s">
        <v>584</v>
      </c>
      <c r="B361" s="2"/>
      <c r="C361" s="2" t="s">
        <v>560</v>
      </c>
      <c r="D361" s="2"/>
    </row>
    <row r="362" spans="1:46" ht="13.0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186</v>
      </c>
      <c r="E363" s="40"/>
      <c r="F363" s="40"/>
      <c r="G363" s="40"/>
      <c r="H363" s="40"/>
      <c r="I363" s="40"/>
      <c r="J363" s="40"/>
      <c r="K363" s="40"/>
      <c r="L363" s="40"/>
      <c r="M363" s="40"/>
      <c r="N363" s="1461" t="s">
        <v>599</v>
      </c>
      <c r="O363" s="1461"/>
      <c r="P363" s="40"/>
      <c r="Q363" s="40"/>
      <c r="R363" s="40"/>
      <c r="S363" s="40"/>
      <c r="T363" s="40"/>
      <c r="U363" s="40"/>
      <c r="V363" s="40"/>
      <c r="W363" s="40"/>
      <c r="X363" s="40"/>
      <c r="Y363" s="40"/>
      <c r="Z363" s="40"/>
      <c r="AC363" s="40"/>
      <c r="AD363" s="40"/>
      <c r="AE363" s="40"/>
    </row>
    <row r="364" spans="1:46" ht="13.05" customHeight="1">
      <c r="E364" t="s">
        <v>371</v>
      </c>
      <c r="Y364" s="1461" t="s">
        <v>599</v>
      </c>
      <c r="Z364" s="1461"/>
    </row>
    <row r="365" spans="1:46" ht="13.05" customHeight="1">
      <c r="D365" s="4" t="s">
        <v>997</v>
      </c>
      <c r="Q365" s="1405"/>
      <c r="R365" s="1405"/>
      <c r="S365" s="1405"/>
      <c r="T365" s="1405"/>
      <c r="U365" s="1405"/>
      <c r="V365" s="1405"/>
      <c r="W365" s="1405"/>
      <c r="X365" s="1405"/>
      <c r="Y365" s="1405"/>
      <c r="Z365" s="1405"/>
      <c r="AA365" s="1405"/>
      <c r="AB365" s="1405"/>
      <c r="AC365" s="1405"/>
      <c r="AD365" s="1405"/>
      <c r="AE365" s="1405"/>
      <c r="AF365" s="1405"/>
      <c r="AG365" s="1405"/>
    </row>
    <row r="366" spans="1:46" ht="13.0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189</v>
      </c>
      <c r="E367" s="40"/>
      <c r="F367" s="40"/>
      <c r="G367" s="40"/>
      <c r="H367" s="40"/>
      <c r="I367" s="40"/>
      <c r="J367" s="1461" t="s">
        <v>599</v>
      </c>
      <c r="K367" s="1461"/>
      <c r="L367" s="40"/>
      <c r="M367" s="40"/>
      <c r="N367" s="40"/>
      <c r="O367" s="40"/>
      <c r="P367" s="40"/>
      <c r="Q367" s="40"/>
      <c r="R367" s="40"/>
      <c r="S367" s="40"/>
      <c r="T367" s="40"/>
      <c r="U367" s="40"/>
      <c r="V367" s="40"/>
      <c r="W367" s="40"/>
      <c r="X367" s="40"/>
      <c r="Y367" s="40"/>
      <c r="Z367" s="40"/>
      <c r="AC367" s="40"/>
      <c r="AD367" s="40"/>
      <c r="AE367" s="40"/>
    </row>
    <row r="368" spans="1:46" ht="13.05" customHeight="1">
      <c r="E368" s="1553" t="s">
        <v>715</v>
      </c>
      <c r="F368" s="1553"/>
      <c r="G368" s="1553"/>
      <c r="H368" s="1553"/>
      <c r="I368" s="1553"/>
      <c r="J368" s="1553"/>
      <c r="K368" s="1553"/>
      <c r="L368" s="1553"/>
      <c r="M368" s="1553"/>
      <c r="N368" s="1553"/>
      <c r="O368" s="1553"/>
      <c r="P368" s="1553"/>
      <c r="Q368" s="1553"/>
      <c r="R368" s="1553"/>
      <c r="S368" s="1553"/>
      <c r="T368" s="1553"/>
      <c r="U368" s="1553"/>
      <c r="V368" s="1553"/>
      <c r="W368" s="1553"/>
      <c r="X368" s="1553"/>
      <c r="Y368" s="1553"/>
      <c r="Z368" s="1553"/>
      <c r="AA368" s="1553"/>
      <c r="AB368" s="1553"/>
      <c r="AC368" s="1553"/>
      <c r="AD368" s="1553"/>
      <c r="AE368" s="1553"/>
      <c r="AF368" s="1553"/>
      <c r="AG368" s="1553"/>
      <c r="AH368" s="1553"/>
    </row>
    <row r="369" spans="1:34" ht="13.05" customHeight="1">
      <c r="E369" s="1553"/>
      <c r="F369" s="1553"/>
      <c r="G369" s="1553"/>
      <c r="H369" s="1553"/>
      <c r="I369" s="1553"/>
      <c r="J369" s="1553"/>
      <c r="K369" s="1553"/>
      <c r="L369" s="1553"/>
      <c r="M369" s="1553"/>
      <c r="N369" s="1553"/>
      <c r="O369" s="1553"/>
      <c r="P369" s="1553"/>
      <c r="Q369" s="1553"/>
      <c r="R369" s="1553"/>
      <c r="S369" s="1553"/>
      <c r="T369" s="1553"/>
      <c r="U369" s="1553"/>
      <c r="V369" s="1553"/>
      <c r="W369" s="1553"/>
      <c r="X369" s="1553"/>
      <c r="Y369" s="1553"/>
      <c r="Z369" s="1553"/>
      <c r="AA369" s="1553"/>
      <c r="AB369" s="1553"/>
      <c r="AC369" s="1553"/>
      <c r="AD369" s="1553"/>
      <c r="AE369" s="1553"/>
      <c r="AF369" s="1553"/>
      <c r="AG369" s="1553"/>
      <c r="AH369" s="1553"/>
    </row>
    <row r="370" spans="1:34" ht="13.05" customHeight="1">
      <c r="E370" s="4" t="s">
        <v>456</v>
      </c>
      <c r="F370" s="4"/>
      <c r="G370" s="4"/>
      <c r="H370" s="4"/>
      <c r="I370" s="4"/>
      <c r="J370" s="4"/>
      <c r="K370" s="4"/>
      <c r="L370" s="4"/>
      <c r="N370" s="1456"/>
      <c r="O370" s="1456"/>
      <c r="P370" s="1456"/>
      <c r="Q370" s="1456"/>
      <c r="R370" s="4"/>
      <c r="U370" s="4" t="s">
        <v>457</v>
      </c>
      <c r="V370" s="4"/>
      <c r="W370" s="4"/>
      <c r="X370" s="4"/>
      <c r="Y370" s="4"/>
      <c r="Z370" s="4"/>
      <c r="AA370" s="4"/>
      <c r="AB370" s="4"/>
      <c r="AC370" s="1456"/>
      <c r="AD370" s="1456"/>
      <c r="AE370" s="1456"/>
      <c r="AF370" s="1456"/>
    </row>
    <row r="371" spans="1:34" ht="13.05" customHeight="1">
      <c r="E371" s="4" t="s">
        <v>458</v>
      </c>
      <c r="F371" s="4"/>
      <c r="G371" s="4"/>
      <c r="H371" s="4"/>
      <c r="I371" s="4"/>
      <c r="J371" s="4"/>
      <c r="K371" s="4"/>
      <c r="L371" s="4"/>
      <c r="N371" s="1456"/>
      <c r="O371" s="1456"/>
      <c r="P371" s="1456"/>
      <c r="Q371" s="1456"/>
      <c r="R371" s="4"/>
      <c r="U371" s="4" t="s">
        <v>0</v>
      </c>
      <c r="V371" s="4"/>
      <c r="W371" s="4"/>
      <c r="X371" s="4"/>
      <c r="Y371" s="4"/>
      <c r="Z371" s="4"/>
      <c r="AA371" s="4"/>
      <c r="AB371" s="4"/>
      <c r="AC371" s="1456"/>
      <c r="AD371" s="1456"/>
      <c r="AE371" s="1456"/>
      <c r="AF371" s="1456"/>
    </row>
    <row r="372" spans="1:34" ht="13.05" customHeight="1">
      <c r="E372" s="4" t="s">
        <v>1</v>
      </c>
      <c r="F372" s="4"/>
      <c r="G372" s="4"/>
      <c r="H372" s="4"/>
      <c r="I372" s="4"/>
      <c r="J372" s="4"/>
      <c r="K372" s="4"/>
      <c r="L372" s="4"/>
      <c r="N372" s="1456"/>
      <c r="O372" s="1456"/>
      <c r="P372" s="1456"/>
      <c r="Q372" s="1456"/>
      <c r="R372" s="4"/>
      <c r="V372" s="4"/>
      <c r="W372" s="4"/>
      <c r="X372" s="4"/>
      <c r="Y372" s="4"/>
      <c r="Z372" s="4"/>
      <c r="AA372" s="4"/>
      <c r="AB372" s="4"/>
    </row>
    <row r="373" spans="1:34" ht="13.05" customHeight="1">
      <c r="E373" s="4" t="s">
        <v>2</v>
      </c>
      <c r="F373" s="4"/>
      <c r="G373" s="4"/>
      <c r="H373" s="4"/>
      <c r="I373" s="4"/>
      <c r="J373" s="4"/>
      <c r="K373" s="4"/>
      <c r="L373" s="4"/>
      <c r="N373" s="1499"/>
      <c r="O373" s="1499"/>
      <c r="P373" s="1499"/>
      <c r="Q373" s="1499"/>
      <c r="R373" s="1499"/>
      <c r="S373" s="1499"/>
      <c r="T373" s="1499"/>
      <c r="U373" s="1499"/>
      <c r="V373" s="1499"/>
      <c r="W373" s="1499"/>
      <c r="X373" s="1499"/>
      <c r="Y373" s="1499"/>
      <c r="Z373" s="1499"/>
      <c r="AA373" s="1499"/>
      <c r="AB373" s="1499"/>
      <c r="AC373" s="1499"/>
      <c r="AD373" s="1499"/>
      <c r="AE373" s="1499"/>
      <c r="AF373" s="1499"/>
    </row>
    <row r="374" spans="1:34" ht="13.05" customHeight="1">
      <c r="E374" s="4"/>
      <c r="F374" s="4"/>
      <c r="G374" s="4"/>
      <c r="H374" s="4"/>
      <c r="I374" s="4"/>
      <c r="J374" s="4"/>
      <c r="K374" s="4"/>
      <c r="L374" s="4"/>
      <c r="N374" s="1500"/>
      <c r="O374" s="1500"/>
      <c r="P374" s="1500"/>
      <c r="Q374" s="1500"/>
      <c r="R374" s="1500"/>
      <c r="S374" s="1500"/>
      <c r="T374" s="1500"/>
      <c r="U374" s="1500"/>
      <c r="V374" s="1500"/>
      <c r="W374" s="1500"/>
      <c r="X374" s="1500"/>
      <c r="Y374" s="1500"/>
      <c r="Z374" s="1500"/>
      <c r="AA374" s="1500"/>
      <c r="AB374" s="1500"/>
      <c r="AC374" s="1500"/>
      <c r="AD374" s="1500"/>
      <c r="AE374" s="1500"/>
      <c r="AF374" s="1500"/>
    </row>
    <row r="375" spans="1:34" ht="13.05" customHeight="1">
      <c r="C375" s="546"/>
      <c r="E375" s="4"/>
      <c r="F375" s="4"/>
      <c r="G375" s="4"/>
      <c r="H375" s="4"/>
      <c r="I375" s="4"/>
      <c r="J375" s="4"/>
      <c r="K375" s="4"/>
      <c r="L375" s="4"/>
    </row>
    <row r="376" spans="1:34" ht="13.05" customHeight="1">
      <c r="D376" s="2" t="s">
        <v>994</v>
      </c>
      <c r="E376" s="2"/>
      <c r="F376" s="4"/>
      <c r="G376" s="4"/>
      <c r="H376" s="4"/>
      <c r="I376" s="4"/>
      <c r="J376" s="4"/>
      <c r="K376" s="4"/>
      <c r="L376" s="4"/>
    </row>
    <row r="377" spans="1:34" ht="13.05" customHeight="1">
      <c r="E377" s="4" t="s">
        <v>2397</v>
      </c>
      <c r="F377" s="4"/>
      <c r="G377" s="4"/>
      <c r="H377" s="4"/>
      <c r="I377" s="4"/>
      <c r="J377" s="4"/>
      <c r="K377" s="4"/>
      <c r="L377" s="4"/>
      <c r="N377" t="s">
        <v>2392</v>
      </c>
      <c r="R377" s="27" t="s">
        <v>306</v>
      </c>
      <c r="S377" s="1503"/>
      <c r="T377" s="1503"/>
      <c r="U377" s="1" t="s">
        <v>307</v>
      </c>
      <c r="V377" s="1503"/>
      <c r="W377" s="1503"/>
      <c r="Y377" t="s">
        <v>2392</v>
      </c>
      <c r="AC377" s="27" t="s">
        <v>306</v>
      </c>
      <c r="AD377" s="1503"/>
      <c r="AE377" s="1503"/>
      <c r="AF377" s="1" t="s">
        <v>307</v>
      </c>
      <c r="AG377" s="1503"/>
      <c r="AH377" s="1503"/>
    </row>
    <row r="378" spans="1:34" ht="13.05" customHeight="1">
      <c r="E378" s="4" t="s">
        <v>1011</v>
      </c>
      <c r="F378" s="4"/>
      <c r="G378" s="4"/>
      <c r="H378" s="4"/>
      <c r="I378" s="4"/>
      <c r="J378" s="4"/>
      <c r="K378" s="4"/>
      <c r="L378" s="4"/>
      <c r="N378" s="1503"/>
      <c r="O378" s="1503"/>
      <c r="P378" s="1503"/>
    </row>
    <row r="379" spans="1:34" ht="13.05" customHeight="1">
      <c r="E379" s="218" t="s">
        <v>2398</v>
      </c>
      <c r="F379" s="4"/>
      <c r="G379" s="4"/>
      <c r="H379" s="4"/>
      <c r="I379" s="4"/>
      <c r="J379" s="4"/>
      <c r="K379" s="4"/>
      <c r="L379" s="4"/>
      <c r="AG379" s="1548" t="s">
        <v>599</v>
      </c>
      <c r="AH379" s="1548"/>
    </row>
    <row r="380" spans="1:34" ht="13.05" customHeight="1">
      <c r="E380" s="4"/>
      <c r="F380" s="4"/>
      <c r="G380" s="4" t="s">
        <v>2399</v>
      </c>
      <c r="H380" s="4"/>
      <c r="I380" s="4"/>
      <c r="J380" s="4"/>
      <c r="K380" s="4"/>
      <c r="L380" s="4"/>
      <c r="AG380" s="1548" t="s">
        <v>599</v>
      </c>
      <c r="AH380" s="1548"/>
    </row>
    <row r="381" spans="1:34" ht="13.05" customHeight="1">
      <c r="E381" s="4"/>
      <c r="F381" s="4"/>
      <c r="G381" s="348" t="s">
        <v>1012</v>
      </c>
      <c r="H381" s="4"/>
      <c r="I381" s="4"/>
      <c r="J381" s="4"/>
      <c r="K381" s="4"/>
      <c r="L381" s="4"/>
      <c r="V381" s="1461" t="s">
        <v>599</v>
      </c>
      <c r="W381" s="1461"/>
      <c r="Y381" s="22" t="s">
        <v>999</v>
      </c>
    </row>
    <row r="382" spans="1:34" ht="13.05" customHeight="1">
      <c r="E382" s="4" t="s">
        <v>1000</v>
      </c>
      <c r="F382" s="4"/>
      <c r="G382" s="4"/>
      <c r="H382" s="4"/>
      <c r="I382" s="4"/>
      <c r="J382" s="4"/>
      <c r="K382" s="4"/>
      <c r="L382" s="4"/>
      <c r="V382" s="1461" t="s">
        <v>599</v>
      </c>
      <c r="W382" s="1461"/>
      <c r="Y382" s="4" t="s">
        <v>1001</v>
      </c>
    </row>
    <row r="383" spans="1:34" ht="13.05" customHeight="1"/>
    <row r="384" spans="1:34" ht="13.05" customHeight="1">
      <c r="A384" s="2" t="s">
        <v>78</v>
      </c>
      <c r="B384" s="2"/>
    </row>
    <row r="385" spans="4:36" ht="13.05" customHeight="1">
      <c r="D385" t="s">
        <v>429</v>
      </c>
      <c r="J385" s="1405" t="s">
        <v>2713</v>
      </c>
      <c r="K385" s="1405"/>
      <c r="L385" s="1405"/>
      <c r="M385" s="1405"/>
      <c r="N385" s="1405"/>
      <c r="O385" s="1405"/>
      <c r="P385" s="1405"/>
      <c r="Q385" s="1405"/>
      <c r="R385" s="1405"/>
      <c r="S385" s="1405"/>
      <c r="T385" s="1405"/>
      <c r="U385" s="1405"/>
      <c r="V385" s="8" t="s">
        <v>83</v>
      </c>
      <c r="W385" s="8"/>
      <c r="X385" s="8"/>
      <c r="Y385" s="8"/>
      <c r="Z385" s="8"/>
      <c r="AA385" s="8"/>
      <c r="AB385" s="8"/>
      <c r="AC385" s="1405" t="s">
        <v>2710</v>
      </c>
      <c r="AD385" s="1405"/>
      <c r="AE385" s="1405"/>
      <c r="AF385" s="1405"/>
      <c r="AG385" s="1405"/>
      <c r="AH385" s="1405"/>
      <c r="AI385" s="1405"/>
      <c r="AJ385" s="1405"/>
    </row>
    <row r="386" spans="4:36" ht="13.05" customHeight="1">
      <c r="D386" s="3" t="s">
        <v>1288</v>
      </c>
      <c r="J386" s="1374" t="s">
        <v>2710</v>
      </c>
      <c r="K386" s="1374"/>
      <c r="L386" s="1374"/>
      <c r="M386" s="1374"/>
      <c r="N386" s="1374"/>
      <c r="O386" s="1374"/>
      <c r="P386" s="1374"/>
      <c r="Q386" s="1374"/>
      <c r="R386" s="1374"/>
      <c r="S386" s="1374"/>
      <c r="T386" s="1374"/>
      <c r="U386" s="1374"/>
      <c r="V386" s="3" t="s">
        <v>1288</v>
      </c>
      <c r="W386" s="8"/>
      <c r="X386" s="8"/>
      <c r="Y386" s="8"/>
      <c r="Z386" s="8"/>
      <c r="AA386" s="8"/>
      <c r="AB386" s="8"/>
      <c r="AC386" s="1405"/>
      <c r="AD386" s="1405"/>
      <c r="AE386" s="1405"/>
      <c r="AF386" s="1405"/>
      <c r="AG386" s="1405"/>
      <c r="AH386" s="1405"/>
      <c r="AI386" s="1405"/>
      <c r="AJ386" s="1405"/>
    </row>
    <row r="387" spans="4:36" ht="13.05" customHeight="1">
      <c r="D387" s="3" t="s">
        <v>443</v>
      </c>
      <c r="J387" s="1374" t="s">
        <v>2711</v>
      </c>
      <c r="K387" s="1374"/>
      <c r="L387" s="1374"/>
      <c r="M387" s="1374"/>
      <c r="N387" s="1374"/>
      <c r="O387" s="1374"/>
      <c r="P387" s="1374"/>
      <c r="Q387" s="1374"/>
      <c r="R387" s="1374"/>
      <c r="S387" s="1374"/>
      <c r="T387" s="1374"/>
      <c r="U387" s="1374"/>
      <c r="V387" s="3" t="s">
        <v>443</v>
      </c>
      <c r="W387" s="8"/>
      <c r="X387" s="8"/>
      <c r="Y387" s="8"/>
      <c r="Z387" s="8"/>
      <c r="AA387" s="8"/>
      <c r="AB387" s="8"/>
      <c r="AC387" s="1405" t="str">
        <f>J387</f>
        <v>Authorized Signatory</v>
      </c>
      <c r="AD387" s="1405"/>
      <c r="AE387" s="1405"/>
      <c r="AF387" s="1405"/>
      <c r="AG387" s="1405"/>
      <c r="AH387" s="1405"/>
      <c r="AI387" s="1405"/>
      <c r="AJ387" s="1405"/>
    </row>
    <row r="388" spans="4:36" ht="13.05" customHeight="1">
      <c r="D388" t="s">
        <v>1284</v>
      </c>
      <c r="J388" s="1444" t="s">
        <v>2712</v>
      </c>
      <c r="K388" s="1444"/>
      <c r="L388" s="1444"/>
      <c r="M388" s="1444"/>
      <c r="N388" s="1444"/>
      <c r="O388" s="1444"/>
      <c r="P388" s="1444"/>
      <c r="Q388" s="1444"/>
      <c r="R388" s="1444"/>
      <c r="S388" s="1444"/>
      <c r="T388" s="1444"/>
      <c r="U388" s="1444"/>
      <c r="V388" s="1405"/>
      <c r="W388" s="1405"/>
      <c r="X388" s="1405"/>
      <c r="Y388" s="1405"/>
      <c r="Z388" s="1405"/>
      <c r="AA388" s="1405"/>
      <c r="AB388" s="1405"/>
      <c r="AC388" s="1405"/>
      <c r="AD388" s="1405"/>
      <c r="AE388" s="1405"/>
      <c r="AF388" s="1405"/>
      <c r="AG388" s="1405"/>
      <c r="AH388" s="1405"/>
      <c r="AI388" s="1405"/>
      <c r="AJ388" s="1405"/>
    </row>
    <row r="389" spans="4:36" ht="13.05" customHeight="1">
      <c r="D389" t="s">
        <v>4</v>
      </c>
      <c r="Q389" s="1691">
        <v>44922</v>
      </c>
      <c r="R389" s="1691"/>
      <c r="S389" s="1691"/>
      <c r="T389" s="1691"/>
      <c r="U389" s="1691"/>
      <c r="V389" t="s">
        <v>310</v>
      </c>
      <c r="AI389" s="1461" t="s">
        <v>553</v>
      </c>
      <c r="AJ389" s="1461"/>
    </row>
    <row r="390" spans="4:36" ht="13.05" customHeight="1">
      <c r="D390" t="s">
        <v>5</v>
      </c>
      <c r="Q390" s="1687">
        <v>45838</v>
      </c>
      <c r="R390" s="1688"/>
      <c r="S390" s="1688"/>
      <c r="T390" s="1688"/>
      <c r="U390" s="1688"/>
      <c r="W390" s="21" t="s">
        <v>74</v>
      </c>
      <c r="AG390" s="1443"/>
      <c r="AH390" s="1443"/>
      <c r="AI390" s="1443"/>
      <c r="AJ390" s="1443"/>
    </row>
    <row r="391" spans="4:36" ht="13.05" customHeight="1">
      <c r="D391" t="s">
        <v>428</v>
      </c>
      <c r="Q391" s="1686">
        <v>1957627</v>
      </c>
      <c r="R391" s="1686"/>
      <c r="S391" s="1686"/>
      <c r="T391" s="1686"/>
      <c r="U391" s="1686"/>
      <c r="V391" s="3" t="s">
        <v>1287</v>
      </c>
      <c r="AG391" s="1546">
        <v>45960</v>
      </c>
      <c r="AH391" s="1546"/>
      <c r="AI391" s="1546"/>
      <c r="AJ391" s="1546"/>
    </row>
    <row r="392" spans="4:36" ht="13.05" customHeight="1">
      <c r="D392" t="s">
        <v>88</v>
      </c>
      <c r="I392" s="1540"/>
      <c r="J392" s="1540"/>
      <c r="K392" s="1540"/>
      <c r="L392" s="1540"/>
      <c r="M392" s="1540"/>
      <c r="N392" s="1540"/>
      <c r="Q392" s="4" t="s">
        <v>207</v>
      </c>
      <c r="S392" s="1690"/>
      <c r="T392" s="1690"/>
      <c r="U392" s="1690"/>
      <c r="V392" t="s">
        <v>73</v>
      </c>
      <c r="AI392" s="1461" t="s">
        <v>677</v>
      </c>
      <c r="AJ392" s="1461"/>
    </row>
    <row r="393" spans="4:36" ht="13.05" customHeight="1">
      <c r="D393" t="s">
        <v>311</v>
      </c>
      <c r="Q393" s="1547"/>
      <c r="R393" s="1547"/>
      <c r="S393" s="1547"/>
      <c r="T393" s="1547"/>
      <c r="U393" s="1547"/>
      <c r="V393" t="s">
        <v>312</v>
      </c>
      <c r="AG393" s="1443"/>
      <c r="AH393" s="1443"/>
      <c r="AI393" s="1443"/>
      <c r="AJ393" s="1443"/>
    </row>
    <row r="394" spans="4:36" ht="13.05" customHeight="1">
      <c r="D394" t="s">
        <v>313</v>
      </c>
      <c r="Q394" s="1581"/>
      <c r="R394" s="1581"/>
      <c r="S394" s="1581"/>
      <c r="T394" s="1581"/>
      <c r="U394" s="1581"/>
      <c r="V394" t="s">
        <v>1268</v>
      </c>
      <c r="AG394" s="1443"/>
      <c r="AH394" s="1443"/>
      <c r="AI394" s="1443"/>
      <c r="AJ394" s="1443"/>
    </row>
    <row r="395" spans="4:36" ht="13.05" customHeight="1">
      <c r="D395" t="s">
        <v>1267</v>
      </c>
      <c r="AG395" s="1443"/>
      <c r="AH395" s="1443"/>
      <c r="AI395" s="1443"/>
      <c r="AJ395" s="1443"/>
    </row>
    <row r="396" spans="4:36" ht="13.05" customHeight="1">
      <c r="AG396" s="490"/>
      <c r="AH396" s="490"/>
      <c r="AI396" s="490"/>
      <c r="AJ396" s="490"/>
    </row>
    <row r="397" spans="4:36" ht="13.05" customHeight="1">
      <c r="D397" s="3" t="s">
        <v>2494</v>
      </c>
      <c r="AG397" s="490"/>
      <c r="AH397" s="490"/>
      <c r="AI397" s="1461" t="s">
        <v>677</v>
      </c>
      <c r="AJ397" s="1461"/>
    </row>
    <row r="398" spans="4:36" ht="13.05" customHeight="1">
      <c r="D398" s="3" t="s">
        <v>1781</v>
      </c>
      <c r="T398" s="1460"/>
      <c r="U398" s="1460"/>
      <c r="V398" s="1460"/>
      <c r="W398" s="1460"/>
      <c r="X398" s="1460"/>
      <c r="Y398" s="1460"/>
      <c r="Z398" s="1460"/>
      <c r="AA398" s="1460"/>
      <c r="AB398" s="1460"/>
      <c r="AC398" s="1460"/>
      <c r="AD398" s="1460"/>
      <c r="AE398" s="1460"/>
      <c r="AF398" s="1460"/>
      <c r="AG398" s="1460"/>
      <c r="AH398" s="1460"/>
      <c r="AI398" s="1460"/>
      <c r="AJ398" s="1460"/>
    </row>
    <row r="399" spans="4:36" ht="13.05" customHeight="1">
      <c r="D399" s="3" t="s">
        <v>1780</v>
      </c>
      <c r="T399" s="1460"/>
      <c r="U399" s="1460"/>
      <c r="V399" s="1460"/>
      <c r="W399" s="1460"/>
      <c r="X399" s="1460"/>
      <c r="Y399" s="1460"/>
      <c r="Z399" s="1460"/>
      <c r="AA399" s="1460"/>
      <c r="AB399" s="1460"/>
      <c r="AC399" s="1460"/>
      <c r="AD399" s="1460"/>
      <c r="AE399" s="1460"/>
      <c r="AF399" s="1460"/>
      <c r="AG399" s="1460"/>
      <c r="AH399" s="1460"/>
      <c r="AI399" s="1460"/>
      <c r="AJ399" s="1460"/>
    </row>
    <row r="400" spans="4:36" ht="13.05" customHeight="1">
      <c r="AG400" s="490"/>
      <c r="AH400" s="490"/>
      <c r="AI400" s="490"/>
      <c r="AJ400" s="490"/>
    </row>
    <row r="401" spans="1:36" ht="13.05" customHeight="1">
      <c r="D401" s="3" t="s">
        <v>1774</v>
      </c>
      <c r="S401" s="1460" t="s">
        <v>677</v>
      </c>
      <c r="T401" s="1460"/>
      <c r="U401" s="1460"/>
      <c r="V401" t="s">
        <v>1775</v>
      </c>
      <c r="AG401" s="1506"/>
      <c r="AH401" s="1506"/>
      <c r="AI401" s="1506"/>
      <c r="AJ401" s="1506"/>
    </row>
    <row r="402" spans="1:36" ht="13.05" customHeight="1">
      <c r="D402" s="3" t="s">
        <v>1772</v>
      </c>
      <c r="S402" s="1460" t="s">
        <v>599</v>
      </c>
      <c r="T402" s="1460"/>
      <c r="U402" s="1460"/>
      <c r="V402" t="s">
        <v>1777</v>
      </c>
      <c r="AE402" s="1535"/>
      <c r="AF402" s="1535"/>
      <c r="AG402" s="1535"/>
      <c r="AH402" s="1535"/>
      <c r="AI402" s="1535"/>
      <c r="AJ402" s="1535"/>
    </row>
    <row r="403" spans="1:36" ht="13.05" customHeight="1">
      <c r="D403" s="3" t="s">
        <v>1773</v>
      </c>
      <c r="K403" s="1516"/>
      <c r="L403" s="1516"/>
      <c r="M403" s="1516"/>
      <c r="N403" s="1516"/>
      <c r="O403" s="1516"/>
      <c r="P403" s="1516"/>
      <c r="Q403" s="1516"/>
      <c r="R403" s="1516"/>
      <c r="S403" s="1516"/>
      <c r="T403" s="1516"/>
      <c r="U403" s="1516"/>
      <c r="V403" s="1516"/>
      <c r="W403" s="1516"/>
      <c r="X403" s="1516"/>
      <c r="Y403" s="1516"/>
      <c r="Z403" s="1516"/>
      <c r="AA403" s="1516"/>
      <c r="AB403" s="1516"/>
      <c r="AC403" s="1516"/>
      <c r="AD403" s="1516"/>
      <c r="AE403" s="1516"/>
      <c r="AF403" s="1516"/>
      <c r="AG403" s="1516"/>
      <c r="AH403" s="1516"/>
      <c r="AI403" s="1516"/>
      <c r="AJ403" s="1516"/>
    </row>
    <row r="404" spans="1:36" ht="13.05" customHeight="1">
      <c r="D404" s="3" t="s">
        <v>1776</v>
      </c>
      <c r="K404" s="1516"/>
      <c r="L404" s="1516"/>
      <c r="M404" s="1516"/>
      <c r="N404" s="1516"/>
      <c r="O404" s="1516"/>
      <c r="P404" s="1516"/>
      <c r="Q404" s="1516"/>
      <c r="R404" s="1516"/>
      <c r="S404" s="1516"/>
      <c r="T404" s="1516"/>
      <c r="U404" s="1516"/>
      <c r="V404" s="1516"/>
      <c r="W404" s="1516"/>
      <c r="X404" s="1516"/>
      <c r="Y404" s="1516"/>
      <c r="Z404" s="1516"/>
      <c r="AA404" s="1516"/>
      <c r="AB404" s="1516"/>
      <c r="AC404" s="1516"/>
      <c r="AD404" s="1516"/>
      <c r="AE404" s="1516"/>
      <c r="AF404" s="1516"/>
      <c r="AG404" s="1516"/>
      <c r="AH404" s="1516"/>
      <c r="AI404" s="1516"/>
      <c r="AJ404" s="1516"/>
    </row>
    <row r="405" spans="1:36" ht="13.05" customHeight="1">
      <c r="D405" s="3" t="s">
        <v>1779</v>
      </c>
      <c r="E405" s="511"/>
      <c r="F405" s="511"/>
      <c r="G405" s="511"/>
      <c r="H405" s="511"/>
      <c r="I405" s="511"/>
      <c r="J405" s="511"/>
      <c r="K405" s="511"/>
      <c r="L405" s="511"/>
      <c r="M405" s="511"/>
      <c r="N405" s="511"/>
      <c r="O405" s="511"/>
      <c r="P405" s="511"/>
      <c r="Q405" s="511"/>
      <c r="R405" s="511"/>
      <c r="S405" s="1477" t="s">
        <v>1290</v>
      </c>
      <c r="T405" s="1477"/>
      <c r="U405" s="1477"/>
      <c r="V405" s="1477"/>
      <c r="W405" s="1477"/>
      <c r="X405" s="1477"/>
      <c r="Y405" s="1477"/>
      <c r="Z405" s="1477"/>
      <c r="AA405" s="1477"/>
      <c r="AB405" s="1477"/>
      <c r="AC405" s="1477"/>
      <c r="AD405" s="1477"/>
      <c r="AE405" s="1477"/>
      <c r="AF405" s="1477"/>
      <c r="AG405" s="1477"/>
      <c r="AH405" s="1477"/>
      <c r="AI405" s="1477"/>
      <c r="AJ405" s="1477"/>
    </row>
    <row r="406" spans="1:36" ht="13.05" customHeight="1">
      <c r="D406" s="1275" t="s">
        <v>1778</v>
      </c>
      <c r="E406" s="1275"/>
      <c r="F406" s="1275"/>
      <c r="G406" s="1275"/>
      <c r="H406" s="1275"/>
      <c r="I406" s="1275"/>
      <c r="J406" s="1275"/>
      <c r="K406" s="1275"/>
      <c r="L406" s="1275"/>
      <c r="M406" s="1275"/>
      <c r="N406" s="1275"/>
      <c r="O406" s="1275"/>
      <c r="P406" s="1275"/>
      <c r="Q406" s="1275"/>
      <c r="R406" s="1275"/>
      <c r="S406" s="1275"/>
      <c r="T406" s="1275"/>
      <c r="U406" s="1275"/>
      <c r="V406" s="1275"/>
      <c r="W406" s="1275"/>
      <c r="X406" s="1275"/>
      <c r="Y406" s="1275"/>
      <c r="Z406" s="1275"/>
      <c r="AA406" s="1275"/>
      <c r="AB406" s="1275"/>
      <c r="AC406" s="1275"/>
      <c r="AD406" s="1275"/>
      <c r="AE406" s="1275"/>
      <c r="AF406" s="1275"/>
      <c r="AG406" s="1275"/>
      <c r="AH406" s="1275"/>
      <c r="AI406" s="1275"/>
      <c r="AJ406" s="1275"/>
    </row>
    <row r="407" spans="1:36" ht="13.05" customHeight="1">
      <c r="D407" s="1275"/>
      <c r="E407" s="1275"/>
      <c r="F407" s="1275"/>
      <c r="G407" s="1275"/>
      <c r="H407" s="1275"/>
      <c r="I407" s="1275"/>
      <c r="J407" s="1275"/>
      <c r="K407" s="1275"/>
      <c r="L407" s="1275"/>
      <c r="M407" s="1275"/>
      <c r="N407" s="1275"/>
      <c r="O407" s="1275"/>
      <c r="P407" s="1275"/>
      <c r="Q407" s="1275"/>
      <c r="R407" s="1275"/>
      <c r="S407" s="1275"/>
      <c r="T407" s="1275"/>
      <c r="U407" s="1275"/>
      <c r="V407" s="1275"/>
      <c r="W407" s="1275"/>
      <c r="X407" s="1275"/>
      <c r="Y407" s="1275"/>
      <c r="Z407" s="1275"/>
      <c r="AA407" s="1275"/>
      <c r="AB407" s="1275"/>
      <c r="AC407" s="1275"/>
      <c r="AD407" s="1275"/>
      <c r="AE407" s="1275"/>
      <c r="AF407" s="1275"/>
      <c r="AG407" s="1275"/>
      <c r="AH407" s="1275"/>
      <c r="AI407" s="1275"/>
      <c r="AJ407" s="1275"/>
    </row>
    <row r="408" spans="1:36" ht="13.05" customHeight="1">
      <c r="AG408" s="490"/>
      <c r="AH408" s="490"/>
      <c r="AI408" s="490"/>
      <c r="AJ408" s="490"/>
    </row>
    <row r="409" spans="1:36" ht="13.05" customHeight="1">
      <c r="A409" s="2" t="s">
        <v>597</v>
      </c>
      <c r="B409" s="2"/>
      <c r="C409" s="2" t="s">
        <v>111</v>
      </c>
    </row>
    <row r="410" spans="1:36" ht="13.05" customHeight="1">
      <c r="B410" s="2"/>
      <c r="C410" s="2"/>
      <c r="D410" s="2" t="s">
        <v>1310</v>
      </c>
      <c r="I410" s="1404" t="s">
        <v>2764</v>
      </c>
      <c r="J410" s="1404"/>
      <c r="K410" s="1404"/>
      <c r="L410" s="1404"/>
      <c r="M410" s="1404"/>
      <c r="N410" s="1404"/>
      <c r="O410" s="1404"/>
      <c r="P410" s="1404"/>
      <c r="Q410" s="1404"/>
      <c r="R410" s="1404"/>
      <c r="S410" s="1404"/>
      <c r="T410" s="1404"/>
      <c r="U410" s="1404"/>
      <c r="V410" s="1404"/>
      <c r="W410" s="1404"/>
      <c r="X410" s="1404"/>
      <c r="Y410" s="1404"/>
      <c r="Z410" s="1404"/>
      <c r="AA410" s="1404"/>
      <c r="AB410" s="1404"/>
      <c r="AC410" s="1404"/>
      <c r="AD410" s="1404"/>
      <c r="AE410" s="1404"/>
    </row>
    <row r="411" spans="1:36" ht="13.05" customHeight="1">
      <c r="E411" t="s">
        <v>106</v>
      </c>
      <c r="R411" s="1461" t="s">
        <v>599</v>
      </c>
      <c r="S411" s="1461"/>
      <c r="AC411" s="27" t="s">
        <v>578</v>
      </c>
      <c r="AD411" s="1456"/>
      <c r="AE411" s="1456"/>
    </row>
    <row r="412" spans="1:36" ht="13.05" customHeight="1">
      <c r="E412" t="s">
        <v>107</v>
      </c>
      <c r="R412" s="1461" t="s">
        <v>553</v>
      </c>
      <c r="S412" s="1461"/>
      <c r="AC412" s="27" t="s">
        <v>578</v>
      </c>
      <c r="AD412" s="1732" t="s">
        <v>2714</v>
      </c>
      <c r="AE412" s="1456"/>
    </row>
    <row r="413" spans="1:36" ht="13.05" customHeight="1">
      <c r="E413" t="s">
        <v>108</v>
      </c>
      <c r="S413" s="1461" t="s">
        <v>599</v>
      </c>
      <c r="T413" s="1461"/>
    </row>
    <row r="414" spans="1:36" ht="13.05" customHeight="1">
      <c r="E414" t="s">
        <v>170</v>
      </c>
      <c r="H414" s="1831" t="s">
        <v>2715</v>
      </c>
      <c r="I414" s="1831"/>
      <c r="J414" s="1831"/>
      <c r="K414" s="1831"/>
      <c r="L414" s="1831"/>
      <c r="M414" s="1831"/>
      <c r="N414" s="1831"/>
      <c r="O414" s="1831"/>
      <c r="P414" s="1831"/>
      <c r="Q414" s="1831"/>
      <c r="R414" s="1831"/>
      <c r="S414" s="1831"/>
      <c r="T414" s="1831"/>
      <c r="U414" s="1831"/>
      <c r="V414" s="1831"/>
      <c r="W414" s="1831"/>
      <c r="X414" s="1831"/>
      <c r="Y414" s="1831"/>
      <c r="Z414" s="1831"/>
      <c r="AA414" s="1831"/>
      <c r="AB414" s="1831"/>
      <c r="AC414" s="1831"/>
      <c r="AD414" s="1831"/>
      <c r="AE414" s="1831"/>
    </row>
    <row r="415" spans="1:36" ht="13.05" customHeight="1">
      <c r="H415" s="1832"/>
      <c r="I415" s="1832"/>
      <c r="J415" s="1832"/>
      <c r="K415" s="1832"/>
      <c r="L415" s="1832"/>
      <c r="M415" s="1832"/>
      <c r="N415" s="1832"/>
      <c r="O415" s="1832"/>
      <c r="P415" s="1832"/>
      <c r="Q415" s="1832"/>
      <c r="R415" s="1832"/>
      <c r="S415" s="1832"/>
      <c r="T415" s="1832"/>
      <c r="U415" s="1832"/>
      <c r="V415" s="1832"/>
      <c r="W415" s="1832"/>
      <c r="X415" s="1832"/>
      <c r="Y415" s="1832"/>
      <c r="Z415" s="1832"/>
      <c r="AA415" s="1832"/>
      <c r="AB415" s="1832"/>
      <c r="AC415" s="1832"/>
      <c r="AD415" s="1832"/>
      <c r="AE415" s="1832"/>
    </row>
    <row r="416" spans="1:36" ht="13.05" customHeight="1"/>
    <row r="417" spans="1:39" ht="13.05" customHeight="1">
      <c r="A417" s="2" t="s">
        <v>598</v>
      </c>
      <c r="B417" s="2"/>
      <c r="C417" s="2"/>
      <c r="D417" s="2" t="s">
        <v>114</v>
      </c>
      <c r="AF417" s="2" t="s">
        <v>976</v>
      </c>
    </row>
    <row r="418" spans="1:39" ht="13.05" customHeight="1">
      <c r="E418" s="1503"/>
      <c r="F418" s="1503"/>
      <c r="G418" s="1503"/>
      <c r="H418" s="13" t="s">
        <v>115</v>
      </c>
      <c r="I418" s="1503"/>
      <c r="J418" s="1503"/>
      <c r="K418" s="1503"/>
      <c r="L418" t="s">
        <v>116</v>
      </c>
      <c r="N418" s="27" t="s">
        <v>583</v>
      </c>
      <c r="P418" s="1689">
        <v>3.95</v>
      </c>
      <c r="Q418" s="1689"/>
      <c r="R418" s="1689"/>
      <c r="S418" t="s">
        <v>117</v>
      </c>
      <c r="W418" s="1411">
        <f>IF(E418&gt;0,(E418*I418),(P418*43560))</f>
        <v>172062</v>
      </c>
      <c r="X418" s="1411"/>
      <c r="Y418" s="1411"/>
      <c r="Z418" t="s">
        <v>118</v>
      </c>
      <c r="AF418" s="1685">
        <f>IFERROR(IF(P418&gt;0,(AG437/P418),(AG437/(W418/43560))),0)</f>
        <v>35.443037974683541</v>
      </c>
      <c r="AG418" s="1685"/>
      <c r="AH418" s="1685"/>
      <c r="AM418" s="3"/>
    </row>
    <row r="419" spans="1:39" ht="13.05" customHeight="1">
      <c r="E419" t="s">
        <v>51</v>
      </c>
    </row>
    <row r="420" spans="1:39" ht="13.05" customHeight="1">
      <c r="E420" s="1482"/>
      <c r="F420" s="1482"/>
      <c r="G420" s="1482"/>
      <c r="H420" s="1482"/>
      <c r="I420" s="1482"/>
      <c r="J420" s="1482"/>
      <c r="K420" s="1482"/>
      <c r="L420" s="1482"/>
      <c r="M420" s="1482"/>
      <c r="N420" s="1482"/>
      <c r="O420" s="1482"/>
      <c r="P420" s="1482"/>
      <c r="Q420" s="1482"/>
      <c r="R420" s="1482"/>
      <c r="S420" s="1482"/>
      <c r="T420" s="1482"/>
      <c r="U420" s="1482"/>
      <c r="V420" s="1482"/>
      <c r="W420" s="1482"/>
      <c r="X420" s="1482"/>
      <c r="Y420" s="1482"/>
      <c r="Z420" s="1482"/>
      <c r="AA420" s="1482"/>
      <c r="AB420" s="1482"/>
      <c r="AC420" s="1482"/>
      <c r="AD420" s="1482"/>
      <c r="AE420" s="1482"/>
      <c r="AF420" s="1482"/>
      <c r="AG420" s="1482"/>
      <c r="AH420" s="1482"/>
      <c r="AI420" s="1482"/>
      <c r="AJ420" s="1482"/>
    </row>
    <row r="421" spans="1:39" ht="13.05" customHeight="1">
      <c r="E421" s="118" t="s">
        <v>1926</v>
      </c>
      <c r="F421" s="1048"/>
      <c r="G421" s="1048"/>
      <c r="H421" s="1048"/>
      <c r="I421" s="1502">
        <v>3.95</v>
      </c>
      <c r="J421" s="1502"/>
      <c r="K421" s="1502"/>
      <c r="L421" s="1048"/>
      <c r="M421" s="118"/>
      <c r="N421" s="1048"/>
      <c r="O421" s="1048"/>
      <c r="P421" s="1697">
        <f>(CS634+CS642+CS658)/I421</f>
        <v>72.911392405063282</v>
      </c>
      <c r="Q421" s="1697"/>
      <c r="R421" s="1697"/>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05" customHeight="1"/>
    <row r="423" spans="1:39" ht="13.05" customHeight="1">
      <c r="A423" s="2" t="s">
        <v>600</v>
      </c>
      <c r="B423" s="2"/>
      <c r="C423" s="2"/>
      <c r="D423" s="2" t="s">
        <v>120</v>
      </c>
    </row>
    <row r="424" spans="1:39" ht="13.05" customHeight="1">
      <c r="E424" t="s">
        <v>121</v>
      </c>
      <c r="P424" s="1461">
        <v>2</v>
      </c>
      <c r="Q424" s="1461"/>
      <c r="S424" t="s">
        <v>190</v>
      </c>
      <c r="AE424" s="1461">
        <v>2</v>
      </c>
      <c r="AF424" s="1461"/>
    </row>
    <row r="425" spans="1:39" ht="13.05" customHeight="1">
      <c r="E425" t="s">
        <v>191</v>
      </c>
      <c r="P425" s="1461" t="s">
        <v>599</v>
      </c>
      <c r="Q425" s="1461"/>
      <c r="S425" t="s">
        <v>131</v>
      </c>
      <c r="AE425" s="1461" t="s">
        <v>599</v>
      </c>
      <c r="AF425" s="1461"/>
    </row>
    <row r="426" spans="1:39" ht="13.05" customHeight="1">
      <c r="F426" s="28" t="s">
        <v>132</v>
      </c>
    </row>
    <row r="427" spans="1:39" ht="13.05" customHeight="1">
      <c r="F427" s="1504"/>
      <c r="G427" s="1504"/>
      <c r="H427" s="1504"/>
      <c r="I427" s="1504"/>
      <c r="J427" s="1504"/>
      <c r="K427" s="1504"/>
      <c r="L427" s="1504"/>
      <c r="M427" s="1504"/>
      <c r="N427" s="1504"/>
      <c r="O427" s="1504"/>
      <c r="P427" s="1504"/>
      <c r="Q427" s="1504"/>
      <c r="R427" s="1504"/>
      <c r="S427" s="1504"/>
      <c r="T427" s="1504"/>
      <c r="U427" s="1504"/>
      <c r="V427" s="1504"/>
      <c r="W427" s="1504"/>
      <c r="X427" s="1504"/>
      <c r="Y427" s="1504"/>
      <c r="Z427" s="1504"/>
      <c r="AA427" s="1504"/>
      <c r="AB427" s="1504"/>
      <c r="AC427" s="1504"/>
      <c r="AD427" s="1504"/>
      <c r="AE427" s="1504"/>
      <c r="AF427" s="1504"/>
      <c r="AG427" s="1504"/>
      <c r="AH427" s="1504"/>
    </row>
    <row r="428" spans="1:39" ht="13.05" customHeight="1">
      <c r="F428" s="1505"/>
      <c r="G428" s="1505"/>
      <c r="H428" s="1505"/>
      <c r="I428" s="1505"/>
      <c r="J428" s="1505"/>
      <c r="K428" s="1505"/>
      <c r="L428" s="1505"/>
      <c r="M428" s="1505"/>
      <c r="N428" s="1505"/>
      <c r="O428" s="1505"/>
      <c r="P428" s="1505"/>
      <c r="Q428" s="1505"/>
      <c r="R428" s="1505"/>
      <c r="S428" s="1505"/>
      <c r="T428" s="1505"/>
      <c r="U428" s="1505"/>
      <c r="V428" s="1505"/>
      <c r="W428" s="1505"/>
      <c r="X428" s="1505"/>
      <c r="Y428" s="1505"/>
      <c r="Z428" s="1505"/>
      <c r="AA428" s="1505"/>
      <c r="AB428" s="1505"/>
      <c r="AC428" s="1505"/>
      <c r="AD428" s="1505"/>
      <c r="AE428" s="1505"/>
      <c r="AF428" s="1505"/>
      <c r="AG428" s="1505"/>
      <c r="AH428" s="1505"/>
    </row>
    <row r="429" spans="1:39" ht="13.05" customHeight="1">
      <c r="E429" t="s">
        <v>616</v>
      </c>
      <c r="P429" s="1"/>
      <c r="Q429" s="1461" t="s">
        <v>553</v>
      </c>
      <c r="R429" s="1461"/>
    </row>
    <row r="430" spans="1:39" ht="13.05" customHeight="1">
      <c r="F430" t="s">
        <v>617</v>
      </c>
      <c r="P430" s="1"/>
      <c r="Q430" s="1"/>
      <c r="AF430" s="1461" t="s">
        <v>599</v>
      </c>
      <c r="AG430" s="1481"/>
    </row>
    <row r="431" spans="1:39" ht="13.05" customHeight="1"/>
    <row r="432" spans="1:39" ht="13.05" customHeight="1">
      <c r="A432" s="2"/>
      <c r="B432" s="2"/>
      <c r="C432" s="2"/>
      <c r="E432" s="4" t="s">
        <v>309</v>
      </c>
      <c r="Z432" s="1461" t="s">
        <v>677</v>
      </c>
      <c r="AA432" s="1461"/>
    </row>
    <row r="433" spans="1:110"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05" customHeight="1">
      <c r="F434" t="s">
        <v>716</v>
      </c>
      <c r="G434" s="40"/>
      <c r="I434" s="40"/>
      <c r="J434" s="40"/>
      <c r="K434" s="40"/>
      <c r="L434" s="40"/>
      <c r="M434" s="40"/>
      <c r="N434" s="40"/>
      <c r="O434" s="28"/>
      <c r="P434" s="40"/>
      <c r="Q434" s="40"/>
      <c r="R434" s="40"/>
      <c r="S434" s="40"/>
      <c r="T434" s="40"/>
      <c r="U434" s="40"/>
      <c r="V434" s="40"/>
      <c r="W434" s="40"/>
      <c r="Z434" s="1461" t="s">
        <v>599</v>
      </c>
      <c r="AA434" s="1461"/>
    </row>
    <row r="435" spans="1:110" ht="13.05" customHeight="1"/>
    <row r="436" spans="1:110" ht="13.05" customHeight="1">
      <c r="A436" s="2" t="s">
        <v>475</v>
      </c>
      <c r="B436" s="2"/>
      <c r="C436" s="2"/>
      <c r="D436" s="2" t="s">
        <v>773</v>
      </c>
      <c r="AF436" s="48"/>
    </row>
    <row r="437" spans="1:110" ht="13.05" customHeight="1">
      <c r="D437" s="1475" t="s">
        <v>43</v>
      </c>
      <c r="E437" s="1457"/>
      <c r="F437" s="1457"/>
      <c r="G437" s="1457"/>
      <c r="H437" s="1457"/>
      <c r="I437" s="1457"/>
      <c r="J437" s="1457"/>
      <c r="K437" s="1457"/>
      <c r="L437" s="1457"/>
      <c r="M437" s="1457"/>
      <c r="N437" s="1457"/>
      <c r="O437" s="1457"/>
      <c r="P437" s="1457"/>
      <c r="Q437" s="1457"/>
      <c r="R437" s="1457"/>
      <c r="S437" s="1457"/>
      <c r="T437" s="1457"/>
      <c r="U437" s="1457"/>
      <c r="V437" s="1457"/>
      <c r="W437" s="1457"/>
      <c r="X437" s="1457"/>
      <c r="Y437" s="1457"/>
      <c r="Z437" s="1457"/>
      <c r="AA437" s="1457"/>
      <c r="AB437" s="1457"/>
      <c r="AC437" s="1457"/>
      <c r="AD437" s="1457"/>
      <c r="AE437" s="1457"/>
      <c r="AF437" s="1458"/>
      <c r="AG437" s="1497">
        <v>140</v>
      </c>
      <c r="AH437" s="1497"/>
      <c r="AI437" s="1497"/>
      <c r="AJ437" s="1497"/>
    </row>
    <row r="438" spans="1:110" ht="13.05" customHeight="1">
      <c r="D438" s="1435" t="s">
        <v>1329</v>
      </c>
      <c r="E438" s="1436"/>
      <c r="F438" s="1436"/>
      <c r="G438" s="1436"/>
      <c r="H438" s="1436"/>
      <c r="I438" s="1436"/>
      <c r="J438" s="1436"/>
      <c r="K438" s="1436"/>
      <c r="L438" s="1436"/>
      <c r="M438" s="1436"/>
      <c r="N438" s="1436"/>
      <c r="O438" s="1436"/>
      <c r="P438" s="1436"/>
      <c r="Q438" s="1436"/>
      <c r="R438" s="1436"/>
      <c r="S438" s="1436"/>
      <c r="T438" s="1436"/>
      <c r="U438" s="1436"/>
      <c r="V438" s="1436"/>
      <c r="W438" s="1436"/>
      <c r="X438" s="1436"/>
      <c r="Y438" s="1436"/>
      <c r="Z438" s="1436"/>
      <c r="AA438" s="1436"/>
      <c r="AB438" s="1436"/>
      <c r="AC438" s="1436"/>
      <c r="AD438" s="1436"/>
      <c r="AE438" s="1436"/>
      <c r="AF438" s="1437"/>
      <c r="AG438" s="1438">
        <v>0</v>
      </c>
      <c r="AH438" s="1439"/>
      <c r="AI438" s="1439"/>
      <c r="AJ438" s="1439"/>
    </row>
    <row r="439" spans="1:110" ht="13.05" customHeight="1">
      <c r="D439" s="1435" t="s">
        <v>1055</v>
      </c>
      <c r="E439" s="1436"/>
      <c r="F439" s="1436"/>
      <c r="G439" s="1436"/>
      <c r="H439" s="1436"/>
      <c r="I439" s="1436"/>
      <c r="J439" s="1436"/>
      <c r="K439" s="1436"/>
      <c r="L439" s="1436"/>
      <c r="M439" s="1436"/>
      <c r="N439" s="1436"/>
      <c r="O439" s="1436"/>
      <c r="P439" s="1436"/>
      <c r="Q439" s="1436"/>
      <c r="R439" s="1436"/>
      <c r="S439" s="1436"/>
      <c r="T439" s="1436"/>
      <c r="U439" s="1436"/>
      <c r="V439" s="1436"/>
      <c r="W439" s="1436"/>
      <c r="X439" s="1436"/>
      <c r="Y439" s="1436"/>
      <c r="Z439" s="1436"/>
      <c r="AA439" s="1436"/>
      <c r="AB439" s="1436"/>
      <c r="AC439" s="1436"/>
      <c r="AD439" s="1436"/>
      <c r="AE439" s="1436"/>
      <c r="AF439" s="1437"/>
      <c r="AG439" s="1497">
        <v>139</v>
      </c>
      <c r="AH439" s="1497"/>
      <c r="AI439" s="1497"/>
      <c r="AJ439" s="1497"/>
    </row>
    <row r="440" spans="1:110" ht="13.05" customHeight="1">
      <c r="D440" s="1435" t="s">
        <v>1056</v>
      </c>
      <c r="E440" s="1436"/>
      <c r="F440" s="1436"/>
      <c r="G440" s="1436"/>
      <c r="H440" s="1436"/>
      <c r="I440" s="1436"/>
      <c r="J440" s="1436"/>
      <c r="K440" s="1436"/>
      <c r="L440" s="1436"/>
      <c r="M440" s="1436"/>
      <c r="N440" s="1436"/>
      <c r="O440" s="1436"/>
      <c r="P440" s="1436"/>
      <c r="Q440" s="1436"/>
      <c r="R440" s="1436"/>
      <c r="S440" s="1436"/>
      <c r="T440" s="1436"/>
      <c r="U440" s="1436"/>
      <c r="V440" s="1436"/>
      <c r="W440" s="1436"/>
      <c r="X440" s="1436"/>
      <c r="Y440" s="1436"/>
      <c r="Z440" s="1436"/>
      <c r="AA440" s="1436"/>
      <c r="AB440" s="1436"/>
      <c r="AC440" s="1436"/>
      <c r="AD440" s="1436"/>
      <c r="AE440" s="1436"/>
      <c r="AF440" s="1437"/>
      <c r="AG440" s="1497">
        <v>139</v>
      </c>
      <c r="AH440" s="1497"/>
      <c r="AI440" s="1497"/>
      <c r="AJ440" s="1497"/>
    </row>
    <row r="441" spans="1:110" ht="13.05" customHeight="1">
      <c r="D441" s="1435" t="s">
        <v>1058</v>
      </c>
      <c r="E441" s="1436"/>
      <c r="F441" s="1436"/>
      <c r="G441" s="1436"/>
      <c r="H441" s="1436"/>
      <c r="I441" s="1436"/>
      <c r="J441" s="1436"/>
      <c r="K441" s="1436"/>
      <c r="L441" s="1436"/>
      <c r="M441" s="1436"/>
      <c r="N441" s="1436"/>
      <c r="O441" s="1436"/>
      <c r="P441" s="1436"/>
      <c r="Q441" s="1436"/>
      <c r="R441" s="1436"/>
      <c r="S441" s="1436"/>
      <c r="T441" s="1436"/>
      <c r="U441" s="1436"/>
      <c r="V441" s="1436"/>
      <c r="W441" s="1436"/>
      <c r="X441" s="1436"/>
      <c r="Y441" s="1436"/>
      <c r="Z441" s="1436"/>
      <c r="AA441" s="1436"/>
      <c r="AB441" s="1436"/>
      <c r="AC441" s="1436"/>
      <c r="AD441" s="1436"/>
      <c r="AE441" s="1436"/>
      <c r="AF441" s="1437"/>
      <c r="AG441" s="1498">
        <f>IF(ISERROR(AG440/AG439),"",AG440/AG439)</f>
        <v>1</v>
      </c>
      <c r="AH441" s="1498"/>
      <c r="AI441" s="1498"/>
      <c r="AJ441" s="1498"/>
    </row>
    <row r="442" spans="1:110" ht="13.05" customHeight="1">
      <c r="D442" s="1435" t="s">
        <v>1057</v>
      </c>
      <c r="E442" s="1436"/>
      <c r="F442" s="1436"/>
      <c r="G442" s="1436"/>
      <c r="H442" s="1436"/>
      <c r="I442" s="1436"/>
      <c r="J442" s="1436"/>
      <c r="K442" s="1436"/>
      <c r="L442" s="1436"/>
      <c r="M442" s="1436"/>
      <c r="N442" s="1436"/>
      <c r="O442" s="1436"/>
      <c r="P442" s="1436"/>
      <c r="Q442" s="1436"/>
      <c r="R442" s="1436"/>
      <c r="S442" s="1436"/>
      <c r="T442" s="1436"/>
      <c r="U442" s="1436"/>
      <c r="V442" s="1436"/>
      <c r="W442" s="1436"/>
      <c r="X442" s="1436"/>
      <c r="Y442" s="1436"/>
      <c r="Z442" s="1436"/>
      <c r="AA442" s="1436"/>
      <c r="AB442" s="1436"/>
      <c r="AC442" s="1436"/>
      <c r="AD442" s="1436"/>
      <c r="AE442" s="1436"/>
      <c r="AF442" s="1437"/>
      <c r="AG442" s="1434">
        <v>156932</v>
      </c>
      <c r="AH442" s="1434"/>
      <c r="AI442" s="1434"/>
      <c r="AJ442" s="1434"/>
    </row>
    <row r="443" spans="1:110" ht="13.05" customHeight="1">
      <c r="D443" s="1435" t="s">
        <v>1059</v>
      </c>
      <c r="E443" s="1436"/>
      <c r="F443" s="1436"/>
      <c r="G443" s="1436"/>
      <c r="H443" s="1436"/>
      <c r="I443" s="1436"/>
      <c r="J443" s="1436"/>
      <c r="K443" s="1436"/>
      <c r="L443" s="1436"/>
      <c r="M443" s="1436"/>
      <c r="N443" s="1436"/>
      <c r="O443" s="1436"/>
      <c r="P443" s="1436"/>
      <c r="Q443" s="1436"/>
      <c r="R443" s="1436"/>
      <c r="S443" s="1436"/>
      <c r="T443" s="1436"/>
      <c r="U443" s="1436"/>
      <c r="V443" s="1436"/>
      <c r="W443" s="1436"/>
      <c r="X443" s="1436"/>
      <c r="Y443" s="1436"/>
      <c r="Z443" s="1436"/>
      <c r="AA443" s="1436"/>
      <c r="AB443" s="1436"/>
      <c r="AC443" s="1436"/>
      <c r="AD443" s="1436"/>
      <c r="AE443" s="1436"/>
      <c r="AF443" s="1437"/>
      <c r="AG443" s="1434">
        <f>AG442</f>
        <v>156932</v>
      </c>
      <c r="AH443" s="1434"/>
      <c r="AI443" s="1434"/>
      <c r="AJ443" s="1434"/>
    </row>
    <row r="444" spans="1:110" ht="13.05" customHeight="1">
      <c r="D444" s="1435" t="s">
        <v>1060</v>
      </c>
      <c r="E444" s="1436"/>
      <c r="F444" s="1436"/>
      <c r="G444" s="1436"/>
      <c r="H444" s="1436"/>
      <c r="I444" s="1436"/>
      <c r="J444" s="1436"/>
      <c r="K444" s="1436"/>
      <c r="L444" s="1436"/>
      <c r="M444" s="1436"/>
      <c r="N444" s="1436"/>
      <c r="O444" s="1436"/>
      <c r="P444" s="1436"/>
      <c r="Q444" s="1436"/>
      <c r="R444" s="1436"/>
      <c r="S444" s="1436"/>
      <c r="T444" s="1436"/>
      <c r="U444" s="1436"/>
      <c r="V444" s="1436"/>
      <c r="W444" s="1436"/>
      <c r="X444" s="1436"/>
      <c r="Y444" s="1436"/>
      <c r="Z444" s="1436"/>
      <c r="AA444" s="1436"/>
      <c r="AB444" s="1436"/>
      <c r="AC444" s="1436"/>
      <c r="AD444" s="1436"/>
      <c r="AE444" s="1436"/>
      <c r="AF444" s="1437"/>
      <c r="AG444" s="1498">
        <f>IF(ISERROR(AG443/AG442),"",AG443/AG442)</f>
        <v>1</v>
      </c>
      <c r="AH444" s="1498"/>
      <c r="AI444" s="1498"/>
      <c r="AJ444" s="1498"/>
    </row>
    <row r="445" spans="1:110" ht="13.05" customHeight="1">
      <c r="D445" s="1435" t="s">
        <v>1061</v>
      </c>
      <c r="E445" s="1436"/>
      <c r="F445" s="1436"/>
      <c r="G445" s="1436"/>
      <c r="H445" s="1436"/>
      <c r="I445" s="1436"/>
      <c r="J445" s="1436"/>
      <c r="K445" s="1436"/>
      <c r="L445" s="1436"/>
      <c r="M445" s="1436"/>
      <c r="N445" s="1436"/>
      <c r="O445" s="1436"/>
      <c r="P445" s="1436"/>
      <c r="Q445" s="1436"/>
      <c r="R445" s="1436"/>
      <c r="S445" s="1436"/>
      <c r="T445" s="1436"/>
      <c r="U445" s="1436"/>
      <c r="V445" s="1436"/>
      <c r="W445" s="1436"/>
      <c r="X445" s="1436"/>
      <c r="Y445" s="1436"/>
      <c r="Z445" s="1436"/>
      <c r="AA445" s="1436"/>
      <c r="AB445" s="1436"/>
      <c r="AC445" s="1436"/>
      <c r="AD445" s="1436"/>
      <c r="AE445" s="1436"/>
      <c r="AF445" s="1437"/>
      <c r="AG445" s="1498">
        <f>MIN(IF(AG441&gt;AG444,AG444,AG441),1)</f>
        <v>1</v>
      </c>
      <c r="AH445" s="1498"/>
      <c r="AI445" s="1498"/>
      <c r="AJ445" s="1498"/>
    </row>
    <row r="446" spans="1:110" ht="13.05" customHeight="1">
      <c r="D446" s="1435" t="s">
        <v>2400</v>
      </c>
      <c r="E446" s="1457"/>
      <c r="F446" s="1457"/>
      <c r="G446" s="1457"/>
      <c r="H446" s="1457"/>
      <c r="I446" s="1457"/>
      <c r="J446" s="1457"/>
      <c r="K446" s="1457"/>
      <c r="L446" s="1457"/>
      <c r="M446" s="1457"/>
      <c r="N446" s="1457"/>
      <c r="O446" s="1457"/>
      <c r="P446" s="1457"/>
      <c r="Q446" s="1457"/>
      <c r="R446" s="1457"/>
      <c r="S446" s="1457"/>
      <c r="T446" s="1457"/>
      <c r="U446" s="1457"/>
      <c r="V446" s="1457"/>
      <c r="W446" s="1457"/>
      <c r="X446" s="1457"/>
      <c r="Y446" s="1457"/>
      <c r="Z446" s="1457"/>
      <c r="AA446" s="1457"/>
      <c r="AB446" s="1457"/>
      <c r="AC446" s="1457"/>
      <c r="AD446" s="1457"/>
      <c r="AE446" s="1457"/>
      <c r="AF446" s="1458"/>
      <c r="AG446" s="1434">
        <v>6160</v>
      </c>
      <c r="AH446" s="1434"/>
      <c r="AI446" s="1434"/>
      <c r="AJ446" s="143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05" customHeight="1">
      <c r="D447" s="1475" t="s">
        <v>577</v>
      </c>
      <c r="E447" s="1457"/>
      <c r="F447" s="1457"/>
      <c r="G447" s="1457"/>
      <c r="H447" s="1457"/>
      <c r="I447" s="1457"/>
      <c r="J447" s="1457"/>
      <c r="K447" s="1457"/>
      <c r="L447" s="1457"/>
      <c r="M447" s="1457"/>
      <c r="N447" s="1457"/>
      <c r="O447" s="1457"/>
      <c r="P447" s="1457"/>
      <c r="Q447" s="1457"/>
      <c r="R447" s="1457"/>
      <c r="S447" s="1457"/>
      <c r="T447" s="1457"/>
      <c r="U447" s="1457"/>
      <c r="V447" s="1457"/>
      <c r="W447" s="1457"/>
      <c r="X447" s="1457"/>
      <c r="Y447" s="1457"/>
      <c r="Z447" s="1457"/>
      <c r="AA447" s="1457"/>
      <c r="AB447" s="1457"/>
      <c r="AC447" s="1457"/>
      <c r="AD447" s="1457"/>
      <c r="AE447" s="1457"/>
      <c r="AF447" s="1458"/>
      <c r="AG447" s="1434">
        <v>0</v>
      </c>
      <c r="AH447" s="1434"/>
      <c r="AI447" s="1434"/>
      <c r="AJ447" s="143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05" customHeight="1">
      <c r="D448" s="1435" t="s">
        <v>1311</v>
      </c>
      <c r="E448" s="1457"/>
      <c r="F448" s="1457"/>
      <c r="G448" s="1457"/>
      <c r="H448" s="1457"/>
      <c r="I448" s="1457"/>
      <c r="J448" s="1457"/>
      <c r="K448" s="1457"/>
      <c r="L448" s="1457"/>
      <c r="M448" s="1457"/>
      <c r="N448" s="1457"/>
      <c r="O448" s="1457"/>
      <c r="P448" s="1457"/>
      <c r="Q448" s="1457"/>
      <c r="R448" s="1457"/>
      <c r="S448" s="1457"/>
      <c r="T448" s="1457"/>
      <c r="U448" s="1457"/>
      <c r="V448" s="1457"/>
      <c r="W448" s="1457"/>
      <c r="X448" s="1457"/>
      <c r="Y448" s="1457"/>
      <c r="Z448" s="1457"/>
      <c r="AA448" s="1457"/>
      <c r="AB448" s="1457"/>
      <c r="AC448" s="1457"/>
      <c r="AD448" s="1457"/>
      <c r="AE448" s="1457"/>
      <c r="AF448" s="1458"/>
      <c r="AG448" s="1434">
        <f>188560-AG446-AG442</f>
        <v>25468</v>
      </c>
      <c r="AH448" s="1434"/>
      <c r="AI448" s="1434"/>
      <c r="AJ448" s="143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05" customHeight="1">
      <c r="D449" s="1435" t="s">
        <v>1062</v>
      </c>
      <c r="E449" s="1457"/>
      <c r="F449" s="1457"/>
      <c r="G449" s="1457"/>
      <c r="H449" s="1457"/>
      <c r="I449" s="1457"/>
      <c r="J449" s="1457"/>
      <c r="K449" s="1457"/>
      <c r="L449" s="1457"/>
      <c r="M449" s="1457"/>
      <c r="N449" s="1457"/>
      <c r="O449" s="1457"/>
      <c r="P449" s="1457"/>
      <c r="Q449" s="1457"/>
      <c r="R449" s="1457"/>
      <c r="S449" s="1457"/>
      <c r="T449" s="1457"/>
      <c r="U449" s="1457"/>
      <c r="V449" s="1457"/>
      <c r="W449" s="1457"/>
      <c r="X449" s="1457"/>
      <c r="Y449" s="1457"/>
      <c r="Z449" s="1457"/>
      <c r="AA449" s="1457"/>
      <c r="AB449" s="1457"/>
      <c r="AC449" s="1457"/>
      <c r="AD449" s="1457"/>
      <c r="AE449" s="1457"/>
      <c r="AF449" s="1458"/>
      <c r="AG449" s="1434">
        <v>0</v>
      </c>
      <c r="AH449" s="1434"/>
      <c r="AI449" s="1434"/>
      <c r="AJ449" s="143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05" customHeight="1">
      <c r="D450" s="1541" t="s">
        <v>1063</v>
      </c>
      <c r="E450" s="1542"/>
      <c r="F450" s="1542"/>
      <c r="G450" s="1542"/>
      <c r="H450" s="1542"/>
      <c r="I450" s="1542"/>
      <c r="J450" s="1542"/>
      <c r="K450" s="1542"/>
      <c r="L450" s="1542"/>
      <c r="M450" s="1542"/>
      <c r="N450" s="1542"/>
      <c r="O450" s="1542"/>
      <c r="P450" s="1542"/>
      <c r="Q450" s="1542"/>
      <c r="R450" s="1542"/>
      <c r="S450" s="1542"/>
      <c r="T450" s="1542"/>
      <c r="U450" s="1542"/>
      <c r="V450" s="1542"/>
      <c r="W450" s="1542"/>
      <c r="X450" s="1542"/>
      <c r="Y450" s="1542"/>
      <c r="Z450" s="1542"/>
      <c r="AA450" s="1542"/>
      <c r="AB450" s="1542"/>
      <c r="AC450" s="1542"/>
      <c r="AD450" s="1542"/>
      <c r="AE450" s="1542"/>
      <c r="AF450" s="1543"/>
      <c r="AG450" s="1521">
        <f>AG442+AG446+AG448+AG449</f>
        <v>188560</v>
      </c>
      <c r="AH450" s="1521"/>
      <c r="AI450" s="1521"/>
      <c r="AJ450" s="152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05" customHeight="1">
      <c r="D451" s="1544" t="s">
        <v>1312</v>
      </c>
      <c r="E451" s="1544"/>
      <c r="F451" s="1544"/>
      <c r="G451" s="1544"/>
      <c r="H451" s="1544"/>
      <c r="I451" s="1544"/>
      <c r="J451" s="1544"/>
      <c r="K451" s="1544"/>
      <c r="L451" s="1544"/>
      <c r="M451" s="1544"/>
      <c r="N451" s="1544"/>
      <c r="O451" s="1544"/>
      <c r="P451" s="1544"/>
      <c r="Q451" s="1544"/>
      <c r="R451" s="1544"/>
      <c r="S451" s="1544"/>
      <c r="T451" s="1544"/>
      <c r="U451" s="1544"/>
      <c r="V451" s="1544"/>
      <c r="W451" s="1544"/>
      <c r="X451" s="1544"/>
      <c r="Y451" s="1544"/>
      <c r="Z451" s="1544"/>
      <c r="AA451" s="1544"/>
      <c r="AB451" s="1544"/>
      <c r="AC451" s="1544"/>
      <c r="AD451" s="1544"/>
      <c r="AE451" s="1544"/>
      <c r="AF451" s="1544"/>
      <c r="AG451" s="1544"/>
      <c r="AH451" s="1544"/>
      <c r="AI451" s="1544"/>
      <c r="AJ451" s="154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05" customHeight="1">
      <c r="D452" s="1545"/>
      <c r="E452" s="1545"/>
      <c r="F452" s="1545"/>
      <c r="G452" s="1545"/>
      <c r="H452" s="1545"/>
      <c r="I452" s="1545"/>
      <c r="J452" s="1545"/>
      <c r="K452" s="1545"/>
      <c r="L452" s="1545"/>
      <c r="M452" s="1545"/>
      <c r="N452" s="1545"/>
      <c r="O452" s="1545"/>
      <c r="P452" s="1545"/>
      <c r="Q452" s="1545"/>
      <c r="R452" s="1545"/>
      <c r="S452" s="1545"/>
      <c r="T452" s="1545"/>
      <c r="U452" s="1545"/>
      <c r="V452" s="1545"/>
      <c r="W452" s="1545"/>
      <c r="X452" s="1545"/>
      <c r="Y452" s="1545"/>
      <c r="Z452" s="1545"/>
      <c r="AA452" s="1545"/>
      <c r="AB452" s="1545"/>
      <c r="AC452" s="1545"/>
      <c r="AD452" s="1545"/>
      <c r="AE452" s="1545"/>
      <c r="AF452" s="1545"/>
      <c r="AG452" s="1545"/>
      <c r="AH452" s="1545"/>
      <c r="AI452" s="1545"/>
      <c r="AJ452" s="154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0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0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96">
        <f>IF(AG437=0,"",'Sources and Uses Budget'!B105/Application!AG437)</f>
        <v>527251.01428571425</v>
      </c>
      <c r="AD454" s="1496"/>
      <c r="AE454" s="1496"/>
      <c r="AF454" s="1496"/>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0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96">
        <f>IF(AG437=0,"",'Sources and Uses Budget'!C105/Application!AG437)</f>
        <v>527251.01428571425</v>
      </c>
      <c r="AD455" s="1496"/>
      <c r="AE455" s="1496"/>
      <c r="AF455" s="149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0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96">
        <f>IF(AG437=0,"",('Sources and Uses Budget'!$S$107+'Sources and Uses Budget'!$T$107)/Application!AG437)</f>
        <v>490098.5595265</v>
      </c>
      <c r="AD456" s="1496"/>
      <c r="AE456" s="1496"/>
      <c r="AF456" s="149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05" customHeight="1">
      <c r="D457" s="186"/>
      <c r="E457" s="186"/>
      <c r="F457" s="1523" t="str">
        <f>IFERROR(IF(AC454&gt;650000,"Please provide a justification of cost per unit in Tab 12 for all projects with per unit costs of greater than $650,000.",""),"")</f>
        <v/>
      </c>
      <c r="G457" s="1523"/>
      <c r="H457" s="1523"/>
      <c r="I457" s="1523"/>
      <c r="J457" s="1523"/>
      <c r="K457" s="1523"/>
      <c r="L457" s="1523"/>
      <c r="M457" s="1523"/>
      <c r="N457" s="1523"/>
      <c r="O457" s="1523"/>
      <c r="P457" s="1523"/>
      <c r="Q457" s="1523"/>
      <c r="R457" s="1523"/>
      <c r="S457" s="1523"/>
      <c r="T457" s="1523"/>
      <c r="U457" s="1523"/>
      <c r="V457" s="1523"/>
      <c r="W457" s="1523"/>
      <c r="X457" s="1523"/>
      <c r="Y457" s="1523"/>
      <c r="Z457" s="1523"/>
      <c r="AA457" s="1523"/>
      <c r="AB457" s="152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05" customHeight="1">
      <c r="A458" s="2"/>
      <c r="D458" s="2"/>
      <c r="E458" s="186"/>
      <c r="F458" s="1523"/>
      <c r="G458" s="1523"/>
      <c r="H458" s="1523"/>
      <c r="I458" s="1523"/>
      <c r="J458" s="1523"/>
      <c r="K458" s="1523"/>
      <c r="L458" s="1523"/>
      <c r="M458" s="1523"/>
      <c r="N458" s="1523"/>
      <c r="O458" s="1523"/>
      <c r="P458" s="1523"/>
      <c r="Q458" s="1523"/>
      <c r="R458" s="1523"/>
      <c r="S458" s="1523"/>
      <c r="T458" s="1523"/>
      <c r="U458" s="1523"/>
      <c r="V458" s="1523"/>
      <c r="W458" s="1523"/>
      <c r="X458" s="1523"/>
      <c r="Y458" s="1523"/>
      <c r="Z458" s="1523"/>
      <c r="AA458" s="1523"/>
      <c r="AB458" s="152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0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0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0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0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0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0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05" customHeight="1">
      <c r="A465" s="3"/>
      <c r="B465" s="3"/>
      <c r="C465" s="3"/>
      <c r="D465" s="1452" t="s">
        <v>2414</v>
      </c>
      <c r="E465" s="1453"/>
      <c r="F465" s="1453"/>
      <c r="G465" s="1453"/>
      <c r="H465" s="1453"/>
      <c r="I465" s="1453"/>
      <c r="J465" s="1453"/>
      <c r="K465" s="1453"/>
      <c r="L465" s="1453"/>
      <c r="M465" s="1453"/>
      <c r="N465" s="1453"/>
      <c r="O465" s="1453"/>
      <c r="P465" s="1453"/>
      <c r="Q465" s="1453"/>
      <c r="R465" s="1453"/>
      <c r="S465" s="1453"/>
      <c r="T465" s="1453"/>
      <c r="U465" s="1453"/>
      <c r="V465" s="1454"/>
      <c r="W465" s="1466">
        <v>0</v>
      </c>
      <c r="X465" s="1467"/>
      <c r="Y465" s="146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05" customHeight="1">
      <c r="A466" s="3"/>
      <c r="B466" s="3"/>
      <c r="C466" s="3"/>
      <c r="D466" s="1476" t="s">
        <v>702</v>
      </c>
      <c r="E466" s="1453"/>
      <c r="F466" s="1453"/>
      <c r="G466" s="1453"/>
      <c r="H466" s="1453"/>
      <c r="I466" s="1453"/>
      <c r="J466" s="1453"/>
      <c r="K466" s="1453"/>
      <c r="L466" s="1453"/>
      <c r="M466" s="1453"/>
      <c r="N466" s="1453"/>
      <c r="O466" s="1453"/>
      <c r="P466" s="1453"/>
      <c r="Q466" s="1453"/>
      <c r="R466" s="1453"/>
      <c r="S466" s="1453"/>
      <c r="T466" s="1453"/>
      <c r="U466" s="1453"/>
      <c r="V466" s="1454"/>
      <c r="W466" s="1466">
        <v>0</v>
      </c>
      <c r="X466" s="1467"/>
      <c r="Y466" s="146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05" customHeight="1">
      <c r="A467" s="3"/>
      <c r="B467" s="3"/>
      <c r="C467" s="3"/>
      <c r="D467" s="1476" t="s">
        <v>703</v>
      </c>
      <c r="E467" s="1453"/>
      <c r="F467" s="1453"/>
      <c r="G467" s="1453"/>
      <c r="H467" s="1453"/>
      <c r="I467" s="1453"/>
      <c r="J467" s="1453"/>
      <c r="K467" s="1453"/>
      <c r="L467" s="1453"/>
      <c r="M467" s="1453"/>
      <c r="N467" s="1453"/>
      <c r="O467" s="1453"/>
      <c r="P467" s="1453"/>
      <c r="Q467" s="1453"/>
      <c r="R467" s="1453"/>
      <c r="S467" s="1453"/>
      <c r="T467" s="1453"/>
      <c r="U467" s="1453"/>
      <c r="V467" s="1454"/>
      <c r="W467" s="1466">
        <v>0</v>
      </c>
      <c r="X467" s="1467"/>
      <c r="Y467" s="146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05" customHeight="1">
      <c r="A468" s="3"/>
      <c r="B468" s="3"/>
      <c r="C468" s="3"/>
      <c r="D468" s="1476" t="s">
        <v>704</v>
      </c>
      <c r="E468" s="1453"/>
      <c r="F468" s="1453"/>
      <c r="G468" s="1453"/>
      <c r="H468" s="1453"/>
      <c r="I468" s="1453"/>
      <c r="J468" s="1453"/>
      <c r="K468" s="1453"/>
      <c r="L468" s="1453"/>
      <c r="M468" s="1453"/>
      <c r="N468" s="1453"/>
      <c r="O468" s="1453"/>
      <c r="P468" s="1453"/>
      <c r="Q468" s="1453"/>
      <c r="R468" s="1453"/>
      <c r="S468" s="1453"/>
      <c r="T468" s="1453"/>
      <c r="U468" s="1453"/>
      <c r="V468" s="1454"/>
      <c r="W468" s="1466">
        <v>0</v>
      </c>
      <c r="X468" s="1467"/>
      <c r="Y468" s="146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05" customHeight="1">
      <c r="A469" s="3"/>
      <c r="B469" s="3"/>
      <c r="C469" s="3"/>
      <c r="D469" s="1476" t="s">
        <v>893</v>
      </c>
      <c r="E469" s="1453"/>
      <c r="F469" s="1453"/>
      <c r="G469" s="1453"/>
      <c r="H469" s="1453"/>
      <c r="I469" s="1453"/>
      <c r="J469" s="1453"/>
      <c r="K469" s="1453"/>
      <c r="L469" s="1453"/>
      <c r="M469" s="1453"/>
      <c r="N469" s="1453"/>
      <c r="O469" s="1453"/>
      <c r="P469" s="1453"/>
      <c r="Q469" s="1453"/>
      <c r="R469" s="1453"/>
      <c r="S469" s="1453"/>
      <c r="T469" s="1453"/>
      <c r="U469" s="1453"/>
      <c r="V469" s="1454"/>
      <c r="W469" s="1466">
        <v>0</v>
      </c>
      <c r="X469" s="1467"/>
      <c r="Y469" s="146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05" customHeight="1">
      <c r="A470" s="3"/>
      <c r="B470" s="3"/>
      <c r="C470" s="3"/>
      <c r="D470" s="1476" t="s">
        <v>705</v>
      </c>
      <c r="E470" s="1453"/>
      <c r="F470" s="1453"/>
      <c r="G470" s="1453"/>
      <c r="H470" s="1453"/>
      <c r="I470" s="1453"/>
      <c r="J470" s="1453"/>
      <c r="K470" s="1453"/>
      <c r="L470" s="1453"/>
      <c r="M470" s="1453"/>
      <c r="N470" s="1453"/>
      <c r="O470" s="1453"/>
      <c r="P470" s="1453"/>
      <c r="Q470" s="1453"/>
      <c r="R470" s="1453"/>
      <c r="S470" s="1453"/>
      <c r="T470" s="1453"/>
      <c r="U470" s="1453"/>
      <c r="V470" s="1454"/>
      <c r="W470" s="1466">
        <v>0</v>
      </c>
      <c r="X470" s="1467"/>
      <c r="Y470" s="1468"/>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05" customHeight="1">
      <c r="A471" s="3"/>
      <c r="B471" s="3"/>
      <c r="C471" s="3"/>
      <c r="D471" s="1476" t="s">
        <v>1036</v>
      </c>
      <c r="E471" s="1453"/>
      <c r="F471" s="1453"/>
      <c r="G471" s="1453"/>
      <c r="H471" s="1453"/>
      <c r="I471" s="1453"/>
      <c r="J471" s="1453"/>
      <c r="K471" s="1453"/>
      <c r="L471" s="1453"/>
      <c r="M471" s="1453"/>
      <c r="N471" s="1453"/>
      <c r="O471" s="1453"/>
      <c r="P471" s="1453"/>
      <c r="Q471" s="1453"/>
      <c r="R471" s="1453"/>
      <c r="S471" s="1453"/>
      <c r="T471" s="1453"/>
      <c r="U471" s="1453"/>
      <c r="V471" s="1454"/>
      <c r="W471" s="1466">
        <v>0</v>
      </c>
      <c r="X471" s="1467"/>
      <c r="Y471" s="146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05" customHeight="1">
      <c r="A472" s="3"/>
      <c r="B472" s="3"/>
      <c r="C472" s="3"/>
      <c r="D472" s="1452" t="s">
        <v>2547</v>
      </c>
      <c r="E472" s="1464"/>
      <c r="F472" s="1464"/>
      <c r="G472" s="1464"/>
      <c r="H472" s="1464"/>
      <c r="I472" s="1464"/>
      <c r="J472" s="1464"/>
      <c r="K472" s="1464"/>
      <c r="L472" s="1464"/>
      <c r="M472" s="1464"/>
      <c r="N472" s="1464"/>
      <c r="O472" s="1464"/>
      <c r="P472" s="1464"/>
      <c r="Q472" s="1464"/>
      <c r="R472" s="1464"/>
      <c r="S472" s="1464"/>
      <c r="T472" s="1464"/>
      <c r="U472" s="1464"/>
      <c r="V472" s="1465"/>
      <c r="W472" s="1466">
        <v>0</v>
      </c>
      <c r="X472" s="1467"/>
      <c r="Y472" s="146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05" customHeight="1">
      <c r="A473" s="3"/>
      <c r="B473" s="3"/>
      <c r="C473" s="3"/>
      <c r="D473" s="1452" t="s">
        <v>1767</v>
      </c>
      <c r="E473" s="1453"/>
      <c r="F473" s="1453"/>
      <c r="G473" s="1453"/>
      <c r="H473" s="1453"/>
      <c r="I473" s="1453"/>
      <c r="J473" s="1453"/>
      <c r="K473" s="1453"/>
      <c r="L473" s="1453"/>
      <c r="M473" s="1453"/>
      <c r="N473" s="1453"/>
      <c r="O473" s="1453"/>
      <c r="P473" s="1453"/>
      <c r="Q473" s="1453"/>
      <c r="R473" s="1453"/>
      <c r="S473" s="1453"/>
      <c r="T473" s="1453"/>
      <c r="U473" s="1453"/>
      <c r="V473" s="1454"/>
      <c r="W473" s="1466">
        <v>21</v>
      </c>
      <c r="X473" s="1467"/>
      <c r="Y473" s="146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05" customHeight="1">
      <c r="A474" s="3"/>
      <c r="B474" s="3"/>
      <c r="C474" s="3"/>
      <c r="D474" s="261" t="s">
        <v>170</v>
      </c>
      <c r="E474" s="262"/>
      <c r="F474" s="263"/>
      <c r="G474" s="1518"/>
      <c r="H474" s="1519"/>
      <c r="I474" s="1519"/>
      <c r="J474" s="1519"/>
      <c r="K474" s="1519"/>
      <c r="L474" s="1519"/>
      <c r="M474" s="1519"/>
      <c r="N474" s="1519"/>
      <c r="O474" s="1519"/>
      <c r="P474" s="1519"/>
      <c r="Q474" s="1519"/>
      <c r="R474" s="1519"/>
      <c r="S474" s="1519"/>
      <c r="T474" s="1519"/>
      <c r="U474" s="1519"/>
      <c r="V474" s="1520"/>
      <c r="W474" s="1466">
        <v>110</v>
      </c>
      <c r="X474" s="1467"/>
      <c r="Y474" s="146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0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05" customHeight="1">
      <c r="A476" s="3"/>
      <c r="B476" s="3"/>
      <c r="C476" s="3"/>
      <c r="D476" s="268" t="s">
        <v>2779</v>
      </c>
      <c r="E476" s="269"/>
      <c r="F476" s="269"/>
      <c r="G476" s="269"/>
      <c r="H476" s="269"/>
      <c r="I476" s="269"/>
      <c r="J476" s="269"/>
      <c r="K476" s="269"/>
      <c r="L476" s="269"/>
      <c r="M476" s="269"/>
      <c r="N476" s="269"/>
      <c r="O476" s="269"/>
      <c r="P476" s="269"/>
      <c r="Q476" s="269"/>
      <c r="R476" s="269"/>
      <c r="S476" s="269"/>
      <c r="T476" s="269"/>
      <c r="U476" s="269"/>
      <c r="V476" s="269"/>
      <c r="W476" s="270">
        <v>8</v>
      </c>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0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0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0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05" customHeight="1">
      <c r="A480" s="1674" t="s">
        <v>819</v>
      </c>
      <c r="B480" s="1674"/>
      <c r="C480" s="1674"/>
      <c r="D480" s="1674"/>
      <c r="E480" s="1674"/>
      <c r="F480" s="1674"/>
      <c r="G480" s="1674"/>
      <c r="H480" s="1674"/>
      <c r="I480" s="1674"/>
      <c r="J480" s="1674"/>
      <c r="K480" s="1674"/>
      <c r="L480" s="1674"/>
      <c r="M480" s="1674"/>
      <c r="N480" s="1674"/>
      <c r="O480" s="1674"/>
      <c r="P480" s="1674"/>
      <c r="Q480" s="1674"/>
      <c r="R480" s="1674"/>
      <c r="S480" s="1674"/>
      <c r="T480" s="1674"/>
      <c r="U480" s="1674"/>
      <c r="V480" s="1674"/>
      <c r="W480" s="1674"/>
      <c r="X480" s="1674"/>
      <c r="Y480" s="1674"/>
      <c r="Z480" s="1674"/>
      <c r="AA480" s="1674"/>
      <c r="AB480" s="1674"/>
      <c r="AC480" s="1674"/>
      <c r="AD480" s="1674"/>
      <c r="AE480" s="1674"/>
      <c r="AF480" s="1674"/>
      <c r="AG480" s="1674"/>
      <c r="AH480" s="1674"/>
      <c r="AI480" s="1674"/>
      <c r="AJ480" s="1674"/>
      <c r="AK480" s="1674"/>
      <c r="AL480" s="1674"/>
      <c r="AM480" s="1674"/>
      <c r="AN480" s="1674"/>
      <c r="AO480" s="1674"/>
      <c r="AP480" s="1674"/>
      <c r="AQ480" s="1674"/>
      <c r="AR480" s="1674"/>
      <c r="AS480" s="1674"/>
      <c r="AT480" s="167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05" customHeight="1">
      <c r="A481" s="1674"/>
      <c r="B481" s="1674"/>
      <c r="C481" s="1674"/>
      <c r="D481" s="1674"/>
      <c r="E481" s="1674"/>
      <c r="F481" s="1674"/>
      <c r="G481" s="1674"/>
      <c r="H481" s="1674"/>
      <c r="I481" s="1674"/>
      <c r="J481" s="1674"/>
      <c r="K481" s="1674"/>
      <c r="L481" s="1674"/>
      <c r="M481" s="1674"/>
      <c r="N481" s="1674"/>
      <c r="O481" s="1674"/>
      <c r="P481" s="1674"/>
      <c r="Q481" s="1674"/>
      <c r="R481" s="1674"/>
      <c r="S481" s="1674"/>
      <c r="T481" s="1674"/>
      <c r="U481" s="1674"/>
      <c r="V481" s="1674"/>
      <c r="W481" s="1674"/>
      <c r="X481" s="1674"/>
      <c r="Y481" s="1674"/>
      <c r="Z481" s="1674"/>
      <c r="AA481" s="1674"/>
      <c r="AB481" s="1674"/>
      <c r="AC481" s="1674"/>
      <c r="AD481" s="1674"/>
      <c r="AE481" s="1674"/>
      <c r="AF481" s="1674"/>
      <c r="AG481" s="1674"/>
      <c r="AH481" s="1674"/>
      <c r="AI481" s="1674"/>
      <c r="AJ481" s="1674"/>
      <c r="AK481" s="1674"/>
      <c r="AL481" s="1674"/>
      <c r="AM481" s="1674"/>
      <c r="AN481" s="1674"/>
      <c r="AO481" s="1674"/>
      <c r="AP481" s="1674"/>
      <c r="AQ481" s="1674"/>
      <c r="AR481" s="1674"/>
      <c r="AS481" s="1674"/>
      <c r="AT481" s="167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0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0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0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05" customHeight="1">
      <c r="B485" s="45"/>
      <c r="C485" s="5"/>
      <c r="D485" s="5"/>
      <c r="E485" s="5"/>
      <c r="F485" s="5"/>
      <c r="G485" s="5"/>
      <c r="H485" s="5"/>
      <c r="I485" s="5"/>
      <c r="J485" s="5"/>
      <c r="K485" s="5"/>
      <c r="L485" s="5"/>
      <c r="M485" s="5"/>
      <c r="N485" s="5"/>
      <c r="O485" s="5"/>
      <c r="P485" s="46"/>
      <c r="Q485" s="1474" t="s">
        <v>394</v>
      </c>
      <c r="R485" s="1462"/>
      <c r="S485" s="1462"/>
      <c r="T485" s="1462"/>
      <c r="U485" s="1462"/>
      <c r="V485" s="1462"/>
      <c r="W485" s="1462"/>
      <c r="X485" s="1462"/>
      <c r="Y485" s="1462"/>
      <c r="Z485" s="1462"/>
      <c r="AA485" s="1462"/>
      <c r="AB485" s="1462"/>
      <c r="AC485" s="1462"/>
      <c r="AD485" s="1462"/>
      <c r="AE485" s="1462"/>
      <c r="AF485" s="1462"/>
      <c r="AG485" s="1462"/>
      <c r="AH485" s="1462"/>
      <c r="AI485" s="1462"/>
      <c r="AJ485" s="1462"/>
      <c r="AK485" s="146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05" customHeight="1">
      <c r="B486" s="45" t="s">
        <v>395</v>
      </c>
      <c r="C486" s="5"/>
      <c r="D486" s="5"/>
      <c r="E486" s="5"/>
      <c r="F486" s="5"/>
      <c r="G486" s="5"/>
      <c r="H486" s="5"/>
      <c r="I486" s="5"/>
      <c r="J486" s="5"/>
      <c r="K486" s="5"/>
      <c r="L486" s="5"/>
      <c r="M486" s="5"/>
      <c r="N486" s="5"/>
      <c r="O486" s="5"/>
      <c r="P486" s="5"/>
      <c r="Q486" s="1483" t="s">
        <v>2716</v>
      </c>
      <c r="R486" s="1374"/>
      <c r="S486" s="1374"/>
      <c r="T486" s="1374"/>
      <c r="U486" s="1374"/>
      <c r="V486" s="1374"/>
      <c r="W486" s="1374"/>
      <c r="X486" s="1374"/>
      <c r="Y486" s="1374"/>
      <c r="Z486" s="1374"/>
      <c r="AA486" s="1374"/>
      <c r="AB486" s="1374"/>
      <c r="AC486" s="1374"/>
      <c r="AD486" s="1374"/>
      <c r="AE486" s="1374"/>
      <c r="AF486" s="1374"/>
      <c r="AG486" s="1374"/>
      <c r="AH486" s="1374"/>
      <c r="AI486" s="1374"/>
      <c r="AJ486" s="1374"/>
      <c r="AK486" s="1484"/>
      <c r="AZ486" s="3"/>
      <c r="BB486" s="3"/>
      <c r="BC486" s="3"/>
      <c r="BD486" s="3"/>
      <c r="BE486" s="3"/>
      <c r="BF486" s="3"/>
      <c r="BG486" s="3"/>
      <c r="BH486" s="3"/>
      <c r="BI486" s="3"/>
      <c r="BJ486" s="3"/>
      <c r="BK486" s="3"/>
      <c r="BL486" s="3"/>
      <c r="BM486" s="3"/>
      <c r="BN486" s="3"/>
      <c r="BO486" s="3"/>
      <c r="BP486" s="3"/>
      <c r="BQ486" s="3"/>
      <c r="BR486" s="3"/>
      <c r="BS486" s="3"/>
      <c r="BT486" s="3"/>
      <c r="BU486" s="3"/>
      <c r="BV486" s="207" t="s">
        <v>2500</v>
      </c>
      <c r="BW486" s="208"/>
      <c r="BX486" s="208"/>
      <c r="BY486" s="208"/>
      <c r="BZ486" s="208"/>
      <c r="CA486" s="208"/>
      <c r="CB486" s="208"/>
      <c r="CC486" s="3"/>
      <c r="CD486" s="207" t="s">
        <v>2499</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05" customHeight="1">
      <c r="B487" s="45" t="s">
        <v>396</v>
      </c>
      <c r="C487" s="5"/>
      <c r="D487" s="5"/>
      <c r="E487" s="5"/>
      <c r="F487" s="5"/>
      <c r="G487" s="5"/>
      <c r="H487" s="5"/>
      <c r="I487" s="5"/>
      <c r="J487" s="5"/>
      <c r="K487" s="5"/>
      <c r="L487" s="5"/>
      <c r="M487" s="5"/>
      <c r="N487" s="5"/>
      <c r="O487" s="5"/>
      <c r="P487" s="5"/>
      <c r="Q487" s="1483" t="s">
        <v>2717</v>
      </c>
      <c r="R487" s="1374"/>
      <c r="S487" s="1374"/>
      <c r="T487" s="1374"/>
      <c r="U487" s="1374"/>
      <c r="V487" s="1374"/>
      <c r="W487" s="1374"/>
      <c r="X487" s="1374"/>
      <c r="Y487" s="1374"/>
      <c r="Z487" s="1374"/>
      <c r="AA487" s="1374"/>
      <c r="AB487" s="1374"/>
      <c r="AC487" s="1374"/>
      <c r="AD487" s="1374"/>
      <c r="AE487" s="1374"/>
      <c r="AF487" s="1374"/>
      <c r="AG487" s="1374"/>
      <c r="AH487" s="1374"/>
      <c r="AI487" s="1374"/>
      <c r="AJ487" s="1374"/>
      <c r="AK487" s="1484"/>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2229</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05" customHeight="1">
      <c r="B488" s="45" t="s">
        <v>397</v>
      </c>
      <c r="C488" s="5"/>
      <c r="D488" s="5"/>
      <c r="E488" s="5"/>
      <c r="F488" s="5"/>
      <c r="G488" s="5"/>
      <c r="H488" s="5"/>
      <c r="I488" s="5"/>
      <c r="J488" s="5"/>
      <c r="K488" s="5"/>
      <c r="L488" s="5"/>
      <c r="M488" s="5"/>
      <c r="N488" s="5"/>
      <c r="O488" s="5"/>
      <c r="P488" s="5"/>
      <c r="Q488" s="1483" t="s">
        <v>2717</v>
      </c>
      <c r="R488" s="1374"/>
      <c r="S488" s="1374"/>
      <c r="T488" s="1374"/>
      <c r="U488" s="1374"/>
      <c r="V488" s="1374"/>
      <c r="W488" s="1374"/>
      <c r="X488" s="1374"/>
      <c r="Y488" s="1374"/>
      <c r="Z488" s="1374"/>
      <c r="AA488" s="1374"/>
      <c r="AB488" s="1374"/>
      <c r="AC488" s="1374"/>
      <c r="AD488" s="1374"/>
      <c r="AE488" s="1374"/>
      <c r="AF488" s="1374"/>
      <c r="AG488" s="1374"/>
      <c r="AH488" s="1374"/>
      <c r="AI488" s="1374"/>
      <c r="AJ488" s="1374"/>
      <c r="AK488" s="1484"/>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05" customHeight="1" thickBot="1">
      <c r="B489" s="1525" t="s">
        <v>398</v>
      </c>
      <c r="C489" s="1526"/>
      <c r="D489" s="1526"/>
      <c r="E489" s="1526"/>
      <c r="F489" s="1526"/>
      <c r="G489" s="1526"/>
      <c r="H489" s="1526"/>
      <c r="I489" s="1526"/>
      <c r="J489" s="1526"/>
      <c r="K489" s="1526"/>
      <c r="L489" s="1526"/>
      <c r="M489" s="1526"/>
      <c r="N489" s="1526"/>
      <c r="O489" s="1526"/>
      <c r="P489" s="1527"/>
      <c r="Q489" s="1485" t="s">
        <v>677</v>
      </c>
      <c r="R489" s="1486"/>
      <c r="S489" s="1692" t="s">
        <v>166</v>
      </c>
      <c r="T489" s="1693"/>
      <c r="U489" s="1693"/>
      <c r="V489" s="1693"/>
      <c r="W489" s="1693"/>
      <c r="X489" s="1693"/>
      <c r="Y489" s="1693"/>
      <c r="Z489" s="1693"/>
      <c r="AA489" s="1693"/>
      <c r="AB489" s="1693"/>
      <c r="AC489" s="1693"/>
      <c r="AD489" s="1693"/>
      <c r="AE489" s="1693"/>
      <c r="AF489" s="1693"/>
      <c r="AG489" s="1693"/>
      <c r="AH489" s="1693"/>
      <c r="AI489" s="1693"/>
      <c r="AJ489" s="1693"/>
      <c r="AK489" s="1694"/>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05" customHeight="1">
      <c r="B490" s="1528"/>
      <c r="C490" s="1529"/>
      <c r="D490" s="1529"/>
      <c r="E490" s="1529"/>
      <c r="F490" s="1529"/>
      <c r="G490" s="1529"/>
      <c r="H490" s="1529"/>
      <c r="I490" s="1529"/>
      <c r="J490" s="1529"/>
      <c r="K490" s="1529"/>
      <c r="L490" s="1529"/>
      <c r="M490" s="1529"/>
      <c r="N490" s="1529"/>
      <c r="O490" s="1529"/>
      <c r="P490" s="1530"/>
      <c r="Q490" s="1487"/>
      <c r="R490" s="1488"/>
      <c r="S490" s="1695"/>
      <c r="T490" s="1505"/>
      <c r="U490" s="1505"/>
      <c r="V490" s="1505"/>
      <c r="W490" s="1505"/>
      <c r="X490" s="1505"/>
      <c r="Y490" s="1505"/>
      <c r="Z490" s="1505"/>
      <c r="AA490" s="1505"/>
      <c r="AB490" s="1505"/>
      <c r="AC490" s="1505"/>
      <c r="AD490" s="1505"/>
      <c r="AE490" s="1505"/>
      <c r="AF490" s="1505"/>
      <c r="AG490" s="1505"/>
      <c r="AH490" s="1505"/>
      <c r="AI490" s="1505"/>
      <c r="AJ490" s="1505"/>
      <c r="AK490" s="1696"/>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05" customHeight="1">
      <c r="B491" s="930" t="s">
        <v>1785</v>
      </c>
      <c r="C491" s="907"/>
      <c r="D491" s="907"/>
      <c r="E491" s="907"/>
      <c r="F491" s="907"/>
      <c r="G491" s="907"/>
      <c r="H491" s="907"/>
      <c r="I491" s="907"/>
      <c r="J491" s="907"/>
      <c r="K491" s="907"/>
      <c r="L491" s="907"/>
      <c r="M491" s="907"/>
      <c r="N491" s="907"/>
      <c r="O491" s="907"/>
      <c r="P491" s="907"/>
      <c r="Q491" s="1446" t="s">
        <v>599</v>
      </c>
      <c r="R491" s="1447"/>
      <c r="S491" s="1447"/>
      <c r="T491" s="1447"/>
      <c r="U491" s="1447"/>
      <c r="V491" s="1447"/>
      <c r="W491" s="1447"/>
      <c r="X491" s="1447"/>
      <c r="Y491" s="1447"/>
      <c r="Z491" s="1447"/>
      <c r="AA491" s="1447"/>
      <c r="AB491" s="1447"/>
      <c r="AC491" s="1447"/>
      <c r="AD491" s="1447"/>
      <c r="AE491" s="1447"/>
      <c r="AF491" s="1447"/>
      <c r="AG491" s="1447"/>
      <c r="AH491" s="1447"/>
      <c r="AI491" s="1447"/>
      <c r="AJ491" s="1447"/>
      <c r="AK491" s="144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05" customHeight="1">
      <c r="B492" s="45" t="s">
        <v>399</v>
      </c>
      <c r="C492" s="5"/>
      <c r="D492" s="5"/>
      <c r="E492" s="5"/>
      <c r="F492" s="5"/>
      <c r="G492" s="5"/>
      <c r="H492" s="5"/>
      <c r="I492" s="5"/>
      <c r="J492" s="5"/>
      <c r="K492" s="5"/>
      <c r="L492" s="5"/>
      <c r="M492" s="5"/>
      <c r="N492" s="5"/>
      <c r="O492" s="5"/>
      <c r="P492" s="5"/>
      <c r="Q492" s="1483" t="s">
        <v>2718</v>
      </c>
      <c r="R492" s="1374"/>
      <c r="S492" s="1374"/>
      <c r="T492" s="1374"/>
      <c r="U492" s="1374"/>
      <c r="V492" s="1374"/>
      <c r="W492" s="1374"/>
      <c r="X492" s="1374"/>
      <c r="Y492" s="1374"/>
      <c r="Z492" s="1374"/>
      <c r="AA492" s="1374"/>
      <c r="AB492" s="1374"/>
      <c r="AC492" s="1374"/>
      <c r="AD492" s="1374"/>
      <c r="AE492" s="1374"/>
      <c r="AF492" s="1374"/>
      <c r="AG492" s="1374"/>
      <c r="AH492" s="1374"/>
      <c r="AI492" s="1374"/>
      <c r="AJ492" s="1374"/>
      <c r="AK492" s="1484"/>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05" customHeight="1">
      <c r="B493" s="45" t="s">
        <v>400</v>
      </c>
      <c r="C493" s="5"/>
      <c r="D493" s="5"/>
      <c r="E493" s="5"/>
      <c r="F493" s="5"/>
      <c r="G493" s="5"/>
      <c r="H493" s="5"/>
      <c r="I493" s="5"/>
      <c r="J493" s="5"/>
      <c r="K493" s="5"/>
      <c r="L493" s="5"/>
      <c r="M493" s="5"/>
      <c r="N493" s="5"/>
      <c r="O493" s="5"/>
      <c r="P493" s="5"/>
      <c r="Q493" s="1483" t="s">
        <v>2719</v>
      </c>
      <c r="R493" s="1374"/>
      <c r="S493" s="1374"/>
      <c r="T493" s="1374"/>
      <c r="U493" s="1374"/>
      <c r="V493" s="1374"/>
      <c r="W493" s="1374"/>
      <c r="X493" s="1374"/>
      <c r="Y493" s="1374"/>
      <c r="Z493" s="1374"/>
      <c r="AA493" s="1374"/>
      <c r="AB493" s="1374"/>
      <c r="AC493" s="1374"/>
      <c r="AD493" s="1374"/>
      <c r="AE493" s="1374"/>
      <c r="AF493" s="1374"/>
      <c r="AG493" s="1374"/>
      <c r="AH493" s="1374"/>
      <c r="AI493" s="1374"/>
      <c r="AJ493" s="1374"/>
      <c r="AK493" s="1484"/>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05" customHeight="1">
      <c r="B494" s="121" t="s">
        <v>1782</v>
      </c>
      <c r="C494" s="5"/>
      <c r="D494" s="5"/>
      <c r="E494" s="5"/>
      <c r="F494" s="5"/>
      <c r="G494" s="5"/>
      <c r="H494" s="5"/>
      <c r="I494" s="5"/>
      <c r="J494" s="5"/>
      <c r="K494" s="5"/>
      <c r="L494" s="5"/>
      <c r="M494" s="5"/>
      <c r="N494" s="5"/>
      <c r="O494" s="5"/>
      <c r="P494" s="5"/>
      <c r="Q494" s="1483" t="s">
        <v>2720</v>
      </c>
      <c r="R494" s="1374"/>
      <c r="S494" s="1374"/>
      <c r="T494" s="1374"/>
      <c r="U494" s="1374"/>
      <c r="V494" s="1374"/>
      <c r="W494" s="1374"/>
      <c r="X494" s="1374"/>
      <c r="Y494" s="1374"/>
      <c r="Z494" s="1374"/>
      <c r="AA494" s="1374"/>
      <c r="AB494" s="1374"/>
      <c r="AC494" s="1374"/>
      <c r="AD494" s="1374"/>
      <c r="AE494" s="1374"/>
      <c r="AF494" s="1374"/>
      <c r="AG494" s="1374"/>
      <c r="AH494" s="1374"/>
      <c r="AI494" s="1374"/>
      <c r="AJ494" s="1374"/>
      <c r="AK494" s="1484"/>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05" customHeight="1">
      <c r="B495" s="121" t="s">
        <v>1783</v>
      </c>
      <c r="C495" s="5"/>
      <c r="D495" s="5"/>
      <c r="E495" s="5"/>
      <c r="F495" s="5"/>
      <c r="G495" s="5"/>
      <c r="H495" s="5"/>
      <c r="I495" s="5"/>
      <c r="J495" s="5"/>
      <c r="K495" s="5"/>
      <c r="L495" s="5"/>
      <c r="M495" s="1449">
        <v>0</v>
      </c>
      <c r="N495" s="1450"/>
      <c r="O495" s="1450"/>
      <c r="P495" s="1451"/>
      <c r="Q495" s="121" t="s">
        <v>1784</v>
      </c>
      <c r="R495" s="5"/>
      <c r="S495" s="5"/>
      <c r="T495" s="5"/>
      <c r="U495" s="5"/>
      <c r="V495" s="5"/>
      <c r="W495" s="5"/>
      <c r="X495" s="5"/>
      <c r="Y495" s="5"/>
      <c r="Z495" s="5"/>
      <c r="AA495" s="5"/>
      <c r="AB495" s="5"/>
      <c r="AC495" s="5"/>
      <c r="AD495" s="5"/>
      <c r="AE495" s="5"/>
      <c r="AF495" s="5"/>
      <c r="AG495" s="5"/>
      <c r="AH495" s="1449">
        <v>190</v>
      </c>
      <c r="AI495" s="1450"/>
      <c r="AJ495" s="1450"/>
      <c r="AK495" s="145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0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0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0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74" t="s">
        <v>402</v>
      </c>
      <c r="AD499" s="1462"/>
      <c r="AE499" s="1462"/>
      <c r="AF499" s="1462"/>
      <c r="AG499" s="1462"/>
      <c r="AH499" s="1462"/>
      <c r="AI499" s="1462"/>
      <c r="AJ499" s="1462"/>
      <c r="AK499" s="146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74" t="s">
        <v>403</v>
      </c>
      <c r="AD500" s="1462"/>
      <c r="AE500" s="1462"/>
      <c r="AF500" s="1462"/>
      <c r="AG500" s="50" t="s">
        <v>404</v>
      </c>
      <c r="AH500" s="1462" t="s">
        <v>405</v>
      </c>
      <c r="AI500" s="1462"/>
      <c r="AJ500" s="1462"/>
      <c r="AK500" s="146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05" customHeight="1">
      <c r="B501" s="1412" t="s">
        <v>406</v>
      </c>
      <c r="C501" s="1413"/>
      <c r="D501" s="1413"/>
      <c r="E501" s="1413"/>
      <c r="F501" s="1413"/>
      <c r="G501" s="1413"/>
      <c r="H501" s="1414"/>
      <c r="I501" s="42" t="s">
        <v>407</v>
      </c>
      <c r="J501" s="42"/>
      <c r="K501" s="42"/>
      <c r="L501" s="42"/>
      <c r="M501" s="42"/>
      <c r="N501" s="42"/>
      <c r="O501" s="42"/>
      <c r="P501" s="42"/>
      <c r="Q501" s="42"/>
      <c r="R501" s="42"/>
      <c r="S501" s="42"/>
      <c r="T501" s="42"/>
      <c r="U501" s="42"/>
      <c r="V501" s="42"/>
      <c r="W501" s="42"/>
      <c r="AC501" s="1455">
        <v>3</v>
      </c>
      <c r="AD501" s="1456"/>
      <c r="AE501" s="1456"/>
      <c r="AF501" s="1456"/>
      <c r="AG501" s="13" t="s">
        <v>404</v>
      </c>
      <c r="AH501" s="1444">
        <v>2023</v>
      </c>
      <c r="AI501" s="1444"/>
      <c r="AJ501" s="1444"/>
      <c r="AK501" s="144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05" customHeight="1">
      <c r="B502" s="1415"/>
      <c r="C502" s="1416"/>
      <c r="D502" s="1416"/>
      <c r="E502" s="1416"/>
      <c r="F502" s="1416"/>
      <c r="G502" s="1416"/>
      <c r="H502" s="1417"/>
      <c r="I502" s="48" t="s">
        <v>408</v>
      </c>
      <c r="J502" s="48"/>
      <c r="K502" s="48"/>
      <c r="L502" s="48"/>
      <c r="M502" s="48"/>
      <c r="N502" s="48"/>
      <c r="O502" s="48"/>
      <c r="P502" s="48"/>
      <c r="Q502" s="48"/>
      <c r="R502" s="48"/>
      <c r="S502" s="48"/>
      <c r="T502" s="48"/>
      <c r="U502" s="48"/>
      <c r="V502" s="48"/>
      <c r="W502" s="48"/>
      <c r="X502" s="48"/>
      <c r="Y502" s="48"/>
      <c r="Z502" s="48"/>
      <c r="AA502" s="48"/>
      <c r="AB502" s="48"/>
      <c r="AC502" s="1455">
        <v>10</v>
      </c>
      <c r="AD502" s="1456"/>
      <c r="AE502" s="1456"/>
      <c r="AF502" s="1456"/>
      <c r="AG502" s="38" t="s">
        <v>404</v>
      </c>
      <c r="AH502" s="1444">
        <v>2024</v>
      </c>
      <c r="AI502" s="1444"/>
      <c r="AJ502" s="1444"/>
      <c r="AK502" s="144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05" customHeight="1">
      <c r="B503" s="1412" t="s">
        <v>409</v>
      </c>
      <c r="C503" s="1413"/>
      <c r="D503" s="1413"/>
      <c r="E503" s="1413"/>
      <c r="F503" s="1413"/>
      <c r="G503" s="1413"/>
      <c r="H503" s="1414"/>
      <c r="I503" s="42" t="s">
        <v>410</v>
      </c>
      <c r="J503" s="42"/>
      <c r="K503" s="42"/>
      <c r="L503" s="42"/>
      <c r="M503" s="42"/>
      <c r="N503" s="42"/>
      <c r="O503" s="42"/>
      <c r="P503" s="42"/>
      <c r="Q503" s="42"/>
      <c r="R503" s="42"/>
      <c r="S503" s="42"/>
      <c r="T503" s="42"/>
      <c r="U503" s="42"/>
      <c r="V503" s="42"/>
      <c r="W503" s="42"/>
      <c r="AC503" s="1455" t="s">
        <v>599</v>
      </c>
      <c r="AD503" s="1456"/>
      <c r="AE503" s="1456"/>
      <c r="AF503" s="1456"/>
      <c r="AG503" s="13" t="s">
        <v>404</v>
      </c>
      <c r="AH503" s="1444"/>
      <c r="AI503" s="1444"/>
      <c r="AJ503" s="1444"/>
      <c r="AK503" s="144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05" customHeight="1">
      <c r="B504" s="1415"/>
      <c r="C504" s="1416"/>
      <c r="D504" s="1416"/>
      <c r="E504" s="1416"/>
      <c r="F504" s="1416"/>
      <c r="G504" s="1416"/>
      <c r="H504" s="1417"/>
      <c r="I504" t="s">
        <v>411</v>
      </c>
      <c r="AC504" s="1455" t="s">
        <v>599</v>
      </c>
      <c r="AD504" s="1456"/>
      <c r="AE504" s="1456"/>
      <c r="AF504" s="1456"/>
      <c r="AG504" s="13" t="s">
        <v>404</v>
      </c>
      <c r="AH504" s="1444"/>
      <c r="AI504" s="1444"/>
      <c r="AJ504" s="1444"/>
      <c r="AK504" s="144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05" customHeight="1">
      <c r="B505" s="1415"/>
      <c r="C505" s="1416"/>
      <c r="D505" s="1416"/>
      <c r="E505" s="1416"/>
      <c r="F505" s="1416"/>
      <c r="G505" s="1416"/>
      <c r="H505" s="1417"/>
      <c r="I505" t="s">
        <v>412</v>
      </c>
      <c r="AC505" s="1455">
        <v>12</v>
      </c>
      <c r="AD505" s="1456"/>
      <c r="AE505" s="1456"/>
      <c r="AF505" s="1456"/>
      <c r="AG505" s="13" t="s">
        <v>404</v>
      </c>
      <c r="AH505" s="1444">
        <v>2022</v>
      </c>
      <c r="AI505" s="1444"/>
      <c r="AJ505" s="1444"/>
      <c r="AK505" s="144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05" customHeight="1">
      <c r="B506" s="1415"/>
      <c r="C506" s="1416"/>
      <c r="D506" s="1416"/>
      <c r="E506" s="1416"/>
      <c r="F506" s="1416"/>
      <c r="G506" s="1416"/>
      <c r="H506" s="1417"/>
      <c r="I506" t="s">
        <v>413</v>
      </c>
      <c r="AC506" s="1455">
        <v>10</v>
      </c>
      <c r="AD506" s="1456"/>
      <c r="AE506" s="1456"/>
      <c r="AF506" s="1456"/>
      <c r="AG506" s="13" t="s">
        <v>404</v>
      </c>
      <c r="AH506" s="1444">
        <v>2024</v>
      </c>
      <c r="AI506" s="1444"/>
      <c r="AJ506" s="1444"/>
      <c r="AK506" s="144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05" customHeight="1">
      <c r="B507" s="1415"/>
      <c r="C507" s="1416"/>
      <c r="D507" s="1416"/>
      <c r="E507" s="1416"/>
      <c r="F507" s="1416"/>
      <c r="G507" s="1416"/>
      <c r="H507" s="1417"/>
      <c r="I507" s="3" t="s">
        <v>414</v>
      </c>
      <c r="AC507" s="1375">
        <v>10</v>
      </c>
      <c r="AD507" s="1376"/>
      <c r="AE507" s="1376"/>
      <c r="AF507" s="1376"/>
      <c r="AG507" s="13" t="s">
        <v>404</v>
      </c>
      <c r="AH507" s="1444">
        <v>2024</v>
      </c>
      <c r="AI507" s="1444"/>
      <c r="AJ507" s="1444"/>
      <c r="AK507" s="144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05" customHeight="1">
      <c r="B508" s="1415"/>
      <c r="C508" s="1416"/>
      <c r="D508" s="1416"/>
      <c r="E508" s="1416"/>
      <c r="F508" s="1416"/>
      <c r="G508" s="1416"/>
      <c r="H508" s="1417"/>
      <c r="I508" s="931" t="s">
        <v>170</v>
      </c>
      <c r="J508" s="48"/>
      <c r="K508" s="48"/>
      <c r="L508" s="1459" t="s">
        <v>335</v>
      </c>
      <c r="M508" s="1460"/>
      <c r="N508" s="1460"/>
      <c r="O508" s="1460"/>
      <c r="P508" s="1460"/>
      <c r="Q508" s="1460"/>
      <c r="R508" s="1460"/>
      <c r="S508" s="1460"/>
      <c r="T508" s="1460"/>
      <c r="U508" s="1460"/>
      <c r="V508" s="1460"/>
      <c r="W508" s="1460"/>
      <c r="X508" s="1460"/>
      <c r="Y508" s="1460"/>
      <c r="Z508" s="1460"/>
      <c r="AA508" s="1460"/>
      <c r="AB508" s="1501"/>
      <c r="AC508" s="1455" t="s">
        <v>599</v>
      </c>
      <c r="AD508" s="1456"/>
      <c r="AE508" s="1456"/>
      <c r="AF508" s="1456"/>
      <c r="AG508" s="38" t="s">
        <v>404</v>
      </c>
      <c r="AH508" s="1444"/>
      <c r="AI508" s="1444"/>
      <c r="AJ508" s="1444"/>
      <c r="AK508" s="144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05" customHeight="1">
      <c r="B509" s="905"/>
      <c r="C509" s="130"/>
      <c r="D509" s="130"/>
      <c r="E509" s="130"/>
      <c r="F509" s="130"/>
      <c r="G509" s="130"/>
      <c r="H509" s="906"/>
      <c r="I509" s="3" t="s">
        <v>1789</v>
      </c>
      <c r="AC509" s="1497" t="s">
        <v>553</v>
      </c>
      <c r="AD509" s="1497"/>
      <c r="AE509" s="1497"/>
      <c r="AF509" s="1497"/>
      <c r="AG509" s="13"/>
      <c r="AH509" s="1308"/>
      <c r="AI509" s="1308"/>
      <c r="AJ509" s="1308"/>
      <c r="AK509" s="1490"/>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05" customHeight="1">
      <c r="B510" s="905"/>
      <c r="C510" s="130"/>
      <c r="D510" s="130"/>
      <c r="E510" s="130"/>
      <c r="F510" s="130"/>
      <c r="G510" s="130"/>
      <c r="H510" s="906"/>
      <c r="I510" t="s">
        <v>1786</v>
      </c>
      <c r="AC510" s="1375">
        <v>2</v>
      </c>
      <c r="AD510" s="1376"/>
      <c r="AE510" s="1376"/>
      <c r="AF510" s="1377"/>
      <c r="AG510" s="13"/>
      <c r="AH510" s="1308"/>
      <c r="AI510" s="1308"/>
      <c r="AJ510" s="1308"/>
      <c r="AK510" s="1490"/>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0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0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491">
        <v>1</v>
      </c>
      <c r="AD512" s="1492"/>
      <c r="AE512" s="1492"/>
      <c r="AF512" s="1493"/>
      <c r="AG512" s="38"/>
      <c r="AH512" s="1494"/>
      <c r="AI512" s="1494"/>
      <c r="AJ512" s="1494"/>
      <c r="AK512" s="1495"/>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0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7" t="s">
        <v>403</v>
      </c>
      <c r="AD513" s="1508"/>
      <c r="AE513" s="1508"/>
      <c r="AF513" s="1508"/>
      <c r="AG513" s="38" t="s">
        <v>404</v>
      </c>
      <c r="AH513" s="1508" t="s">
        <v>405</v>
      </c>
      <c r="AI513" s="1508"/>
      <c r="AJ513" s="1508"/>
      <c r="AK513" s="1509"/>
      <c r="AZ513" s="3"/>
      <c r="BA513" s="3"/>
      <c r="BB513" s="3"/>
      <c r="BC513" s="3"/>
      <c r="BD513" s="3"/>
      <c r="BE513" s="3"/>
      <c r="BF513" s="3"/>
      <c r="BG513" s="3"/>
      <c r="BH513" s="3"/>
      <c r="BI513" s="3"/>
      <c r="BJ513" s="3"/>
      <c r="BK513" s="3"/>
      <c r="BL513" s="3"/>
      <c r="BM513" s="3"/>
      <c r="BN513" s="3" t="s">
        <v>2420</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05" customHeight="1">
      <c r="B514" s="1412" t="s">
        <v>415</v>
      </c>
      <c r="C514" s="1413"/>
      <c r="D514" s="1413"/>
      <c r="E514" s="1413"/>
      <c r="F514" s="1413"/>
      <c r="G514" s="1413"/>
      <c r="H514" s="1414"/>
      <c r="I514" s="42" t="s">
        <v>416</v>
      </c>
      <c r="J514" s="42"/>
      <c r="K514" s="42"/>
      <c r="L514" s="42"/>
      <c r="M514" s="42"/>
      <c r="N514" s="42"/>
      <c r="O514" s="42"/>
      <c r="P514" s="42"/>
      <c r="Q514" s="42"/>
      <c r="R514" s="42"/>
      <c r="S514" s="42"/>
      <c r="T514" s="42"/>
      <c r="U514" s="42"/>
      <c r="V514" s="42"/>
      <c r="W514" s="42"/>
      <c r="AC514" s="1455">
        <v>4</v>
      </c>
      <c r="AD514" s="1456"/>
      <c r="AE514" s="1456"/>
      <c r="AF514" s="1456"/>
      <c r="AG514" s="13" t="s">
        <v>404</v>
      </c>
      <c r="AH514" s="1444">
        <v>2024</v>
      </c>
      <c r="AI514" s="1444"/>
      <c r="AJ514" s="1444"/>
      <c r="AK514" s="1445"/>
      <c r="AZ514" s="3"/>
      <c r="BA514" s="3"/>
      <c r="BB514" s="3"/>
      <c r="BC514" s="3"/>
      <c r="BD514" s="3"/>
      <c r="BE514" s="3"/>
      <c r="BF514" s="3"/>
      <c r="BG514" s="3"/>
      <c r="BH514" s="3"/>
      <c r="BI514" s="3"/>
      <c r="BJ514" s="3"/>
      <c r="BK514" s="3"/>
      <c r="BL514" s="3"/>
      <c r="BM514" s="3"/>
      <c r="BN514" s="3" t="s">
        <v>2421</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05" customHeight="1">
      <c r="B515" s="1415"/>
      <c r="C515" s="1416"/>
      <c r="D515" s="1416"/>
      <c r="E515" s="1416"/>
      <c r="F515" s="1416"/>
      <c r="G515" s="1416"/>
      <c r="H515" s="1417"/>
      <c r="I515" t="s">
        <v>417</v>
      </c>
      <c r="AC515" s="1455">
        <v>4</v>
      </c>
      <c r="AD515" s="1456"/>
      <c r="AE515" s="1456"/>
      <c r="AF515" s="1456"/>
      <c r="AG515" s="13" t="s">
        <v>404</v>
      </c>
      <c r="AH515" s="1444">
        <v>2024</v>
      </c>
      <c r="AI515" s="1444"/>
      <c r="AJ515" s="1444"/>
      <c r="AK515" s="1445"/>
      <c r="AZ515" s="3"/>
      <c r="BA515" s="3"/>
      <c r="BB515" s="3"/>
      <c r="BC515" s="3"/>
      <c r="BD515" s="3"/>
      <c r="BE515" s="3"/>
      <c r="BF515" s="3"/>
      <c r="BG515" s="3"/>
      <c r="BH515" s="3"/>
      <c r="BI515" s="3"/>
      <c r="BJ515" s="3"/>
      <c r="BK515" s="3"/>
      <c r="BL515" s="3"/>
      <c r="BM515" s="3"/>
      <c r="BN515" s="3" t="s">
        <v>2422</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05" customHeight="1">
      <c r="B516" s="1415"/>
      <c r="C516" s="1416"/>
      <c r="D516" s="1416"/>
      <c r="E516" s="1416"/>
      <c r="F516" s="1416"/>
      <c r="G516" s="1416"/>
      <c r="H516" s="1417"/>
      <c r="I516" s="48" t="s">
        <v>418</v>
      </c>
      <c r="J516" s="48"/>
      <c r="K516" s="48"/>
      <c r="L516" s="48"/>
      <c r="M516" s="48"/>
      <c r="N516" s="48"/>
      <c r="O516" s="48"/>
      <c r="P516" s="48"/>
      <c r="Q516" s="48"/>
      <c r="R516" s="48"/>
      <c r="S516" s="48"/>
      <c r="T516" s="48"/>
      <c r="U516" s="48"/>
      <c r="V516" s="48"/>
      <c r="W516" s="48"/>
      <c r="X516" s="48"/>
      <c r="Y516" s="48"/>
      <c r="Z516" s="48"/>
      <c r="AA516" s="48"/>
      <c r="AB516" s="48"/>
      <c r="AC516" s="1455">
        <v>11</v>
      </c>
      <c r="AD516" s="1456"/>
      <c r="AE516" s="1456"/>
      <c r="AF516" s="1456"/>
      <c r="AG516" s="38" t="s">
        <v>404</v>
      </c>
      <c r="AH516" s="1444">
        <v>2024</v>
      </c>
      <c r="AI516" s="1444"/>
      <c r="AJ516" s="1444"/>
      <c r="AK516" s="1445"/>
      <c r="AZ516" s="3"/>
      <c r="BA516" s="3"/>
      <c r="BB516" s="3"/>
      <c r="BC516" s="3"/>
      <c r="BD516" s="3"/>
      <c r="BE516" s="3"/>
      <c r="BF516" s="3"/>
      <c r="BG516" s="3"/>
      <c r="BH516" s="3"/>
      <c r="BI516" s="3"/>
      <c r="BJ516" s="3"/>
      <c r="BK516" s="3"/>
      <c r="BL516" s="3"/>
      <c r="BM516" s="3"/>
      <c r="BN516" s="3" t="s">
        <v>2423</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05" customHeight="1">
      <c r="B517" s="1412" t="s">
        <v>419</v>
      </c>
      <c r="C517" s="1413"/>
      <c r="D517" s="1413"/>
      <c r="E517" s="1413"/>
      <c r="F517" s="1413"/>
      <c r="G517" s="1413"/>
      <c r="H517" s="1414"/>
      <c r="I517" s="42" t="s">
        <v>416</v>
      </c>
      <c r="J517" s="42"/>
      <c r="K517" s="42"/>
      <c r="L517" s="42"/>
      <c r="M517" s="42"/>
      <c r="N517" s="42"/>
      <c r="O517" s="42"/>
      <c r="P517" s="42"/>
      <c r="Q517" s="42"/>
      <c r="R517" s="42"/>
      <c r="S517" s="42"/>
      <c r="T517" s="42"/>
      <c r="U517" s="42"/>
      <c r="V517" s="42"/>
      <c r="W517" s="42"/>
      <c r="X517" s="42"/>
      <c r="Y517" s="42"/>
      <c r="Z517" s="42"/>
      <c r="AA517" s="42"/>
      <c r="AB517" s="42"/>
      <c r="AC517" s="1375">
        <v>4</v>
      </c>
      <c r="AD517" s="1376"/>
      <c r="AE517" s="1376"/>
      <c r="AF517" s="1376"/>
      <c r="AG517" s="129" t="s">
        <v>404</v>
      </c>
      <c r="AH517" s="1444">
        <v>2024</v>
      </c>
      <c r="AI517" s="1444"/>
      <c r="AJ517" s="1444"/>
      <c r="AK517" s="1445"/>
      <c r="AZ517" s="3"/>
      <c r="BB517" s="3"/>
      <c r="BC517" s="3"/>
      <c r="BD517" s="3"/>
      <c r="BE517" s="3"/>
      <c r="BF517" s="3"/>
      <c r="BG517" s="3"/>
      <c r="BH517" s="3"/>
      <c r="BI517" s="3"/>
      <c r="BJ517" s="3"/>
      <c r="BK517" s="3"/>
      <c r="BL517" s="3"/>
      <c r="BM517" s="3"/>
      <c r="BN517" s="3" t="s">
        <v>2424</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05" customHeight="1">
      <c r="B518" s="1415"/>
      <c r="C518" s="1416"/>
      <c r="D518" s="1416"/>
      <c r="E518" s="1416"/>
      <c r="F518" s="1416"/>
      <c r="G518" s="1416"/>
      <c r="H518" s="1417"/>
      <c r="I518" t="s">
        <v>417</v>
      </c>
      <c r="AC518" s="1455">
        <v>4</v>
      </c>
      <c r="AD518" s="1456"/>
      <c r="AE518" s="1456"/>
      <c r="AF518" s="1456"/>
      <c r="AG518" s="13" t="s">
        <v>404</v>
      </c>
      <c r="AH518" s="1444">
        <v>2024</v>
      </c>
      <c r="AI518" s="1444"/>
      <c r="AJ518" s="1444"/>
      <c r="AK518" s="1445"/>
      <c r="BB518" s="3"/>
      <c r="BC518" s="3"/>
      <c r="BD518" s="3"/>
      <c r="BE518" s="3"/>
      <c r="BF518" s="3"/>
      <c r="BG518" s="3"/>
      <c r="BH518" s="3"/>
      <c r="BI518" s="3"/>
      <c r="BJ518" s="3"/>
      <c r="BK518" s="3"/>
      <c r="BL518" s="3"/>
      <c r="BM518" s="3"/>
      <c r="BN518" s="3" t="s">
        <v>2425</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05" customHeight="1">
      <c r="B519" s="1418"/>
      <c r="C519" s="1419"/>
      <c r="D519" s="1419"/>
      <c r="E519" s="1419"/>
      <c r="F519" s="1419"/>
      <c r="G519" s="1419"/>
      <c r="H519" s="1420"/>
      <c r="I519" s="48" t="s">
        <v>418</v>
      </c>
      <c r="J519" s="48"/>
      <c r="K519" s="48"/>
      <c r="L519" s="48"/>
      <c r="M519" s="48"/>
      <c r="N519" s="48"/>
      <c r="O519" s="48"/>
      <c r="P519" s="48"/>
      <c r="Q519" s="48"/>
      <c r="R519" s="48"/>
      <c r="S519" s="48"/>
      <c r="T519" s="48"/>
      <c r="U519" s="48"/>
      <c r="V519" s="48"/>
      <c r="W519" s="48"/>
      <c r="X519" s="48"/>
      <c r="Y519" s="48"/>
      <c r="Z519" s="48"/>
      <c r="AA519" s="48"/>
      <c r="AB519" s="48"/>
      <c r="AC519" s="1455">
        <v>8</v>
      </c>
      <c r="AD519" s="1456"/>
      <c r="AE519" s="1456"/>
      <c r="AF519" s="1456"/>
      <c r="AG519" s="38" t="s">
        <v>404</v>
      </c>
      <c r="AH519" s="1444">
        <v>2027</v>
      </c>
      <c r="AI519" s="1444"/>
      <c r="AJ519" s="1444"/>
      <c r="AK519" s="1445"/>
      <c r="BB519" s="3"/>
      <c r="BC519" s="3"/>
      <c r="BD519" s="3"/>
      <c r="BE519" s="3"/>
      <c r="BF519" s="3"/>
      <c r="BG519" s="3"/>
      <c r="BH519" s="3"/>
      <c r="BI519" s="3"/>
      <c r="BJ519" s="3"/>
      <c r="BK519" s="3"/>
      <c r="BL519" s="3"/>
      <c r="BM519" s="3"/>
      <c r="BN519" s="3" t="s">
        <v>2426</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05" customHeight="1">
      <c r="B520" s="1412" t="s">
        <v>420</v>
      </c>
      <c r="C520" s="1413"/>
      <c r="D520" s="1413"/>
      <c r="E520" s="1413"/>
      <c r="F520" s="1413"/>
      <c r="G520" s="1413"/>
      <c r="H520" s="1414"/>
      <c r="I520" s="41" t="s">
        <v>421</v>
      </c>
      <c r="J520" s="42"/>
      <c r="K520" s="42"/>
      <c r="L520" s="42"/>
      <c r="M520" s="42"/>
      <c r="N520" s="42"/>
      <c r="O520" s="1459" t="s">
        <v>2748</v>
      </c>
      <c r="P520" s="1460"/>
      <c r="Q520" s="1460"/>
      <c r="R520" s="1460"/>
      <c r="S520" s="1460"/>
      <c r="T520" s="1460"/>
      <c r="U520" s="1460"/>
      <c r="V520" s="1460"/>
      <c r="W520" s="1460"/>
      <c r="X520" s="1460"/>
      <c r="Y520" s="1460"/>
      <c r="Z520" s="1460"/>
      <c r="AA520" s="1460"/>
      <c r="AB520" s="58"/>
      <c r="AC520" s="1375"/>
      <c r="AD520" s="1376"/>
      <c r="AE520" s="1376"/>
      <c r="AF520" s="1376"/>
      <c r="AG520" s="129" t="s">
        <v>404</v>
      </c>
      <c r="AH520" s="1444"/>
      <c r="AI520" s="1444"/>
      <c r="AJ520" s="1444"/>
      <c r="AK520" s="1445"/>
      <c r="AZ520" s="3"/>
      <c r="BB520" s="3"/>
      <c r="BC520" s="3"/>
      <c r="BD520" s="3"/>
      <c r="BE520" s="3"/>
      <c r="BF520" s="3"/>
      <c r="BG520" s="3"/>
      <c r="BH520" s="3"/>
      <c r="BI520" s="3"/>
      <c r="BJ520" s="3"/>
      <c r="BK520" s="3"/>
      <c r="BL520" s="3"/>
      <c r="BM520" s="3"/>
      <c r="BN520" s="3" t="s">
        <v>2427</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05" customHeight="1">
      <c r="B521" s="1415"/>
      <c r="C521" s="1416"/>
      <c r="D521" s="1416"/>
      <c r="E521" s="1416"/>
      <c r="F521" s="1416"/>
      <c r="G521" s="1416"/>
      <c r="H521" s="1417"/>
      <c r="I521" s="114" t="s">
        <v>422</v>
      </c>
      <c r="AB521" s="65"/>
      <c r="AC521" s="1455">
        <v>3</v>
      </c>
      <c r="AD521" s="1456"/>
      <c r="AE521" s="1456"/>
      <c r="AF521" s="1456"/>
      <c r="AG521" s="13" t="s">
        <v>404</v>
      </c>
      <c r="AH521" s="1444">
        <v>2022</v>
      </c>
      <c r="AI521" s="1444"/>
      <c r="AJ521" s="1444"/>
      <c r="AK521" s="1445"/>
      <c r="AZ521" s="3"/>
      <c r="BB521" s="3"/>
      <c r="BC521" s="3"/>
      <c r="BD521" s="3"/>
      <c r="BE521" s="3"/>
      <c r="BF521" s="3"/>
      <c r="BG521" s="3"/>
      <c r="BH521" s="3"/>
      <c r="BI521" s="3"/>
      <c r="BJ521" s="3"/>
      <c r="BK521" s="3"/>
      <c r="BL521" s="3"/>
      <c r="BM521" s="3"/>
      <c r="BN521" s="3" t="s">
        <v>2428</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05" customHeight="1">
      <c r="B522" s="1415"/>
      <c r="C522" s="1416"/>
      <c r="D522" s="1416"/>
      <c r="E522" s="1416"/>
      <c r="F522" s="1416"/>
      <c r="G522" s="1416"/>
      <c r="H522" s="1417"/>
      <c r="I522" s="47" t="s">
        <v>423</v>
      </c>
      <c r="J522" s="48"/>
      <c r="K522" s="48"/>
      <c r="L522" s="48"/>
      <c r="M522" s="48"/>
      <c r="N522" s="48"/>
      <c r="O522" s="48"/>
      <c r="P522" s="48"/>
      <c r="Q522" s="48"/>
      <c r="R522" s="48"/>
      <c r="S522" s="48"/>
      <c r="T522" s="48"/>
      <c r="U522" s="48"/>
      <c r="V522" s="48"/>
      <c r="W522" s="48"/>
      <c r="X522" s="48"/>
      <c r="Y522" s="48"/>
      <c r="Z522" s="48"/>
      <c r="AA522" s="48"/>
      <c r="AB522" s="49"/>
      <c r="AC522" s="1455">
        <v>3</v>
      </c>
      <c r="AD522" s="1456"/>
      <c r="AE522" s="1456"/>
      <c r="AF522" s="1456"/>
      <c r="AG522" s="38" t="s">
        <v>404</v>
      </c>
      <c r="AH522" s="1444">
        <v>2024</v>
      </c>
      <c r="AI522" s="1444"/>
      <c r="AJ522" s="1444"/>
      <c r="AK522" s="1445"/>
      <c r="AZ522" s="3"/>
      <c r="BA522" s="3"/>
      <c r="BB522" s="3"/>
      <c r="BC522" s="3"/>
      <c r="BD522" s="3"/>
      <c r="BE522" s="3"/>
      <c r="BF522" s="3"/>
      <c r="BG522" s="3"/>
      <c r="BH522" s="3"/>
      <c r="BI522" s="3"/>
      <c r="BJ522" s="3"/>
      <c r="BK522" s="3"/>
      <c r="BL522" s="3"/>
      <c r="BM522" s="3"/>
      <c r="BN522" s="3" t="s">
        <v>2429</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05" customHeight="1">
      <c r="B523" s="1415"/>
      <c r="C523" s="1416"/>
      <c r="D523" s="1416"/>
      <c r="E523" s="1416"/>
      <c r="F523" s="1416"/>
      <c r="G523" s="1416"/>
      <c r="H523" s="1417"/>
      <c r="I523" s="42" t="s">
        <v>424</v>
      </c>
      <c r="J523" s="42"/>
      <c r="K523" s="42"/>
      <c r="L523" s="42"/>
      <c r="M523" s="42"/>
      <c r="N523" s="42"/>
      <c r="O523" s="1459" t="s">
        <v>335</v>
      </c>
      <c r="P523" s="1460"/>
      <c r="Q523" s="1460"/>
      <c r="R523" s="1460"/>
      <c r="S523" s="1460"/>
      <c r="T523" s="1460"/>
      <c r="U523" s="1460"/>
      <c r="V523" s="1460"/>
      <c r="W523" s="1460"/>
      <c r="X523" s="1460"/>
      <c r="Y523" s="1460"/>
      <c r="Z523" s="1460"/>
      <c r="AA523" s="1460"/>
      <c r="AC523" s="1455" t="s">
        <v>599</v>
      </c>
      <c r="AD523" s="1456"/>
      <c r="AE523" s="1456"/>
      <c r="AF523" s="1456"/>
      <c r="AG523" s="13" t="s">
        <v>404</v>
      </c>
      <c r="AH523" s="1444"/>
      <c r="AI523" s="1444"/>
      <c r="AJ523" s="1444"/>
      <c r="AK523" s="1445"/>
      <c r="AZ523" s="3"/>
      <c r="BA523" s="3"/>
      <c r="BB523" s="3"/>
      <c r="BC523" s="3"/>
      <c r="BD523" s="3"/>
      <c r="BE523" s="3"/>
      <c r="BF523" s="3"/>
      <c r="BG523" s="3"/>
      <c r="BH523" s="3"/>
      <c r="BI523" s="3"/>
      <c r="BJ523" s="3"/>
      <c r="BK523" s="3"/>
      <c r="BL523" s="3"/>
      <c r="BM523" s="3"/>
      <c r="BN523" s="3" t="s">
        <v>2430</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05" customHeight="1">
      <c r="B524" s="1415"/>
      <c r="C524" s="1416"/>
      <c r="D524" s="1416"/>
      <c r="E524" s="1416"/>
      <c r="F524" s="1416"/>
      <c r="G524" s="1416"/>
      <c r="H524" s="1417"/>
      <c r="I524" t="s">
        <v>422</v>
      </c>
      <c r="AC524" s="1455" t="s">
        <v>599</v>
      </c>
      <c r="AD524" s="1456"/>
      <c r="AE524" s="1456"/>
      <c r="AF524" s="1456"/>
      <c r="AG524" s="13" t="s">
        <v>404</v>
      </c>
      <c r="AH524" s="1444"/>
      <c r="AI524" s="1444"/>
      <c r="AJ524" s="1444"/>
      <c r="AK524" s="1445"/>
      <c r="AZ524" s="3"/>
      <c r="BA524" s="3"/>
      <c r="BB524" s="3"/>
      <c r="BC524" s="3"/>
      <c r="BD524" s="3"/>
      <c r="BE524" s="3"/>
      <c r="BF524" s="3"/>
      <c r="BG524" s="3"/>
      <c r="BH524" s="3"/>
      <c r="BI524" s="3"/>
      <c r="BJ524" s="3"/>
      <c r="BK524" s="3"/>
      <c r="BL524" s="3"/>
      <c r="BM524" s="3"/>
      <c r="BN524" s="3" t="s">
        <v>2431</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05" customHeight="1">
      <c r="B525" s="1415"/>
      <c r="C525" s="1416"/>
      <c r="D525" s="1416"/>
      <c r="E525" s="1416"/>
      <c r="F525" s="1416"/>
      <c r="G525" s="1416"/>
      <c r="H525" s="1417"/>
      <c r="I525" s="48" t="s">
        <v>423</v>
      </c>
      <c r="J525" s="48"/>
      <c r="K525" s="48"/>
      <c r="L525" s="48"/>
      <c r="M525" s="48"/>
      <c r="N525" s="48"/>
      <c r="O525" s="48"/>
      <c r="P525" s="48"/>
      <c r="Q525" s="48"/>
      <c r="R525" s="48"/>
      <c r="S525" s="48"/>
      <c r="T525" s="48"/>
      <c r="U525" s="48"/>
      <c r="V525" s="48"/>
      <c r="W525" s="48"/>
      <c r="X525" s="48"/>
      <c r="Y525" s="48"/>
      <c r="Z525" s="48"/>
      <c r="AA525" s="48"/>
      <c r="AB525" s="48"/>
      <c r="AC525" s="1455" t="s">
        <v>599</v>
      </c>
      <c r="AD525" s="1456"/>
      <c r="AE525" s="1456"/>
      <c r="AF525" s="1456"/>
      <c r="AG525" s="38" t="s">
        <v>404</v>
      </c>
      <c r="AH525" s="1444"/>
      <c r="AI525" s="1444"/>
      <c r="AJ525" s="1444"/>
      <c r="AK525" s="1445"/>
      <c r="AZ525" s="3"/>
      <c r="BA525" s="3"/>
      <c r="BB525" s="3"/>
      <c r="BC525" s="3"/>
      <c r="BD525" s="3"/>
      <c r="BE525" s="3"/>
      <c r="BF525" s="3"/>
      <c r="BG525" s="3"/>
      <c r="BH525" s="3"/>
      <c r="BI525" s="3"/>
      <c r="BJ525" s="3"/>
      <c r="BK525" s="3"/>
      <c r="BL525" s="3"/>
      <c r="BM525" s="3"/>
      <c r="BN525" s="3" t="s">
        <v>2432</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05" customHeight="1">
      <c r="B526" s="1415"/>
      <c r="C526" s="1416"/>
      <c r="D526" s="1416"/>
      <c r="E526" s="1416"/>
      <c r="F526" s="1416"/>
      <c r="G526" s="1416"/>
      <c r="H526" s="1417"/>
      <c r="I526" s="42" t="s">
        <v>424</v>
      </c>
      <c r="J526" s="42"/>
      <c r="K526" s="42"/>
      <c r="L526" s="42"/>
      <c r="M526" s="42"/>
      <c r="N526" s="42"/>
      <c r="O526" s="1459" t="s">
        <v>335</v>
      </c>
      <c r="P526" s="1460"/>
      <c r="Q526" s="1460"/>
      <c r="R526" s="1460"/>
      <c r="S526" s="1460"/>
      <c r="T526" s="1460"/>
      <c r="U526" s="1460"/>
      <c r="V526" s="1460"/>
      <c r="W526" s="1460"/>
      <c r="X526" s="1460"/>
      <c r="Y526" s="1460"/>
      <c r="Z526" s="1460"/>
      <c r="AA526" s="1460"/>
      <c r="AC526" s="1455" t="s">
        <v>599</v>
      </c>
      <c r="AD526" s="1456"/>
      <c r="AE526" s="1456"/>
      <c r="AF526" s="1456"/>
      <c r="AG526" s="13" t="s">
        <v>404</v>
      </c>
      <c r="AH526" s="1444"/>
      <c r="AI526" s="1444"/>
      <c r="AJ526" s="1444"/>
      <c r="AK526" s="1445"/>
      <c r="AZ526" s="3"/>
      <c r="BA526" s="3"/>
      <c r="BB526" s="3"/>
      <c r="BC526" s="3"/>
      <c r="BD526" s="3"/>
      <c r="BE526" s="3"/>
      <c r="BF526" s="3"/>
      <c r="BG526" s="3"/>
      <c r="BH526" s="3"/>
      <c r="BI526" s="3"/>
      <c r="BJ526" s="3"/>
      <c r="BK526" s="3"/>
      <c r="BL526" s="3"/>
      <c r="BM526" s="3"/>
      <c r="BN526" s="3" t="s">
        <v>2433</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05" customHeight="1">
      <c r="B527" s="1415"/>
      <c r="C527" s="1416"/>
      <c r="D527" s="1416"/>
      <c r="E527" s="1416"/>
      <c r="F527" s="1416"/>
      <c r="G527" s="1416"/>
      <c r="H527" s="1417"/>
      <c r="I527" t="s">
        <v>422</v>
      </c>
      <c r="AC527" s="1455" t="s">
        <v>599</v>
      </c>
      <c r="AD527" s="1456"/>
      <c r="AE527" s="1456"/>
      <c r="AF527" s="1456"/>
      <c r="AG527" s="13" t="s">
        <v>404</v>
      </c>
      <c r="AH527" s="1444"/>
      <c r="AI527" s="1444"/>
      <c r="AJ527" s="1444"/>
      <c r="AK527" s="1445"/>
      <c r="AZ527" s="3"/>
      <c r="BA527" s="3"/>
      <c r="BB527" s="3"/>
      <c r="BC527" s="3"/>
      <c r="BD527" s="3"/>
      <c r="BE527" s="3"/>
      <c r="BF527" s="3"/>
      <c r="BG527" s="3"/>
      <c r="BH527" s="3"/>
      <c r="BI527" s="3"/>
      <c r="BJ527" s="3"/>
      <c r="BK527" s="3"/>
      <c r="BL527" s="3"/>
      <c r="BM527" s="3"/>
      <c r="BN527" s="3" t="s">
        <v>2434</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05" customHeight="1">
      <c r="B528" s="1415"/>
      <c r="C528" s="1416"/>
      <c r="D528" s="1416"/>
      <c r="E528" s="1416"/>
      <c r="F528" s="1416"/>
      <c r="G528" s="1416"/>
      <c r="H528" s="1417"/>
      <c r="I528" s="48" t="s">
        <v>423</v>
      </c>
      <c r="J528" s="48"/>
      <c r="K528" s="48"/>
      <c r="L528" s="48"/>
      <c r="M528" s="48"/>
      <c r="N528" s="48"/>
      <c r="O528" s="48"/>
      <c r="P528" s="48"/>
      <c r="Q528" s="48"/>
      <c r="R528" s="48"/>
      <c r="S528" s="48"/>
      <c r="T528" s="48"/>
      <c r="U528" s="48"/>
      <c r="V528" s="48"/>
      <c r="W528" s="48"/>
      <c r="X528" s="48"/>
      <c r="Y528" s="48"/>
      <c r="Z528" s="48"/>
      <c r="AA528" s="48"/>
      <c r="AB528" s="48"/>
      <c r="AC528" s="1455" t="s">
        <v>599</v>
      </c>
      <c r="AD528" s="1456"/>
      <c r="AE528" s="1456"/>
      <c r="AF528" s="1456"/>
      <c r="AG528" s="38" t="s">
        <v>404</v>
      </c>
      <c r="AH528" s="1444"/>
      <c r="AI528" s="1444"/>
      <c r="AJ528" s="1444"/>
      <c r="AK528" s="1445"/>
      <c r="AZ528" s="3"/>
      <c r="BA528" s="3"/>
      <c r="BB528" s="3"/>
      <c r="BC528" s="3"/>
      <c r="BD528" s="3"/>
      <c r="BE528" s="3"/>
      <c r="BF528" s="3"/>
      <c r="BG528" s="3"/>
      <c r="BH528" s="3"/>
      <c r="BI528" s="3"/>
      <c r="BJ528" s="3"/>
      <c r="BK528" s="3"/>
      <c r="BL528" s="3"/>
      <c r="BM528" s="3"/>
      <c r="BN528" s="3" t="s">
        <v>2435</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05" customHeight="1">
      <c r="B529" s="1415"/>
      <c r="C529" s="1416"/>
      <c r="D529" s="1416"/>
      <c r="E529" s="1416"/>
      <c r="F529" s="1416"/>
      <c r="G529" s="1416"/>
      <c r="H529" s="1417"/>
      <c r="I529" s="42" t="s">
        <v>424</v>
      </c>
      <c r="J529" s="42"/>
      <c r="K529" s="42"/>
      <c r="L529" s="42"/>
      <c r="M529" s="42"/>
      <c r="N529" s="42"/>
      <c r="O529" s="1459" t="s">
        <v>335</v>
      </c>
      <c r="P529" s="1460"/>
      <c r="Q529" s="1460"/>
      <c r="R529" s="1460"/>
      <c r="S529" s="1460"/>
      <c r="T529" s="1460"/>
      <c r="U529" s="1460"/>
      <c r="V529" s="1460"/>
      <c r="W529" s="1460"/>
      <c r="X529" s="1460"/>
      <c r="Y529" s="1460"/>
      <c r="Z529" s="1460"/>
      <c r="AA529" s="1460"/>
      <c r="AC529" s="1455" t="s">
        <v>599</v>
      </c>
      <c r="AD529" s="1456"/>
      <c r="AE529" s="1456"/>
      <c r="AF529" s="1456"/>
      <c r="AG529" s="13" t="s">
        <v>404</v>
      </c>
      <c r="AH529" s="1444"/>
      <c r="AI529" s="1444"/>
      <c r="AJ529" s="1444"/>
      <c r="AK529" s="1445"/>
      <c r="AZ529" s="3"/>
      <c r="BA529" s="3"/>
      <c r="BB529" s="3"/>
      <c r="BC529" s="3"/>
      <c r="BD529" s="3"/>
      <c r="BE529" s="3"/>
      <c r="BF529" s="3"/>
      <c r="BG529" s="3"/>
      <c r="BH529" s="3"/>
      <c r="BI529" s="3"/>
      <c r="BJ529" s="3"/>
      <c r="BK529" s="3"/>
      <c r="BL529" s="3"/>
      <c r="BM529" s="3"/>
      <c r="BN529" s="3" t="s">
        <v>2436</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05" customHeight="1">
      <c r="B530" s="1415"/>
      <c r="C530" s="1416"/>
      <c r="D530" s="1416"/>
      <c r="E530" s="1416"/>
      <c r="F530" s="1416"/>
      <c r="G530" s="1416"/>
      <c r="H530" s="1417"/>
      <c r="I530" t="s">
        <v>422</v>
      </c>
      <c r="AC530" s="1455" t="s">
        <v>599</v>
      </c>
      <c r="AD530" s="1456"/>
      <c r="AE530" s="1456"/>
      <c r="AF530" s="1456"/>
      <c r="AG530" s="13" t="s">
        <v>404</v>
      </c>
      <c r="AH530" s="1444"/>
      <c r="AI530" s="1444"/>
      <c r="AJ530" s="1444"/>
      <c r="AK530" s="1445"/>
      <c r="AZ530" s="3"/>
      <c r="BA530" s="3"/>
      <c r="BB530" s="3"/>
      <c r="BC530" s="3"/>
      <c r="BD530" s="3"/>
      <c r="BE530" s="3"/>
      <c r="BF530" s="3"/>
      <c r="BG530" s="3"/>
      <c r="BH530" s="3"/>
      <c r="BI530" s="3"/>
      <c r="BJ530" s="3"/>
      <c r="BK530" s="3"/>
      <c r="BL530" s="3"/>
      <c r="BM530" s="3"/>
      <c r="BN530" s="3" t="s">
        <v>2437</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05" customHeight="1">
      <c r="B531" s="1415"/>
      <c r="C531" s="1416"/>
      <c r="D531" s="1416"/>
      <c r="E531" s="1416"/>
      <c r="F531" s="1416"/>
      <c r="G531" s="1416"/>
      <c r="H531" s="1417"/>
      <c r="I531" s="48" t="s">
        <v>423</v>
      </c>
      <c r="J531" s="48"/>
      <c r="K531" s="48"/>
      <c r="L531" s="48"/>
      <c r="M531" s="48"/>
      <c r="N531" s="48"/>
      <c r="O531" s="48"/>
      <c r="P531" s="48"/>
      <c r="Q531" s="48"/>
      <c r="R531" s="48"/>
      <c r="S531" s="48"/>
      <c r="T531" s="48"/>
      <c r="U531" s="48"/>
      <c r="V531" s="48"/>
      <c r="W531" s="48"/>
      <c r="X531" s="48"/>
      <c r="Y531" s="48"/>
      <c r="Z531" s="48"/>
      <c r="AA531" s="48"/>
      <c r="AB531" s="48"/>
      <c r="AC531" s="1455" t="s">
        <v>599</v>
      </c>
      <c r="AD531" s="1456"/>
      <c r="AE531" s="1456"/>
      <c r="AF531" s="1456"/>
      <c r="AG531" s="38" t="s">
        <v>404</v>
      </c>
      <c r="AH531" s="1444"/>
      <c r="AI531" s="1444"/>
      <c r="AJ531" s="1444"/>
      <c r="AK531" s="1445"/>
      <c r="AZ531" s="3"/>
      <c r="BA531" s="3"/>
      <c r="BB531" s="3"/>
      <c r="BC531" s="3"/>
      <c r="BD531" s="3"/>
      <c r="BE531" s="3"/>
      <c r="BF531" s="3"/>
      <c r="BG531" s="3"/>
      <c r="BH531" s="3"/>
      <c r="BI531" s="3"/>
      <c r="BJ531" s="3"/>
      <c r="BK531" s="3"/>
      <c r="BL531" s="3"/>
      <c r="BM531" s="3"/>
      <c r="BN531" s="3" t="s">
        <v>2438</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05" customHeight="1">
      <c r="B532" s="1415"/>
      <c r="C532" s="1416"/>
      <c r="D532" s="1416"/>
      <c r="E532" s="1416"/>
      <c r="F532" s="1416"/>
      <c r="G532" s="1416"/>
      <c r="H532" s="1417"/>
      <c r="I532" s="42" t="s">
        <v>424</v>
      </c>
      <c r="J532" s="42"/>
      <c r="K532" s="42"/>
      <c r="L532" s="42"/>
      <c r="M532" s="42"/>
      <c r="N532" s="42"/>
      <c r="O532" s="1459" t="s">
        <v>335</v>
      </c>
      <c r="P532" s="1460"/>
      <c r="Q532" s="1460"/>
      <c r="R532" s="1460"/>
      <c r="S532" s="1460"/>
      <c r="T532" s="1460"/>
      <c r="U532" s="1460"/>
      <c r="V532" s="1460"/>
      <c r="W532" s="1460"/>
      <c r="X532" s="1460"/>
      <c r="Y532" s="1460"/>
      <c r="Z532" s="1460"/>
      <c r="AA532" s="1460"/>
      <c r="AC532" s="1455" t="s">
        <v>599</v>
      </c>
      <c r="AD532" s="1456"/>
      <c r="AE532" s="1456"/>
      <c r="AF532" s="1456"/>
      <c r="AG532" s="13" t="s">
        <v>404</v>
      </c>
      <c r="AH532" s="1444"/>
      <c r="AI532" s="1444"/>
      <c r="AJ532" s="1444"/>
      <c r="AK532" s="1445"/>
      <c r="AZ532" s="3"/>
      <c r="BA532" s="3"/>
      <c r="BB532" s="3"/>
      <c r="BC532" s="3"/>
      <c r="BD532" s="3"/>
      <c r="BE532" s="3"/>
      <c r="BF532" s="3"/>
      <c r="BG532" s="3"/>
      <c r="BH532" s="3"/>
      <c r="BI532" s="3"/>
      <c r="BJ532" s="3"/>
      <c r="BK532" s="3"/>
      <c r="BL532" s="3"/>
      <c r="BM532" s="3"/>
      <c r="BN532" s="3" t="s">
        <v>2439</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05" customHeight="1">
      <c r="B533" s="1415"/>
      <c r="C533" s="1416"/>
      <c r="D533" s="1416"/>
      <c r="E533" s="1416"/>
      <c r="F533" s="1416"/>
      <c r="G533" s="1416"/>
      <c r="H533" s="1417"/>
      <c r="I533" t="s">
        <v>422</v>
      </c>
      <c r="AC533" s="1455" t="s">
        <v>599</v>
      </c>
      <c r="AD533" s="1456"/>
      <c r="AE533" s="1456"/>
      <c r="AF533" s="1456"/>
      <c r="AG533" s="38" t="s">
        <v>404</v>
      </c>
      <c r="AH533" s="1444"/>
      <c r="AI533" s="1444"/>
      <c r="AJ533" s="1444"/>
      <c r="AK533" s="1445"/>
      <c r="AZ533" s="3"/>
      <c r="BA533" s="3"/>
      <c r="BB533" s="3"/>
      <c r="BC533" s="3"/>
      <c r="BD533" s="3"/>
      <c r="BE533" s="3"/>
      <c r="BF533" s="3"/>
      <c r="BG533" s="3"/>
      <c r="BH533" s="3"/>
      <c r="BI533" s="3"/>
      <c r="BJ533" s="3"/>
      <c r="BK533" s="3"/>
      <c r="BL533" s="3"/>
      <c r="BM533" s="3"/>
      <c r="BN533" s="3" t="s">
        <v>2440</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05" customHeight="1">
      <c r="B534" s="1415"/>
      <c r="C534" s="1416"/>
      <c r="D534" s="1416"/>
      <c r="E534" s="1416"/>
      <c r="F534" s="1416"/>
      <c r="G534" s="1416"/>
      <c r="H534" s="1417"/>
      <c r="I534" s="48" t="s">
        <v>423</v>
      </c>
      <c r="J534" s="48"/>
      <c r="K534" s="48"/>
      <c r="L534" s="48"/>
      <c r="M534" s="48"/>
      <c r="N534" s="48"/>
      <c r="O534" s="48"/>
      <c r="P534" s="48"/>
      <c r="Q534" s="48"/>
      <c r="R534" s="48"/>
      <c r="S534" s="48"/>
      <c r="T534" s="48"/>
      <c r="U534" s="48"/>
      <c r="V534" s="48"/>
      <c r="W534" s="48"/>
      <c r="X534" s="48"/>
      <c r="Y534" s="48"/>
      <c r="Z534" s="48"/>
      <c r="AA534" s="48"/>
      <c r="AB534" s="48"/>
      <c r="AC534" s="1455" t="s">
        <v>599</v>
      </c>
      <c r="AD534" s="1456"/>
      <c r="AE534" s="1456"/>
      <c r="AF534" s="1456"/>
      <c r="AG534" s="13" t="s">
        <v>404</v>
      </c>
      <c r="AH534" s="1444"/>
      <c r="AI534" s="1444"/>
      <c r="AJ534" s="1444"/>
      <c r="AK534" s="1445"/>
      <c r="AZ534" s="3"/>
      <c r="BA534" s="3"/>
      <c r="BB534" s="3"/>
      <c r="BC534" s="3"/>
      <c r="BD534" s="3"/>
      <c r="BE534" s="3"/>
      <c r="BF534" s="3"/>
      <c r="BG534" s="3"/>
      <c r="BH534" s="3"/>
      <c r="BI534" s="3"/>
      <c r="BJ534" s="3"/>
      <c r="BK534" s="3"/>
      <c r="BL534" s="3"/>
      <c r="BM534" s="3"/>
      <c r="BN534" s="3" t="s">
        <v>2441</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05" customHeight="1">
      <c r="B535" s="1415"/>
      <c r="C535" s="1416"/>
      <c r="D535" s="1416"/>
      <c r="E535" s="1416"/>
      <c r="F535" s="1416"/>
      <c r="G535" s="1416"/>
      <c r="H535" s="1417"/>
      <c r="I535" s="42" t="s">
        <v>424</v>
      </c>
      <c r="J535" s="42"/>
      <c r="K535" s="42"/>
      <c r="L535" s="42"/>
      <c r="M535" s="42"/>
      <c r="N535" s="42"/>
      <c r="O535" s="1459" t="s">
        <v>335</v>
      </c>
      <c r="P535" s="1460"/>
      <c r="Q535" s="1460"/>
      <c r="R535" s="1460"/>
      <c r="S535" s="1460"/>
      <c r="T535" s="1460"/>
      <c r="U535" s="1460"/>
      <c r="V535" s="1460"/>
      <c r="W535" s="1460"/>
      <c r="X535" s="1460"/>
      <c r="Y535" s="1460"/>
      <c r="Z535" s="1460"/>
      <c r="AA535" s="1460"/>
      <c r="AC535" s="1455" t="s">
        <v>599</v>
      </c>
      <c r="AD535" s="1456"/>
      <c r="AE535" s="1456"/>
      <c r="AF535" s="1456"/>
      <c r="AG535" s="38" t="s">
        <v>404</v>
      </c>
      <c r="AH535" s="1444"/>
      <c r="AI535" s="1444"/>
      <c r="AJ535" s="1444"/>
      <c r="AK535" s="1445"/>
      <c r="AZ535" s="3"/>
      <c r="BA535" s="3"/>
      <c r="BB535" s="3"/>
      <c r="BC535" s="3"/>
      <c r="BD535" s="3"/>
      <c r="BE535" s="3"/>
      <c r="BF535" s="3"/>
      <c r="BG535" s="3"/>
      <c r="BH535" s="3"/>
      <c r="BI535" s="3"/>
      <c r="BJ535" s="3"/>
      <c r="BK535" s="3"/>
      <c r="BL535" s="3"/>
      <c r="BM535" s="3"/>
      <c r="BN535" s="3" t="s">
        <v>2442</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05" customHeight="1">
      <c r="B536" s="1415"/>
      <c r="C536" s="1416"/>
      <c r="D536" s="1416"/>
      <c r="E536" s="1416"/>
      <c r="F536" s="1416"/>
      <c r="G536" s="1416"/>
      <c r="H536" s="1417"/>
      <c r="I536" t="s">
        <v>422</v>
      </c>
      <c r="AC536" s="1455" t="s">
        <v>599</v>
      </c>
      <c r="AD536" s="1456"/>
      <c r="AE536" s="1456"/>
      <c r="AF536" s="1456"/>
      <c r="AG536" s="13" t="s">
        <v>404</v>
      </c>
      <c r="AH536" s="1444"/>
      <c r="AI536" s="1444"/>
      <c r="AJ536" s="1444"/>
      <c r="AK536" s="1445"/>
      <c r="AZ536" s="3"/>
      <c r="BA536" s="3"/>
      <c r="BB536" s="3"/>
      <c r="BC536" s="3"/>
      <c r="BD536" s="3"/>
      <c r="BE536" s="3"/>
      <c r="BF536" s="3"/>
      <c r="BG536" s="3"/>
      <c r="BH536" s="3"/>
      <c r="BI536" s="3"/>
      <c r="BJ536" s="3"/>
      <c r="BK536" s="3"/>
      <c r="BL536" s="3"/>
      <c r="BM536" s="3"/>
      <c r="BN536" s="3" t="s">
        <v>2443</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05" customHeight="1">
      <c r="B537" s="1415"/>
      <c r="C537" s="1416"/>
      <c r="D537" s="1416"/>
      <c r="E537" s="1416"/>
      <c r="F537" s="1416"/>
      <c r="G537" s="1416"/>
      <c r="H537" s="1417"/>
      <c r="I537" s="48" t="s">
        <v>423</v>
      </c>
      <c r="J537" s="48"/>
      <c r="K537" s="48"/>
      <c r="L537" s="48"/>
      <c r="M537" s="48"/>
      <c r="N537" s="48"/>
      <c r="O537" s="48"/>
      <c r="P537" s="48"/>
      <c r="Q537" s="48"/>
      <c r="R537" s="48"/>
      <c r="S537" s="48"/>
      <c r="T537" s="48"/>
      <c r="U537" s="48"/>
      <c r="V537" s="48"/>
      <c r="W537" s="48"/>
      <c r="X537" s="48"/>
      <c r="Y537" s="48"/>
      <c r="Z537" s="48"/>
      <c r="AA537" s="48"/>
      <c r="AB537" s="48"/>
      <c r="AC537" s="1455" t="s">
        <v>599</v>
      </c>
      <c r="AD537" s="1456"/>
      <c r="AE537" s="1456"/>
      <c r="AF537" s="1456"/>
      <c r="AG537" s="38" t="s">
        <v>404</v>
      </c>
      <c r="AH537" s="1444"/>
      <c r="AI537" s="1444"/>
      <c r="AJ537" s="1444"/>
      <c r="AK537" s="1445"/>
      <c r="AZ537" s="3"/>
      <c r="BA537" s="3"/>
      <c r="BB537" s="3"/>
      <c r="BC537" s="3"/>
      <c r="BD537" s="3"/>
      <c r="BE537" s="3"/>
      <c r="BF537" s="3"/>
      <c r="BG537" s="3"/>
      <c r="BH537" s="3"/>
      <c r="BI537" s="3"/>
      <c r="BJ537" s="3"/>
      <c r="BK537" s="3"/>
      <c r="BL537" s="3"/>
      <c r="BM537" s="3"/>
      <c r="BN537" s="3" t="s">
        <v>2444</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05" customHeight="1">
      <c r="B538" s="1415"/>
      <c r="C538" s="1416"/>
      <c r="D538" s="1416"/>
      <c r="E538" s="1416"/>
      <c r="F538" s="1416"/>
      <c r="G538" s="1416"/>
      <c r="H538" s="1417"/>
      <c r="I538" s="42" t="s">
        <v>570</v>
      </c>
      <c r="J538" s="42"/>
      <c r="K538" s="42"/>
      <c r="L538" s="42"/>
      <c r="M538" s="42"/>
      <c r="N538" s="42"/>
      <c r="O538" s="42"/>
      <c r="P538" s="42"/>
      <c r="Q538" s="42"/>
      <c r="R538" s="42"/>
      <c r="S538" s="42"/>
      <c r="T538" s="42"/>
      <c r="U538" s="42"/>
      <c r="V538" s="42"/>
      <c r="W538" s="42"/>
      <c r="AC538" s="1455">
        <v>2</v>
      </c>
      <c r="AD538" s="1456"/>
      <c r="AE538" s="1456"/>
      <c r="AF538" s="1456"/>
      <c r="AG538" s="38" t="s">
        <v>404</v>
      </c>
      <c r="AH538" s="1444">
        <v>2025</v>
      </c>
      <c r="AI538" s="1444"/>
      <c r="AJ538" s="1444"/>
      <c r="AK538" s="144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05" customHeight="1">
      <c r="B539" s="1415"/>
      <c r="C539" s="1416"/>
      <c r="D539" s="1416"/>
      <c r="E539" s="1416"/>
      <c r="F539" s="1416"/>
      <c r="G539" s="1416"/>
      <c r="H539" s="1417"/>
      <c r="I539" t="s">
        <v>571</v>
      </c>
      <c r="AC539" s="1455">
        <v>11</v>
      </c>
      <c r="AD539" s="1456"/>
      <c r="AE539" s="1456"/>
      <c r="AF539" s="1456"/>
      <c r="AG539" s="13" t="s">
        <v>404</v>
      </c>
      <c r="AH539" s="1444">
        <v>2024</v>
      </c>
      <c r="AI539" s="1444"/>
      <c r="AJ539" s="1444"/>
      <c r="AK539" s="144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05" customHeight="1">
      <c r="B540" s="1415"/>
      <c r="C540" s="1416"/>
      <c r="D540" s="1416"/>
      <c r="E540" s="1416"/>
      <c r="F540" s="1416"/>
      <c r="G540" s="1416"/>
      <c r="H540" s="1417"/>
      <c r="I540" t="s">
        <v>572</v>
      </c>
      <c r="AC540" s="1455">
        <v>8</v>
      </c>
      <c r="AD540" s="1456"/>
      <c r="AE540" s="1456"/>
      <c r="AF540" s="1456"/>
      <c r="AG540" s="38" t="s">
        <v>404</v>
      </c>
      <c r="AH540" s="1444">
        <v>2026</v>
      </c>
      <c r="AI540" s="1444"/>
      <c r="AJ540" s="1444"/>
      <c r="AK540" s="144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05" customHeight="1">
      <c r="B541" s="1415"/>
      <c r="C541" s="1416"/>
      <c r="D541" s="1416"/>
      <c r="E541" s="1416"/>
      <c r="F541" s="1416"/>
      <c r="G541" s="1416"/>
      <c r="H541" s="1417"/>
      <c r="I541" t="s">
        <v>573</v>
      </c>
      <c r="AC541" s="1455">
        <v>8</v>
      </c>
      <c r="AD541" s="1456"/>
      <c r="AE541" s="1456"/>
      <c r="AF541" s="1456"/>
      <c r="AG541" s="38" t="s">
        <v>404</v>
      </c>
      <c r="AH541" s="1444">
        <v>2026</v>
      </c>
      <c r="AI541" s="1444"/>
      <c r="AJ541" s="1444"/>
      <c r="AK541" s="144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05" customHeight="1">
      <c r="B542" s="1418"/>
      <c r="C542" s="1419"/>
      <c r="D542" s="1419"/>
      <c r="E542" s="1419"/>
      <c r="F542" s="1419"/>
      <c r="G542" s="1419"/>
      <c r="H542" s="1420"/>
      <c r="I542" s="48" t="s">
        <v>459</v>
      </c>
      <c r="J542" s="48"/>
      <c r="K542" s="48"/>
      <c r="L542" s="48"/>
      <c r="M542" s="48"/>
      <c r="N542" s="48"/>
      <c r="O542" s="48"/>
      <c r="P542" s="48"/>
      <c r="Q542" s="48"/>
      <c r="R542" s="48"/>
      <c r="S542" s="48"/>
      <c r="T542" s="48"/>
      <c r="U542" s="48"/>
      <c r="V542" s="48"/>
      <c r="W542" s="48"/>
      <c r="X542" s="48"/>
      <c r="Y542" s="48"/>
      <c r="Z542" s="48"/>
      <c r="AA542" s="48"/>
      <c r="AB542" s="48"/>
      <c r="AC542" s="1455">
        <v>2</v>
      </c>
      <c r="AD542" s="1456"/>
      <c r="AE542" s="1456"/>
      <c r="AF542" s="1456"/>
      <c r="AG542" s="38" t="s">
        <v>404</v>
      </c>
      <c r="AH542" s="1444">
        <v>2027</v>
      </c>
      <c r="AI542" s="1444"/>
      <c r="AJ542" s="1444"/>
      <c r="AK542" s="144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0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05" customHeight="1">
      <c r="A544" s="1279" t="s">
        <v>551</v>
      </c>
      <c r="B544" s="1279"/>
      <c r="C544" s="1279"/>
      <c r="D544" s="1279"/>
      <c r="E544" s="1279"/>
      <c r="F544" s="1279"/>
      <c r="G544" s="1279"/>
      <c r="H544" s="1279"/>
      <c r="I544" s="1279"/>
      <c r="J544" s="1279"/>
      <c r="K544" s="1279"/>
      <c r="L544" s="1279"/>
      <c r="M544" s="1279"/>
      <c r="N544" s="1279"/>
      <c r="O544" s="1279"/>
      <c r="P544" s="1279"/>
      <c r="Q544" s="1279"/>
      <c r="R544" s="1279"/>
      <c r="S544" s="1279"/>
      <c r="T544" s="1279"/>
      <c r="U544" s="1279"/>
      <c r="V544" s="1279"/>
      <c r="W544" s="1279"/>
      <c r="X544" s="1279"/>
      <c r="Y544" s="1279"/>
      <c r="Z544" s="1279"/>
      <c r="AA544" s="1279"/>
      <c r="AB544" s="1279"/>
      <c r="AC544" s="1279"/>
      <c r="AD544" s="1279"/>
      <c r="AE544" s="1279"/>
      <c r="AF544" s="1279"/>
      <c r="AG544" s="1279"/>
      <c r="AH544" s="1279"/>
      <c r="AI544" s="1279"/>
      <c r="AJ544" s="1279"/>
      <c r="AK544" s="1279"/>
      <c r="AL544" s="1279"/>
      <c r="AM544" s="1279"/>
      <c r="AN544" s="1279"/>
      <c r="AO544" s="1279"/>
      <c r="AP544" s="1279"/>
      <c r="AQ544" s="1279"/>
      <c r="AR544" s="1279"/>
      <c r="AS544" s="1279"/>
      <c r="AT544" s="1279"/>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05" customHeight="1">
      <c r="A545" s="1279"/>
      <c r="B545" s="1279"/>
      <c r="C545" s="1279"/>
      <c r="D545" s="1279"/>
      <c r="E545" s="1279"/>
      <c r="F545" s="1279"/>
      <c r="G545" s="1279"/>
      <c r="H545" s="1279"/>
      <c r="I545" s="1279"/>
      <c r="J545" s="1279"/>
      <c r="K545" s="1279"/>
      <c r="L545" s="1279"/>
      <c r="M545" s="1279"/>
      <c r="N545" s="1279"/>
      <c r="O545" s="1279"/>
      <c r="P545" s="1279"/>
      <c r="Q545" s="1279"/>
      <c r="R545" s="1279"/>
      <c r="S545" s="1279"/>
      <c r="T545" s="1279"/>
      <c r="U545" s="1279"/>
      <c r="V545" s="1279"/>
      <c r="W545" s="1279"/>
      <c r="X545" s="1279"/>
      <c r="Y545" s="1279"/>
      <c r="Z545" s="1279"/>
      <c r="AA545" s="1279"/>
      <c r="AB545" s="1279"/>
      <c r="AC545" s="1279"/>
      <c r="AD545" s="1279"/>
      <c r="AE545" s="1279"/>
      <c r="AF545" s="1279"/>
      <c r="AG545" s="1279"/>
      <c r="AH545" s="1279"/>
      <c r="AI545" s="1279"/>
      <c r="AJ545" s="1279"/>
      <c r="AK545" s="1279"/>
      <c r="AL545" s="1279"/>
      <c r="AM545" s="1279"/>
      <c r="AN545" s="1279"/>
      <c r="AO545" s="1279"/>
      <c r="AP545" s="1279"/>
      <c r="AQ545" s="1279"/>
      <c r="AR545" s="1279"/>
      <c r="AS545" s="1279"/>
      <c r="AT545" s="1279"/>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0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0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0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05" customHeight="1">
      <c r="A549" s="2"/>
      <c r="B549" s="2"/>
      <c r="C549" s="2"/>
      <c r="D549" s="2" t="s">
        <v>2416</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05"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05" customHeight="1">
      <c r="B551" s="1412" t="s">
        <v>2418</v>
      </c>
      <c r="C551" s="1413"/>
      <c r="D551" s="1413"/>
      <c r="E551" s="1413"/>
      <c r="F551" s="1413"/>
      <c r="G551" s="1413"/>
      <c r="H551" s="1413"/>
      <c r="I551" s="1413"/>
      <c r="J551" s="1413"/>
      <c r="K551" s="1413"/>
      <c r="L551" s="1414"/>
      <c r="M551" s="1412" t="s">
        <v>2419</v>
      </c>
      <c r="N551" s="1413"/>
      <c r="O551" s="1413"/>
      <c r="P551" s="1414"/>
      <c r="Q551" s="1412" t="s">
        <v>2445</v>
      </c>
      <c r="R551" s="1413"/>
      <c r="S551" s="1414"/>
      <c r="T551" s="1412" t="s">
        <v>2446</v>
      </c>
      <c r="U551" s="1413"/>
      <c r="V551" s="1414"/>
      <c r="W551" s="1412" t="s">
        <v>461</v>
      </c>
      <c r="X551" s="1413"/>
      <c r="Y551" s="1414"/>
      <c r="Z551" s="1412" t="s">
        <v>2043</v>
      </c>
      <c r="AA551" s="1413"/>
      <c r="AB551" s="1413"/>
      <c r="AC551" s="1413"/>
      <c r="AD551" s="1414"/>
      <c r="AE551" s="1412" t="s">
        <v>1865</v>
      </c>
      <c r="AF551" s="1413"/>
      <c r="AG551" s="1413"/>
      <c r="AH551" s="1414"/>
      <c r="AI551" s="1412" t="s">
        <v>1866</v>
      </c>
      <c r="AJ551" s="1413"/>
      <c r="AK551" s="1413"/>
      <c r="AL551" s="1414"/>
      <c r="AM551" s="1412" t="s">
        <v>462</v>
      </c>
      <c r="AN551" s="1413"/>
      <c r="AO551" s="1413"/>
      <c r="AP551" s="1413"/>
      <c r="AQ551" s="1413"/>
      <c r="AR551" s="1413"/>
      <c r="AS551" s="1414"/>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05" customHeight="1">
      <c r="B552" s="1415"/>
      <c r="C552" s="1416"/>
      <c r="D552" s="1416"/>
      <c r="E552" s="1416"/>
      <c r="F552" s="1416"/>
      <c r="G552" s="1416"/>
      <c r="H552" s="1416"/>
      <c r="I552" s="1416"/>
      <c r="J552" s="1416"/>
      <c r="K552" s="1416"/>
      <c r="L552" s="1417"/>
      <c r="M552" s="1415"/>
      <c r="N552" s="1416"/>
      <c r="O552" s="1416"/>
      <c r="P552" s="1417"/>
      <c r="Q552" s="1415"/>
      <c r="R552" s="1416"/>
      <c r="S552" s="1417"/>
      <c r="T552" s="1415"/>
      <c r="U552" s="1416"/>
      <c r="V552" s="1417"/>
      <c r="W552" s="1415"/>
      <c r="X552" s="1416"/>
      <c r="Y552" s="1417"/>
      <c r="Z552" s="1415"/>
      <c r="AA552" s="1416"/>
      <c r="AB552" s="1416"/>
      <c r="AC552" s="1416"/>
      <c r="AD552" s="1417"/>
      <c r="AE552" s="1415"/>
      <c r="AF552" s="1416"/>
      <c r="AG552" s="1416"/>
      <c r="AH552" s="1417"/>
      <c r="AI552" s="1415"/>
      <c r="AJ552" s="1416"/>
      <c r="AK552" s="1416"/>
      <c r="AL552" s="1417"/>
      <c r="AM552" s="1415"/>
      <c r="AN552" s="1416"/>
      <c r="AO552" s="1416"/>
      <c r="AP552" s="1416"/>
      <c r="AQ552" s="1416"/>
      <c r="AR552" s="1416"/>
      <c r="AS552" s="1417"/>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05" customHeight="1">
      <c r="B553" s="1418"/>
      <c r="C553" s="1419"/>
      <c r="D553" s="1419"/>
      <c r="E553" s="1419"/>
      <c r="F553" s="1419"/>
      <c r="G553" s="1419"/>
      <c r="H553" s="1419"/>
      <c r="I553" s="1419"/>
      <c r="J553" s="1419"/>
      <c r="K553" s="1419"/>
      <c r="L553" s="1420"/>
      <c r="M553" s="1418"/>
      <c r="N553" s="1419"/>
      <c r="O553" s="1419"/>
      <c r="P553" s="1420"/>
      <c r="Q553" s="1418"/>
      <c r="R553" s="1419"/>
      <c r="S553" s="1420"/>
      <c r="T553" s="1418"/>
      <c r="U553" s="1419"/>
      <c r="V553" s="1420"/>
      <c r="W553" s="1418"/>
      <c r="X553" s="1419"/>
      <c r="Y553" s="1420"/>
      <c r="Z553" s="1418"/>
      <c r="AA553" s="1419"/>
      <c r="AB553" s="1419"/>
      <c r="AC553" s="1419"/>
      <c r="AD553" s="1420"/>
      <c r="AE553" s="1418"/>
      <c r="AF553" s="1419"/>
      <c r="AG553" s="1419"/>
      <c r="AH553" s="1420"/>
      <c r="AI553" s="1418"/>
      <c r="AJ553" s="1419"/>
      <c r="AK553" s="1419"/>
      <c r="AL553" s="1420"/>
      <c r="AM553" s="1418"/>
      <c r="AN553" s="1419"/>
      <c r="AO553" s="1419"/>
      <c r="AP553" s="1419"/>
      <c r="AQ553" s="1419"/>
      <c r="AR553" s="1419"/>
      <c r="AS553" s="1420"/>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05" customHeight="1">
      <c r="B554" s="51" t="s">
        <v>112</v>
      </c>
      <c r="C554" s="1469" t="s">
        <v>2722</v>
      </c>
      <c r="D554" s="1469"/>
      <c r="E554" s="1469"/>
      <c r="F554" s="1469"/>
      <c r="G554" s="1469"/>
      <c r="H554" s="1469"/>
      <c r="I554" s="1469"/>
      <c r="J554" s="1469"/>
      <c r="K554" s="1469"/>
      <c r="L554" s="1469"/>
      <c r="M554" s="1469" t="s">
        <v>2435</v>
      </c>
      <c r="N554" s="1469"/>
      <c r="O554" s="1469"/>
      <c r="P554" s="1469"/>
      <c r="Q554" s="1472">
        <v>30</v>
      </c>
      <c r="R554" s="1472"/>
      <c r="S554" s="1473"/>
      <c r="T554" s="1471"/>
      <c r="U554" s="1472"/>
      <c r="V554" s="1473"/>
      <c r="W554" s="1510">
        <v>0.06</v>
      </c>
      <c r="X554" s="1511"/>
      <c r="Y554" s="1512"/>
      <c r="Z554" s="1489" t="s">
        <v>2765</v>
      </c>
      <c r="AA554" s="1489"/>
      <c r="AB554" s="1489"/>
      <c r="AC554" s="1489"/>
      <c r="AD554" s="1489"/>
      <c r="AE554" s="1478">
        <v>1</v>
      </c>
      <c r="AF554" s="1479"/>
      <c r="AG554" s="1479"/>
      <c r="AH554" s="1480"/>
      <c r="AI554" s="1513"/>
      <c r="AJ554" s="1514"/>
      <c r="AK554" s="1514"/>
      <c r="AL554" s="1515"/>
      <c r="AM554" s="1440">
        <v>35462141</v>
      </c>
      <c r="AN554" s="1441"/>
      <c r="AO554" s="1441"/>
      <c r="AP554" s="1441"/>
      <c r="AQ554" s="1441"/>
      <c r="AR554" s="1441"/>
      <c r="AS554" s="144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05" customHeight="1">
      <c r="B555" s="52" t="s">
        <v>113</v>
      </c>
      <c r="C555" s="1470" t="s">
        <v>2723</v>
      </c>
      <c r="D555" s="1470"/>
      <c r="E555" s="1470"/>
      <c r="F555" s="1470"/>
      <c r="G555" s="1470"/>
      <c r="H555" s="1470"/>
      <c r="I555" s="1470"/>
      <c r="J555" s="1470"/>
      <c r="K555" s="1470"/>
      <c r="L555" s="1470"/>
      <c r="M555" s="1469" t="s">
        <v>2436</v>
      </c>
      <c r="N555" s="1469"/>
      <c r="O555" s="1469"/>
      <c r="P555" s="1469"/>
      <c r="Q555" s="1471">
        <v>30</v>
      </c>
      <c r="R555" s="1472"/>
      <c r="S555" s="1473"/>
      <c r="T555" s="1471"/>
      <c r="U555" s="1472"/>
      <c r="V555" s="1473"/>
      <c r="W555" s="1510">
        <v>0.06</v>
      </c>
      <c r="X555" s="1511"/>
      <c r="Y555" s="1512"/>
      <c r="Z555" s="1489" t="s">
        <v>2765</v>
      </c>
      <c r="AA555" s="1489"/>
      <c r="AB555" s="1489"/>
      <c r="AC555" s="1489"/>
      <c r="AD555" s="1489"/>
      <c r="AE555" s="1478">
        <v>1</v>
      </c>
      <c r="AF555" s="1479"/>
      <c r="AG555" s="1479"/>
      <c r="AH555" s="1480"/>
      <c r="AI555" s="1513"/>
      <c r="AJ555" s="1514"/>
      <c r="AK555" s="1514"/>
      <c r="AL555" s="1515"/>
      <c r="AM555" s="1440">
        <v>6000000</v>
      </c>
      <c r="AN555" s="1441"/>
      <c r="AO555" s="1441"/>
      <c r="AP555" s="1441"/>
      <c r="AQ555" s="1441"/>
      <c r="AR555" s="1441"/>
      <c r="AS555" s="144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05" customHeight="1">
      <c r="B556" s="52" t="s">
        <v>119</v>
      </c>
      <c r="C556" s="1470" t="s">
        <v>2724</v>
      </c>
      <c r="D556" s="1470"/>
      <c r="E556" s="1470"/>
      <c r="F556" s="1470"/>
      <c r="G556" s="1470"/>
      <c r="H556" s="1470"/>
      <c r="I556" s="1470"/>
      <c r="J556" s="1470"/>
      <c r="K556" s="1470"/>
      <c r="L556" s="1470"/>
      <c r="M556" s="1469" t="s">
        <v>2434</v>
      </c>
      <c r="N556" s="1469"/>
      <c r="O556" s="1469"/>
      <c r="P556" s="1469"/>
      <c r="Q556" s="1471">
        <v>30</v>
      </c>
      <c r="R556" s="1472"/>
      <c r="S556" s="1473"/>
      <c r="T556" s="1471"/>
      <c r="U556" s="1472"/>
      <c r="V556" s="1473"/>
      <c r="W556" s="1510">
        <v>6.5000000000000002E-2</v>
      </c>
      <c r="X556" s="1511"/>
      <c r="Y556" s="1512"/>
      <c r="Z556" s="1489" t="s">
        <v>2765</v>
      </c>
      <c r="AA556" s="1489"/>
      <c r="AB556" s="1489"/>
      <c r="AC556" s="1489"/>
      <c r="AD556" s="1489"/>
      <c r="AE556" s="1478">
        <v>1</v>
      </c>
      <c r="AF556" s="1479"/>
      <c r="AG556" s="1479"/>
      <c r="AH556" s="1480"/>
      <c r="AI556" s="1513"/>
      <c r="AJ556" s="1514"/>
      <c r="AK556" s="1514"/>
      <c r="AL556" s="1515"/>
      <c r="AM556" s="1440">
        <v>15142503</v>
      </c>
      <c r="AN556" s="1441"/>
      <c r="AO556" s="1441"/>
      <c r="AP556" s="1441"/>
      <c r="AQ556" s="1441"/>
      <c r="AR556" s="1441"/>
      <c r="AS556" s="144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05" customHeight="1">
      <c r="B557" s="52" t="s">
        <v>589</v>
      </c>
      <c r="C557" s="1470" t="s">
        <v>2725</v>
      </c>
      <c r="D557" s="1470"/>
      <c r="E557" s="1470"/>
      <c r="F557" s="1470"/>
      <c r="G557" s="1470"/>
      <c r="H557" s="1470"/>
      <c r="I557" s="1470"/>
      <c r="J557" s="1470"/>
      <c r="K557" s="1470"/>
      <c r="L557" s="1470"/>
      <c r="M557" s="1469" t="s">
        <v>2426</v>
      </c>
      <c r="N557" s="1469"/>
      <c r="O557" s="1469"/>
      <c r="P557" s="1469"/>
      <c r="Q557" s="1471"/>
      <c r="R557" s="1472"/>
      <c r="S557" s="1473"/>
      <c r="T557" s="1471"/>
      <c r="U557" s="1472"/>
      <c r="V557" s="1473"/>
      <c r="W557" s="1510"/>
      <c r="X557" s="1511"/>
      <c r="Y557" s="1512"/>
      <c r="Z557" s="1489" t="s">
        <v>1290</v>
      </c>
      <c r="AA557" s="1489"/>
      <c r="AB557" s="1489"/>
      <c r="AC557" s="1489"/>
      <c r="AD557" s="1489"/>
      <c r="AE557" s="1478"/>
      <c r="AF557" s="1479"/>
      <c r="AG557" s="1479"/>
      <c r="AH557" s="1480"/>
      <c r="AI557" s="1513"/>
      <c r="AJ557" s="1514"/>
      <c r="AK557" s="1514"/>
      <c r="AL557" s="1515"/>
      <c r="AM557" s="1440">
        <v>8027012</v>
      </c>
      <c r="AN557" s="1441"/>
      <c r="AO557" s="1441"/>
      <c r="AP557" s="1441"/>
      <c r="AQ557" s="1441"/>
      <c r="AR557" s="1441"/>
      <c r="AS557" s="144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05" customHeight="1">
      <c r="B558" s="52" t="s">
        <v>772</v>
      </c>
      <c r="C558" s="1470" t="s">
        <v>2726</v>
      </c>
      <c r="D558" s="1470"/>
      <c r="E558" s="1470"/>
      <c r="F558" s="1470"/>
      <c r="G558" s="1470"/>
      <c r="H558" s="1470"/>
      <c r="I558" s="1470"/>
      <c r="J558" s="1470"/>
      <c r="K558" s="1470"/>
      <c r="L558" s="1470"/>
      <c r="M558" s="1469" t="s">
        <v>2421</v>
      </c>
      <c r="N558" s="1469"/>
      <c r="O558" s="1469"/>
      <c r="P558" s="1469"/>
      <c r="Q558" s="1471"/>
      <c r="R558" s="1472"/>
      <c r="S558" s="1473"/>
      <c r="T558" s="1471"/>
      <c r="U558" s="1472"/>
      <c r="V558" s="1473"/>
      <c r="W558" s="1510"/>
      <c r="X558" s="1511"/>
      <c r="Y558" s="1512"/>
      <c r="Z558" s="1489" t="s">
        <v>1290</v>
      </c>
      <c r="AA558" s="1489"/>
      <c r="AB558" s="1489"/>
      <c r="AC558" s="1489"/>
      <c r="AD558" s="1489"/>
      <c r="AE558" s="1478"/>
      <c r="AF558" s="1479"/>
      <c r="AG558" s="1479"/>
      <c r="AH558" s="1480"/>
      <c r="AI558" s="1513"/>
      <c r="AJ558" s="1514"/>
      <c r="AK558" s="1514"/>
      <c r="AL558" s="1515"/>
      <c r="AM558" s="1440">
        <v>9183486</v>
      </c>
      <c r="AN558" s="1441"/>
      <c r="AO558" s="1441"/>
      <c r="AP558" s="1441"/>
      <c r="AQ558" s="1441"/>
      <c r="AR558" s="1441"/>
      <c r="AS558" s="1442"/>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05" customHeight="1">
      <c r="B559" s="52" t="s">
        <v>592</v>
      </c>
      <c r="C559" s="1470"/>
      <c r="D559" s="1470"/>
      <c r="E559" s="1470"/>
      <c r="F559" s="1470"/>
      <c r="G559" s="1470"/>
      <c r="H559" s="1470"/>
      <c r="I559" s="1470"/>
      <c r="J559" s="1470"/>
      <c r="K559" s="1470"/>
      <c r="L559" s="1470"/>
      <c r="M559" s="1469" t="s">
        <v>1290</v>
      </c>
      <c r="N559" s="1469"/>
      <c r="O559" s="1469"/>
      <c r="P559" s="1469"/>
      <c r="Q559" s="1471"/>
      <c r="R559" s="1472"/>
      <c r="S559" s="1473"/>
      <c r="T559" s="1471"/>
      <c r="U559" s="1472"/>
      <c r="V559" s="1473"/>
      <c r="W559" s="1510"/>
      <c r="X559" s="1511"/>
      <c r="Y559" s="1512"/>
      <c r="Z559" s="1489" t="s">
        <v>1290</v>
      </c>
      <c r="AA559" s="1489"/>
      <c r="AB559" s="1489"/>
      <c r="AC559" s="1489"/>
      <c r="AD559" s="1489"/>
      <c r="AE559" s="1478"/>
      <c r="AF559" s="1479"/>
      <c r="AG559" s="1479"/>
      <c r="AH559" s="1480"/>
      <c r="AI559" s="1513"/>
      <c r="AJ559" s="1514"/>
      <c r="AK559" s="1514"/>
      <c r="AL559" s="1515"/>
      <c r="AM559" s="1440"/>
      <c r="AN559" s="1441"/>
      <c r="AO559" s="1441"/>
      <c r="AP559" s="1441"/>
      <c r="AQ559" s="1441"/>
      <c r="AR559" s="1441"/>
      <c r="AS559" s="1442"/>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05" customHeight="1">
      <c r="B560" s="52" t="s">
        <v>463</v>
      </c>
      <c r="C560" s="1470"/>
      <c r="D560" s="1470"/>
      <c r="E560" s="1470"/>
      <c r="F560" s="1470"/>
      <c r="G560" s="1470"/>
      <c r="H560" s="1470"/>
      <c r="I560" s="1470"/>
      <c r="J560" s="1470"/>
      <c r="K560" s="1470"/>
      <c r="L560" s="1470"/>
      <c r="M560" s="1469" t="s">
        <v>1290</v>
      </c>
      <c r="N560" s="1469"/>
      <c r="O560" s="1469"/>
      <c r="P560" s="1469"/>
      <c r="Q560" s="1471"/>
      <c r="R560" s="1472"/>
      <c r="S560" s="1473"/>
      <c r="T560" s="1471"/>
      <c r="U560" s="1472"/>
      <c r="V560" s="1473"/>
      <c r="W560" s="1510"/>
      <c r="X560" s="1511"/>
      <c r="Y560" s="1512"/>
      <c r="Z560" s="1489" t="s">
        <v>1290</v>
      </c>
      <c r="AA560" s="1489"/>
      <c r="AB560" s="1489"/>
      <c r="AC560" s="1489"/>
      <c r="AD560" s="1489"/>
      <c r="AE560" s="1478"/>
      <c r="AF560" s="1479"/>
      <c r="AG560" s="1479"/>
      <c r="AH560" s="1480"/>
      <c r="AI560" s="1513"/>
      <c r="AJ560" s="1514"/>
      <c r="AK560" s="1514"/>
      <c r="AL560" s="1515"/>
      <c r="AM560" s="1440"/>
      <c r="AN560" s="1441"/>
      <c r="AO560" s="1441"/>
      <c r="AP560" s="1441"/>
      <c r="AQ560" s="1441"/>
      <c r="AR560" s="1441"/>
      <c r="AS560" s="144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05" customHeight="1">
      <c r="B561" s="52" t="s">
        <v>464</v>
      </c>
      <c r="C561" s="1470"/>
      <c r="D561" s="1470"/>
      <c r="E561" s="1470"/>
      <c r="F561" s="1470"/>
      <c r="G561" s="1470"/>
      <c r="H561" s="1470"/>
      <c r="I561" s="1470"/>
      <c r="J561" s="1470"/>
      <c r="K561" s="1470"/>
      <c r="L561" s="1470"/>
      <c r="M561" s="1469" t="s">
        <v>1290</v>
      </c>
      <c r="N561" s="1469"/>
      <c r="O561" s="1469"/>
      <c r="P561" s="1469"/>
      <c r="Q561" s="1471"/>
      <c r="R561" s="1472"/>
      <c r="S561" s="1473"/>
      <c r="T561" s="1471"/>
      <c r="U561" s="1472"/>
      <c r="V561" s="1473"/>
      <c r="W561" s="1510"/>
      <c r="X561" s="1511"/>
      <c r="Y561" s="1512"/>
      <c r="Z561" s="1489" t="s">
        <v>1290</v>
      </c>
      <c r="AA561" s="1489"/>
      <c r="AB561" s="1489"/>
      <c r="AC561" s="1489"/>
      <c r="AD561" s="1489"/>
      <c r="AE561" s="1478"/>
      <c r="AF561" s="1479"/>
      <c r="AG561" s="1479"/>
      <c r="AH561" s="1480"/>
      <c r="AI561" s="1513"/>
      <c r="AJ561" s="1514"/>
      <c r="AK561" s="1514"/>
      <c r="AL561" s="1515"/>
      <c r="AM561" s="1440"/>
      <c r="AN561" s="1441"/>
      <c r="AO561" s="1441"/>
      <c r="AP561" s="1441"/>
      <c r="AQ561" s="1441"/>
      <c r="AR561" s="1441"/>
      <c r="AS561" s="144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05" customHeight="1">
      <c r="B562" s="52" t="s">
        <v>469</v>
      </c>
      <c r="C562" s="1470"/>
      <c r="D562" s="1470"/>
      <c r="E562" s="1470"/>
      <c r="F562" s="1470"/>
      <c r="G562" s="1470"/>
      <c r="H562" s="1470"/>
      <c r="I562" s="1470"/>
      <c r="J562" s="1470"/>
      <c r="K562" s="1470"/>
      <c r="L562" s="1470"/>
      <c r="M562" s="1469" t="s">
        <v>1290</v>
      </c>
      <c r="N562" s="1469"/>
      <c r="O562" s="1469"/>
      <c r="P562" s="1469"/>
      <c r="Q562" s="1471"/>
      <c r="R562" s="1472"/>
      <c r="S562" s="1473"/>
      <c r="T562" s="1471"/>
      <c r="U562" s="1472"/>
      <c r="V562" s="1473"/>
      <c r="W562" s="1510"/>
      <c r="X562" s="1511"/>
      <c r="Y562" s="1512"/>
      <c r="Z562" s="1489" t="s">
        <v>1290</v>
      </c>
      <c r="AA562" s="1489"/>
      <c r="AB562" s="1489"/>
      <c r="AC562" s="1489"/>
      <c r="AD562" s="1489"/>
      <c r="AE562" s="1478"/>
      <c r="AF562" s="1479"/>
      <c r="AG562" s="1479"/>
      <c r="AH562" s="1480"/>
      <c r="AI562" s="1513"/>
      <c r="AJ562" s="1514"/>
      <c r="AK562" s="1514"/>
      <c r="AL562" s="1515"/>
      <c r="AM562" s="1440"/>
      <c r="AN562" s="1441"/>
      <c r="AO562" s="1441"/>
      <c r="AP562" s="1441"/>
      <c r="AQ562" s="1441"/>
      <c r="AR562" s="1441"/>
      <c r="AS562" s="144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05" customHeight="1">
      <c r="B563" s="52" t="s">
        <v>654</v>
      </c>
      <c r="C563" s="1470"/>
      <c r="D563" s="1470"/>
      <c r="E563" s="1470"/>
      <c r="F563" s="1470"/>
      <c r="G563" s="1470"/>
      <c r="H563" s="1470"/>
      <c r="I563" s="1470"/>
      <c r="J563" s="1470"/>
      <c r="K563" s="1470"/>
      <c r="L563" s="1470"/>
      <c r="M563" s="1469" t="s">
        <v>1290</v>
      </c>
      <c r="N563" s="1469"/>
      <c r="O563" s="1469"/>
      <c r="P563" s="1469"/>
      <c r="Q563" s="1471"/>
      <c r="R563" s="1472"/>
      <c r="S563" s="1473"/>
      <c r="T563" s="1471"/>
      <c r="U563" s="1472"/>
      <c r="V563" s="1473"/>
      <c r="W563" s="1510"/>
      <c r="X563" s="1511"/>
      <c r="Y563" s="1512"/>
      <c r="Z563" s="1489" t="s">
        <v>1290</v>
      </c>
      <c r="AA563" s="1489"/>
      <c r="AB563" s="1489"/>
      <c r="AC563" s="1489"/>
      <c r="AD563" s="1489"/>
      <c r="AE563" s="1478"/>
      <c r="AF563" s="1479"/>
      <c r="AG563" s="1479"/>
      <c r="AH563" s="1480"/>
      <c r="AI563" s="1513"/>
      <c r="AJ563" s="1514"/>
      <c r="AK563" s="1514"/>
      <c r="AL563" s="1515"/>
      <c r="AM563" s="1440"/>
      <c r="AN563" s="1441"/>
      <c r="AO563" s="1441"/>
      <c r="AP563" s="1441"/>
      <c r="AQ563" s="1441"/>
      <c r="AR563" s="1441"/>
      <c r="AS563" s="144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05" customHeight="1">
      <c r="B564" s="52" t="s">
        <v>363</v>
      </c>
      <c r="C564" s="1470"/>
      <c r="D564" s="1470"/>
      <c r="E564" s="1470"/>
      <c r="F564" s="1470"/>
      <c r="G564" s="1470"/>
      <c r="H564" s="1470"/>
      <c r="I564" s="1470"/>
      <c r="J564" s="1470"/>
      <c r="K564" s="1470"/>
      <c r="L564" s="1470"/>
      <c r="M564" s="1469" t="s">
        <v>1290</v>
      </c>
      <c r="N564" s="1469"/>
      <c r="O564" s="1469"/>
      <c r="P564" s="1469"/>
      <c r="Q564" s="1471"/>
      <c r="R564" s="1472"/>
      <c r="S564" s="1473"/>
      <c r="T564" s="1471"/>
      <c r="U564" s="1472"/>
      <c r="V564" s="1473"/>
      <c r="W564" s="1510"/>
      <c r="X564" s="1511"/>
      <c r="Y564" s="1512"/>
      <c r="Z564" s="1489" t="s">
        <v>1290</v>
      </c>
      <c r="AA564" s="1489"/>
      <c r="AB564" s="1489"/>
      <c r="AC564" s="1489"/>
      <c r="AD564" s="1489"/>
      <c r="AE564" s="1478"/>
      <c r="AF564" s="1479"/>
      <c r="AG564" s="1479"/>
      <c r="AH564" s="1480"/>
      <c r="AI564" s="1513"/>
      <c r="AJ564" s="1514"/>
      <c r="AK564" s="1514"/>
      <c r="AL564" s="1515"/>
      <c r="AM564" s="1440"/>
      <c r="AN564" s="1441"/>
      <c r="AO564" s="1441"/>
      <c r="AP564" s="1441"/>
      <c r="AQ564" s="1441"/>
      <c r="AR564" s="1441"/>
      <c r="AS564" s="144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05" customHeight="1">
      <c r="B565" s="52" t="s">
        <v>364</v>
      </c>
      <c r="C565" s="1470"/>
      <c r="D565" s="1470"/>
      <c r="E565" s="1470"/>
      <c r="F565" s="1470"/>
      <c r="G565" s="1470"/>
      <c r="H565" s="1470"/>
      <c r="I565" s="1470"/>
      <c r="J565" s="1470"/>
      <c r="K565" s="1470"/>
      <c r="L565" s="1470"/>
      <c r="M565" s="1469" t="s">
        <v>1290</v>
      </c>
      <c r="N565" s="1469"/>
      <c r="O565" s="1469"/>
      <c r="P565" s="1469"/>
      <c r="Q565" s="1471"/>
      <c r="R565" s="1472"/>
      <c r="S565" s="1473"/>
      <c r="T565" s="1471"/>
      <c r="U565" s="1472"/>
      <c r="V565" s="1473"/>
      <c r="W565" s="1510"/>
      <c r="X565" s="1511"/>
      <c r="Y565" s="1512"/>
      <c r="Z565" s="1489" t="s">
        <v>1290</v>
      </c>
      <c r="AA565" s="1489"/>
      <c r="AB565" s="1489"/>
      <c r="AC565" s="1489"/>
      <c r="AD565" s="1489"/>
      <c r="AE565" s="1478"/>
      <c r="AF565" s="1479"/>
      <c r="AG565" s="1479"/>
      <c r="AH565" s="1480"/>
      <c r="AI565" s="1513"/>
      <c r="AJ565" s="1514"/>
      <c r="AK565" s="1514"/>
      <c r="AL565" s="1515"/>
      <c r="AM565" s="1440"/>
      <c r="AN565" s="1441"/>
      <c r="AO565" s="1441"/>
      <c r="AP565" s="1441"/>
      <c r="AQ565" s="1441"/>
      <c r="AR565" s="1441"/>
      <c r="AS565" s="144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05" customHeight="1">
      <c r="B566" s="1615" t="s">
        <v>127</v>
      </c>
      <c r="C566" s="1616"/>
      <c r="D566" s="1616"/>
      <c r="E566" s="1616"/>
      <c r="F566" s="1616"/>
      <c r="G566" s="1616"/>
      <c r="H566" s="1616"/>
      <c r="I566" s="1616"/>
      <c r="J566" s="1616"/>
      <c r="K566" s="1616"/>
      <c r="L566" s="1616"/>
      <c r="M566" s="1616"/>
      <c r="N566" s="1616"/>
      <c r="O566" s="1616"/>
      <c r="P566" s="1616"/>
      <c r="Q566" s="1616"/>
      <c r="R566" s="1616"/>
      <c r="S566" s="1616"/>
      <c r="T566" s="1616"/>
      <c r="U566" s="1731"/>
      <c r="V566" s="1616"/>
      <c r="W566" s="1616"/>
      <c r="X566" s="1616"/>
      <c r="Y566" s="1616"/>
      <c r="Z566" s="1616"/>
      <c r="AA566" s="1616"/>
      <c r="AB566" s="1616"/>
      <c r="AC566" s="1616"/>
      <c r="AD566" s="1616"/>
      <c r="AE566" s="1616"/>
      <c r="AF566" s="1616"/>
      <c r="AG566" s="1616"/>
      <c r="AH566" s="1616"/>
      <c r="AI566" s="1616"/>
      <c r="AJ566" s="1616"/>
      <c r="AK566" s="1616"/>
      <c r="AL566" s="1617"/>
      <c r="AM566" s="1606">
        <f>SUM(AM554:AS565)</f>
        <v>73815142</v>
      </c>
      <c r="AN566" s="1607"/>
      <c r="AO566" s="1607"/>
      <c r="AP566" s="1607"/>
      <c r="AQ566" s="1607"/>
      <c r="AR566" s="1607"/>
      <c r="AS566" s="1608"/>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05" customHeight="1">
      <c r="A568" s="55" t="s">
        <v>112</v>
      </c>
      <c r="B568" t="s">
        <v>471</v>
      </c>
      <c r="G568" s="1373" t="str">
        <f>C554</f>
        <v>Citibank Construction Loan (Tax Exempt)</v>
      </c>
      <c r="H568" s="1373"/>
      <c r="I568" s="1373"/>
      <c r="J568" s="1373"/>
      <c r="K568" s="1373"/>
      <c r="L568" s="1373"/>
      <c r="M568" s="1373"/>
      <c r="N568" s="1373"/>
      <c r="O568" s="1373"/>
      <c r="P568" s="1373"/>
      <c r="Q568" s="1373"/>
      <c r="R568" s="1373"/>
      <c r="S568" s="8"/>
      <c r="T568" s="55" t="s">
        <v>113</v>
      </c>
      <c r="U568" t="s">
        <v>471</v>
      </c>
      <c r="Z568" s="1373" t="str">
        <f>C555</f>
        <v>Citibank Construction Loan (Recycled Bonds)</v>
      </c>
      <c r="AA568" s="1373"/>
      <c r="AB568" s="1373"/>
      <c r="AC568" s="1373"/>
      <c r="AD568" s="1373"/>
      <c r="AE568" s="1373"/>
      <c r="AF568" s="1373"/>
      <c r="AG568" s="1373"/>
      <c r="AH568" s="1373"/>
      <c r="AI568" s="1373"/>
      <c r="AJ568" s="1373"/>
      <c r="AK568" s="137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05" customHeight="1">
      <c r="A569" s="22"/>
      <c r="B569" t="s">
        <v>85</v>
      </c>
      <c r="G569" s="1404" t="s">
        <v>2728</v>
      </c>
      <c r="H569" s="1405"/>
      <c r="I569" s="1405"/>
      <c r="J569" s="1405"/>
      <c r="K569" s="1405"/>
      <c r="L569" s="1405"/>
      <c r="M569" s="1405"/>
      <c r="N569" s="1405"/>
      <c r="O569" s="1405"/>
      <c r="P569" s="1405"/>
      <c r="Q569" s="1405"/>
      <c r="R569" s="1405"/>
      <c r="S569" s="8"/>
      <c r="T569" s="22"/>
      <c r="U569" t="s">
        <v>85</v>
      </c>
      <c r="Z569" s="1404" t="s">
        <v>2728</v>
      </c>
      <c r="AA569" s="1405"/>
      <c r="AB569" s="1405"/>
      <c r="AC569" s="1405"/>
      <c r="AD569" s="1405"/>
      <c r="AE569" s="1405"/>
      <c r="AF569" s="1405"/>
      <c r="AG569" s="1405"/>
      <c r="AH569" s="1405"/>
      <c r="AI569" s="1405"/>
      <c r="AJ569" s="1405"/>
      <c r="AK569" s="140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05" customHeight="1">
      <c r="A570" s="22"/>
      <c r="B570" t="s">
        <v>588</v>
      </c>
      <c r="G570" s="1404" t="s">
        <v>502</v>
      </c>
      <c r="H570" s="1405"/>
      <c r="I570" s="1405"/>
      <c r="J570" s="1405"/>
      <c r="K570" s="1405"/>
      <c r="L570" s="1405"/>
      <c r="M570" s="1405"/>
      <c r="N570" s="1405"/>
      <c r="O570" s="1405"/>
      <c r="P570" s="1405"/>
      <c r="Q570" s="1405"/>
      <c r="R570" s="1405"/>
      <c r="T570" s="22"/>
      <c r="U570" t="s">
        <v>588</v>
      </c>
      <c r="Z570" s="1404" t="s">
        <v>502</v>
      </c>
      <c r="AA570" s="1405"/>
      <c r="AB570" s="1405"/>
      <c r="AC570" s="1405"/>
      <c r="AD570" s="1405"/>
      <c r="AE570" s="1405"/>
      <c r="AF570" s="1405"/>
      <c r="AG570" s="1405"/>
      <c r="AH570" s="1405"/>
      <c r="AI570" s="1405"/>
      <c r="AJ570" s="1405"/>
      <c r="AK570" s="140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05" customHeight="1">
      <c r="A571" s="22"/>
      <c r="B571" t="s">
        <v>17</v>
      </c>
      <c r="G571" s="1404" t="s">
        <v>2729</v>
      </c>
      <c r="H571" s="1405"/>
      <c r="I571" s="1405"/>
      <c r="J571" s="1405"/>
      <c r="K571" s="1405"/>
      <c r="L571" s="1405"/>
      <c r="M571" s="1405"/>
      <c r="N571" s="1405"/>
      <c r="O571" s="1405"/>
      <c r="P571" s="1405"/>
      <c r="Q571" s="1405"/>
      <c r="R571" s="1405"/>
      <c r="S571" s="8"/>
      <c r="T571" s="22"/>
      <c r="U571" t="s">
        <v>17</v>
      </c>
      <c r="Z571" s="1404" t="s">
        <v>2729</v>
      </c>
      <c r="AA571" s="1405"/>
      <c r="AB571" s="1405"/>
      <c r="AC571" s="1405"/>
      <c r="AD571" s="1405"/>
      <c r="AE571" s="1405"/>
      <c r="AF571" s="1405"/>
      <c r="AG571" s="1405"/>
      <c r="AH571" s="1405"/>
      <c r="AI571" s="1405"/>
      <c r="AJ571" s="1405"/>
      <c r="AK571" s="140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05" customHeight="1">
      <c r="A572" s="22"/>
      <c r="B572" t="s">
        <v>317</v>
      </c>
      <c r="G572" s="1421" t="s">
        <v>2731</v>
      </c>
      <c r="H572" s="1393"/>
      <c r="I572" s="1393"/>
      <c r="J572" s="1393"/>
      <c r="K572" s="1393"/>
      <c r="L572" s="1393"/>
      <c r="O572" s="33" t="s">
        <v>207</v>
      </c>
      <c r="P572" s="1372"/>
      <c r="Q572" s="1372"/>
      <c r="R572" s="1372"/>
      <c r="S572" s="10"/>
      <c r="T572" s="22"/>
      <c r="U572" t="s">
        <v>317</v>
      </c>
      <c r="Z572" s="1421" t="s">
        <v>2730</v>
      </c>
      <c r="AA572" s="1421"/>
      <c r="AB572" s="1421"/>
      <c r="AC572" s="1421"/>
      <c r="AD572" s="1421"/>
      <c r="AE572" s="1421"/>
      <c r="AH572" s="33" t="s">
        <v>207</v>
      </c>
      <c r="AI572" s="1372"/>
      <c r="AJ572" s="1372"/>
      <c r="AK572" s="137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05" customHeight="1">
      <c r="A573" s="22"/>
      <c r="B573" t="s">
        <v>18</v>
      </c>
      <c r="H573" s="1405" t="s">
        <v>2732</v>
      </c>
      <c r="I573" s="1405"/>
      <c r="J573" s="1405"/>
      <c r="K573" s="1405"/>
      <c r="L573" s="1405"/>
      <c r="M573" s="1405"/>
      <c r="N573" s="1405"/>
      <c r="O573" s="1405"/>
      <c r="P573" s="1405"/>
      <c r="Q573" s="1405"/>
      <c r="R573" s="1405"/>
      <c r="S573" s="8"/>
      <c r="T573" s="22"/>
      <c r="U573" t="s">
        <v>18</v>
      </c>
      <c r="AA573" s="1404" t="s">
        <v>2733</v>
      </c>
      <c r="AB573" s="1405"/>
      <c r="AC573" s="1405"/>
      <c r="AD573" s="1405"/>
      <c r="AE573" s="1405"/>
      <c r="AF573" s="1405"/>
      <c r="AG573" s="1405"/>
      <c r="AH573" s="1405"/>
      <c r="AI573" s="1405"/>
      <c r="AJ573" s="1405"/>
      <c r="AK573" s="140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05" customHeight="1">
      <c r="A574" s="22"/>
      <c r="B574" s="348" t="s">
        <v>1291</v>
      </c>
      <c r="H574" s="8"/>
      <c r="I574" s="8"/>
      <c r="J574" s="8"/>
      <c r="K574" s="8"/>
      <c r="L574" s="8"/>
      <c r="M574" s="1582"/>
      <c r="N574" s="1582"/>
      <c r="O574" s="1582"/>
      <c r="P574" s="1582"/>
      <c r="Q574" s="1582"/>
      <c r="R574" s="1582"/>
      <c r="S574" s="8"/>
      <c r="T574" s="22"/>
      <c r="U574" s="348" t="s">
        <v>1291</v>
      </c>
      <c r="AA574" s="8"/>
      <c r="AB574" s="8"/>
      <c r="AC574" s="8"/>
      <c r="AD574" s="8"/>
      <c r="AE574" s="8"/>
      <c r="AF574" s="1582"/>
      <c r="AG574" s="1582"/>
      <c r="AH574" s="1582"/>
      <c r="AI574" s="1582"/>
      <c r="AJ574" s="1582"/>
      <c r="AK574" s="158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05" customHeight="1">
      <c r="A575" s="22"/>
      <c r="B575" t="s">
        <v>20</v>
      </c>
      <c r="N575" s="1461" t="s">
        <v>553</v>
      </c>
      <c r="O575" s="1461"/>
      <c r="T575" s="22"/>
      <c r="U575" t="s">
        <v>20</v>
      </c>
      <c r="AG575" s="1461" t="s">
        <v>553</v>
      </c>
      <c r="AH575" s="146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0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05" customHeight="1">
      <c r="A577" s="55" t="s">
        <v>119</v>
      </c>
      <c r="B577" t="s">
        <v>471</v>
      </c>
      <c r="G577" s="1373" t="str">
        <f>C556</f>
        <v xml:space="preserve">Citibank Construction Loan </v>
      </c>
      <c r="H577" s="1373"/>
      <c r="I577" s="1373"/>
      <c r="J577" s="1373"/>
      <c r="K577" s="1373"/>
      <c r="L577" s="1373"/>
      <c r="M577" s="1373"/>
      <c r="N577" s="1373"/>
      <c r="O577" s="1373"/>
      <c r="P577" s="1373"/>
      <c r="Q577" s="1373"/>
      <c r="R577" s="1373"/>
      <c r="T577" s="55" t="s">
        <v>589</v>
      </c>
      <c r="U577" t="s">
        <v>471</v>
      </c>
      <c r="Z577" s="1373" t="str">
        <f>C557</f>
        <v>Federal LIHTC Equity</v>
      </c>
      <c r="AA577" s="1373"/>
      <c r="AB577" s="1373"/>
      <c r="AC577" s="1373"/>
      <c r="AD577" s="1373"/>
      <c r="AE577" s="1373"/>
      <c r="AF577" s="1373"/>
      <c r="AG577" s="1373"/>
      <c r="AH577" s="1373"/>
      <c r="AI577" s="1373"/>
      <c r="AJ577" s="1373"/>
      <c r="AK577" s="137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05" customHeight="1">
      <c r="A578" s="22"/>
      <c r="B578" t="s">
        <v>85</v>
      </c>
      <c r="G578" s="1404" t="s">
        <v>2728</v>
      </c>
      <c r="H578" s="1405"/>
      <c r="I578" s="1405"/>
      <c r="J578" s="1405"/>
      <c r="K578" s="1405"/>
      <c r="L578" s="1405"/>
      <c r="M578" s="1405"/>
      <c r="N578" s="1405"/>
      <c r="O578" s="1405"/>
      <c r="P578" s="1405"/>
      <c r="Q578" s="1405"/>
      <c r="R578" s="1405"/>
      <c r="T578" s="22"/>
      <c r="U578" t="s">
        <v>85</v>
      </c>
      <c r="Z578" s="1405" t="s">
        <v>2693</v>
      </c>
      <c r="AA578" s="1405"/>
      <c r="AB578" s="1405"/>
      <c r="AC578" s="1405"/>
      <c r="AD578" s="1405"/>
      <c r="AE578" s="1405"/>
      <c r="AF578" s="1405"/>
      <c r="AG578" s="1405"/>
      <c r="AH578" s="1405"/>
      <c r="AI578" s="1405"/>
      <c r="AJ578" s="1405"/>
      <c r="AK578" s="140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05" customHeight="1">
      <c r="A579" s="22"/>
      <c r="B579" t="s">
        <v>588</v>
      </c>
      <c r="G579" s="1404" t="s">
        <v>502</v>
      </c>
      <c r="H579" s="1405"/>
      <c r="I579" s="1405"/>
      <c r="J579" s="1405"/>
      <c r="K579" s="1405"/>
      <c r="L579" s="1405"/>
      <c r="M579" s="1405"/>
      <c r="N579" s="1405"/>
      <c r="O579" s="1405"/>
      <c r="P579" s="1405"/>
      <c r="Q579" s="1405"/>
      <c r="R579" s="1405"/>
      <c r="T579" s="22"/>
      <c r="U579" t="s">
        <v>588</v>
      </c>
      <c r="Z579" s="1374" t="s">
        <v>2694</v>
      </c>
      <c r="AA579" s="1374"/>
      <c r="AB579" s="1374"/>
      <c r="AC579" s="1374"/>
      <c r="AD579" s="1374"/>
      <c r="AE579" s="1374"/>
      <c r="AF579" s="1374"/>
      <c r="AG579" s="1374"/>
      <c r="AH579" s="1374"/>
      <c r="AI579" s="1374"/>
      <c r="AJ579" s="1374"/>
      <c r="AK579" s="137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05" customHeight="1">
      <c r="A580" s="22"/>
      <c r="B580" t="s">
        <v>17</v>
      </c>
      <c r="G580" s="1404" t="s">
        <v>2729</v>
      </c>
      <c r="H580" s="1405"/>
      <c r="I580" s="1405"/>
      <c r="J580" s="1405"/>
      <c r="K580" s="1405"/>
      <c r="L580" s="1405"/>
      <c r="M580" s="1405"/>
      <c r="N580" s="1405"/>
      <c r="O580" s="1405"/>
      <c r="P580" s="1405"/>
      <c r="Q580" s="1405"/>
      <c r="R580" s="1405"/>
      <c r="T580" s="22"/>
      <c r="U580" t="s">
        <v>17</v>
      </c>
      <c r="Z580" s="1374" t="s">
        <v>2695</v>
      </c>
      <c r="AA580" s="1374"/>
      <c r="AB580" s="1374"/>
      <c r="AC580" s="1374"/>
      <c r="AD580" s="1374"/>
      <c r="AE580" s="1374"/>
      <c r="AF580" s="1374"/>
      <c r="AG580" s="1374"/>
      <c r="AH580" s="1374"/>
      <c r="AI580" s="1374"/>
      <c r="AJ580" s="1374"/>
      <c r="AK580" s="137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05" customHeight="1">
      <c r="A581" s="22"/>
      <c r="B581" t="s">
        <v>317</v>
      </c>
      <c r="G581" s="1393" t="s">
        <v>2731</v>
      </c>
      <c r="H581" s="1393"/>
      <c r="I581" s="1393"/>
      <c r="J581" s="1393"/>
      <c r="K581" s="1393"/>
      <c r="L581" s="1393"/>
      <c r="O581" s="33" t="s">
        <v>207</v>
      </c>
      <c r="P581" s="1372"/>
      <c r="Q581" s="1372"/>
      <c r="R581" s="1372"/>
      <c r="T581" s="22"/>
      <c r="U581" t="s">
        <v>317</v>
      </c>
      <c r="Z581" s="1421" t="s">
        <v>2696</v>
      </c>
      <c r="AA581" s="1421"/>
      <c r="AB581" s="1421"/>
      <c r="AC581" s="1421"/>
      <c r="AD581" s="1421"/>
      <c r="AE581" s="1421"/>
      <c r="AH581" s="33" t="s">
        <v>207</v>
      </c>
      <c r="AI581" s="1372"/>
      <c r="AJ581" s="1372"/>
      <c r="AK581" s="137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05" customHeight="1">
      <c r="A582" s="22"/>
      <c r="B582" t="s">
        <v>18</v>
      </c>
      <c r="H582" s="1404" t="s">
        <v>2734</v>
      </c>
      <c r="I582" s="1405"/>
      <c r="J582" s="1405"/>
      <c r="K582" s="1405"/>
      <c r="L582" s="1405"/>
      <c r="M582" s="1405"/>
      <c r="N582" s="1405"/>
      <c r="O582" s="1405"/>
      <c r="P582" s="1405"/>
      <c r="Q582" s="1405"/>
      <c r="R582" s="1405"/>
      <c r="T582" s="22"/>
      <c r="U582" t="s">
        <v>18</v>
      </c>
      <c r="AA582" s="1405"/>
      <c r="AB582" s="1405"/>
      <c r="AC582" s="1405"/>
      <c r="AD582" s="1405"/>
      <c r="AE582" s="1405"/>
      <c r="AF582" s="1405"/>
      <c r="AG582" s="1405"/>
      <c r="AH582" s="1405"/>
      <c r="AI582" s="1405"/>
      <c r="AJ582" s="1405"/>
      <c r="AK582" s="140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05" customHeight="1">
      <c r="A583" s="22"/>
      <c r="B583" t="s">
        <v>20</v>
      </c>
      <c r="N583" s="1461" t="s">
        <v>553</v>
      </c>
      <c r="O583" s="1461"/>
      <c r="T583" s="22"/>
      <c r="U583" t="s">
        <v>20</v>
      </c>
      <c r="AG583" s="1461" t="s">
        <v>553</v>
      </c>
      <c r="AH583" s="146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0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05" customHeight="1">
      <c r="A585" s="55" t="s">
        <v>772</v>
      </c>
      <c r="B585" t="s">
        <v>471</v>
      </c>
      <c r="G585" s="1373" t="str">
        <f>C558</f>
        <v>Deferred Cost</v>
      </c>
      <c r="H585" s="1373"/>
      <c r="I585" s="1373"/>
      <c r="J585" s="1373"/>
      <c r="K585" s="1373"/>
      <c r="L585" s="1373"/>
      <c r="M585" s="1373"/>
      <c r="N585" s="1373"/>
      <c r="O585" s="1373"/>
      <c r="P585" s="1373"/>
      <c r="Q585" s="1373"/>
      <c r="R585" s="1373"/>
      <c r="T585" s="55" t="s">
        <v>592</v>
      </c>
      <c r="U585" t="s">
        <v>471</v>
      </c>
      <c r="Z585" s="1373">
        <f>C559</f>
        <v>0</v>
      </c>
      <c r="AA585" s="1373"/>
      <c r="AB585" s="1373"/>
      <c r="AC585" s="1373"/>
      <c r="AD585" s="1373"/>
      <c r="AE585" s="1373"/>
      <c r="AF585" s="1373"/>
      <c r="AG585" s="1373"/>
      <c r="AH585" s="1373"/>
      <c r="AI585" s="1373"/>
      <c r="AJ585" s="1373"/>
      <c r="AK585" s="137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05" customHeight="1">
      <c r="A586" s="22"/>
      <c r="B586" t="s">
        <v>85</v>
      </c>
      <c r="G586" s="1267" t="s">
        <v>2766</v>
      </c>
      <c r="H586" s="1267"/>
      <c r="I586" s="1267"/>
      <c r="J586" s="1267"/>
      <c r="K586" s="1267"/>
      <c r="L586" s="1267"/>
      <c r="M586" s="1267"/>
      <c r="N586" s="1267"/>
      <c r="O586" s="1267"/>
      <c r="P586" s="1267"/>
      <c r="Q586" s="1267"/>
      <c r="R586" s="1267"/>
      <c r="T586" s="22"/>
      <c r="U586" t="s">
        <v>85</v>
      </c>
      <c r="Z586" s="1405"/>
      <c r="AA586" s="1405"/>
      <c r="AB586" s="1405"/>
      <c r="AC586" s="1405"/>
      <c r="AD586" s="1405"/>
      <c r="AE586" s="1405"/>
      <c r="AF586" s="1405"/>
      <c r="AG586" s="1405"/>
      <c r="AH586" s="1405"/>
      <c r="AI586" s="1405"/>
      <c r="AJ586" s="1405"/>
      <c r="AK586" s="140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05" customHeight="1">
      <c r="A587" s="22"/>
      <c r="B587" t="s">
        <v>588</v>
      </c>
      <c r="G587" s="1267" t="s">
        <v>2736</v>
      </c>
      <c r="H587" s="1267"/>
      <c r="I587" s="1267"/>
      <c r="J587" s="1267"/>
      <c r="K587" s="1267"/>
      <c r="L587" s="1267"/>
      <c r="M587" s="1267"/>
      <c r="N587" s="1267"/>
      <c r="O587" s="1267"/>
      <c r="P587" s="1267"/>
      <c r="Q587" s="1267"/>
      <c r="R587" s="1267"/>
      <c r="T587" s="22"/>
      <c r="U587" t="s">
        <v>588</v>
      </c>
      <c r="Z587" s="1374"/>
      <c r="AA587" s="1374"/>
      <c r="AB587" s="1374"/>
      <c r="AC587" s="1374"/>
      <c r="AD587" s="1374"/>
      <c r="AE587" s="1374"/>
      <c r="AF587" s="1374"/>
      <c r="AG587" s="1374"/>
      <c r="AH587" s="1374"/>
      <c r="AI587" s="1374"/>
      <c r="AJ587" s="1374"/>
      <c r="AK587" s="137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05" customHeight="1">
      <c r="A588" s="22"/>
      <c r="B588" t="s">
        <v>17</v>
      </c>
      <c r="G588" s="1267" t="s">
        <v>2737</v>
      </c>
      <c r="H588" s="1267"/>
      <c r="I588" s="1267"/>
      <c r="J588" s="1267"/>
      <c r="K588" s="1267"/>
      <c r="L588" s="1267"/>
      <c r="M588" s="1267"/>
      <c r="N588" s="1267"/>
      <c r="O588" s="1267"/>
      <c r="P588" s="1267"/>
      <c r="Q588" s="1267"/>
      <c r="R588" s="1267"/>
      <c r="T588" s="22"/>
      <c r="U588" t="s">
        <v>17</v>
      </c>
      <c r="Z588" s="1374"/>
      <c r="AA588" s="1374"/>
      <c r="AB588" s="1374"/>
      <c r="AC588" s="1374"/>
      <c r="AD588" s="1374"/>
      <c r="AE588" s="1374"/>
      <c r="AF588" s="1374"/>
      <c r="AG588" s="1374"/>
      <c r="AH588" s="1374"/>
      <c r="AI588" s="1374"/>
      <c r="AJ588" s="1374"/>
      <c r="AK588" s="1374"/>
    </row>
    <row r="589" spans="1:110" ht="13.05" customHeight="1">
      <c r="A589" s="22"/>
      <c r="B589" t="s">
        <v>317</v>
      </c>
      <c r="G589" s="1268" t="s">
        <v>2738</v>
      </c>
      <c r="H589" s="1266"/>
      <c r="I589" s="1266"/>
      <c r="J589" s="1266"/>
      <c r="K589" s="1266"/>
      <c r="L589" s="1266"/>
      <c r="O589" s="33" t="s">
        <v>207</v>
      </c>
      <c r="P589" s="1372"/>
      <c r="Q589" s="1372"/>
      <c r="R589" s="1372"/>
      <c r="T589" s="22"/>
      <c r="U589" t="s">
        <v>317</v>
      </c>
      <c r="Z589" s="1393"/>
      <c r="AA589" s="1393"/>
      <c r="AB589" s="1393"/>
      <c r="AC589" s="1393"/>
      <c r="AD589" s="1393"/>
      <c r="AE589" s="1393"/>
      <c r="AH589" s="33" t="s">
        <v>207</v>
      </c>
      <c r="AI589" s="1372"/>
      <c r="AJ589" s="1372"/>
      <c r="AK589" s="137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05" customHeight="1">
      <c r="A590" s="22"/>
      <c r="B590" t="s">
        <v>18</v>
      </c>
      <c r="H590" s="1405" t="s">
        <v>2739</v>
      </c>
      <c r="I590" s="1405"/>
      <c r="J590" s="1405"/>
      <c r="K590" s="1405"/>
      <c r="L590" s="1405"/>
      <c r="M590" s="1405"/>
      <c r="N590" s="1405"/>
      <c r="O590" s="1405"/>
      <c r="P590" s="1405"/>
      <c r="Q590" s="1405"/>
      <c r="R590" s="1405"/>
      <c r="T590" s="22"/>
      <c r="U590" t="s">
        <v>18</v>
      </c>
      <c r="AA590" s="1405"/>
      <c r="AB590" s="1405"/>
      <c r="AC590" s="1405"/>
      <c r="AD590" s="1405"/>
      <c r="AE590" s="1405"/>
      <c r="AF590" s="1405"/>
      <c r="AG590" s="1405"/>
      <c r="AH590" s="1405"/>
      <c r="AI590" s="1405"/>
      <c r="AJ590" s="1405"/>
      <c r="AK590" s="140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05" customHeight="1">
      <c r="A591" s="22"/>
      <c r="B591" t="s">
        <v>20</v>
      </c>
      <c r="N591" s="1461" t="s">
        <v>553</v>
      </c>
      <c r="O591" s="1461"/>
      <c r="T591" s="22"/>
      <c r="U591" t="s">
        <v>20</v>
      </c>
      <c r="AG591" s="1461" t="s">
        <v>677</v>
      </c>
      <c r="AH591" s="146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0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05" customHeight="1">
      <c r="A593" s="55" t="s">
        <v>463</v>
      </c>
      <c r="B593" t="s">
        <v>471</v>
      </c>
      <c r="G593" s="1373">
        <f>C560</f>
        <v>0</v>
      </c>
      <c r="H593" s="1373"/>
      <c r="I593" s="1373"/>
      <c r="J593" s="1373"/>
      <c r="K593" s="1373"/>
      <c r="L593" s="1373"/>
      <c r="M593" s="1373"/>
      <c r="N593" s="1373"/>
      <c r="O593" s="1373"/>
      <c r="P593" s="1373"/>
      <c r="Q593" s="1373"/>
      <c r="R593" s="1373"/>
      <c r="T593" s="55" t="s">
        <v>464</v>
      </c>
      <c r="U593" t="s">
        <v>471</v>
      </c>
      <c r="Z593" s="1373">
        <f>C561</f>
        <v>0</v>
      </c>
      <c r="AA593" s="1373"/>
      <c r="AB593" s="1373"/>
      <c r="AC593" s="1373"/>
      <c r="AD593" s="1373"/>
      <c r="AE593" s="1373"/>
      <c r="AF593" s="1373"/>
      <c r="AG593" s="1373"/>
      <c r="AH593" s="1373"/>
      <c r="AI593" s="1373"/>
      <c r="AJ593" s="1373"/>
      <c r="AK593" s="137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05" customHeight="1">
      <c r="A594" s="22"/>
      <c r="B594" t="s">
        <v>85</v>
      </c>
      <c r="C594"/>
      <c r="D594"/>
      <c r="E594"/>
      <c r="F594"/>
      <c r="G594" s="1405"/>
      <c r="H594" s="1405"/>
      <c r="I594" s="1405"/>
      <c r="J594" s="1405"/>
      <c r="K594" s="1405"/>
      <c r="L594" s="1405"/>
      <c r="M594" s="1405"/>
      <c r="N594" s="1405"/>
      <c r="O594" s="1405"/>
      <c r="P594" s="1405"/>
      <c r="Q594" s="1405"/>
      <c r="R594" s="1405"/>
      <c r="S594"/>
      <c r="T594" s="22"/>
      <c r="U594" t="s">
        <v>85</v>
      </c>
      <c r="V594"/>
      <c r="W594"/>
      <c r="X594"/>
      <c r="Y594"/>
      <c r="Z594" s="1405"/>
      <c r="AA594" s="1405"/>
      <c r="AB594" s="1405"/>
      <c r="AC594" s="1405"/>
      <c r="AD594" s="1405"/>
      <c r="AE594" s="1405"/>
      <c r="AF594" s="1405"/>
      <c r="AG594" s="1405"/>
      <c r="AH594" s="1405"/>
      <c r="AI594" s="1405"/>
      <c r="AJ594" s="1405"/>
      <c r="AK594" s="140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05" customHeight="1">
      <c r="A595" s="22"/>
      <c r="B595" t="s">
        <v>588</v>
      </c>
      <c r="C595"/>
      <c r="D595"/>
      <c r="E595"/>
      <c r="F595"/>
      <c r="G595" s="1405"/>
      <c r="H595" s="1405"/>
      <c r="I595" s="1405"/>
      <c r="J595" s="1405"/>
      <c r="K595" s="1405"/>
      <c r="L595" s="1405"/>
      <c r="M595" s="1405"/>
      <c r="N595" s="1405"/>
      <c r="O595" s="1405"/>
      <c r="P595" s="1405"/>
      <c r="Q595" s="1405"/>
      <c r="R595" s="1405"/>
      <c r="S595"/>
      <c r="T595" s="22"/>
      <c r="U595" t="s">
        <v>588</v>
      </c>
      <c r="V595"/>
      <c r="W595"/>
      <c r="X595"/>
      <c r="Y595"/>
      <c r="Z595" s="1374"/>
      <c r="AA595" s="1374"/>
      <c r="AB595" s="1374"/>
      <c r="AC595" s="1374"/>
      <c r="AD595" s="1374"/>
      <c r="AE595" s="1374"/>
      <c r="AF595" s="1374"/>
      <c r="AG595" s="1374"/>
      <c r="AH595" s="1374"/>
      <c r="AI595" s="1374"/>
      <c r="AJ595" s="1374"/>
      <c r="AK595" s="137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05" customHeight="1">
      <c r="A596" s="22"/>
      <c r="B596" t="s">
        <v>17</v>
      </c>
      <c r="C596"/>
      <c r="D596"/>
      <c r="E596"/>
      <c r="F596"/>
      <c r="G596" s="1405"/>
      <c r="H596" s="1405"/>
      <c r="I596" s="1405"/>
      <c r="J596" s="1405"/>
      <c r="K596" s="1405"/>
      <c r="L596" s="1405"/>
      <c r="M596" s="1405"/>
      <c r="N596" s="1405"/>
      <c r="O596" s="1405"/>
      <c r="P596" s="1405"/>
      <c r="Q596" s="1405"/>
      <c r="R596" s="1405"/>
      <c r="S596"/>
      <c r="T596" s="22"/>
      <c r="U596" t="s">
        <v>17</v>
      </c>
      <c r="V596"/>
      <c r="W596"/>
      <c r="X596"/>
      <c r="Y596"/>
      <c r="Z596" s="1374"/>
      <c r="AA596" s="1374"/>
      <c r="AB596" s="1374"/>
      <c r="AC596" s="1374"/>
      <c r="AD596" s="1374"/>
      <c r="AE596" s="1374"/>
      <c r="AF596" s="1374"/>
      <c r="AG596" s="1374"/>
      <c r="AH596" s="1374"/>
      <c r="AI596" s="1374"/>
      <c r="AJ596" s="1374"/>
      <c r="AK596" s="1374"/>
      <c r="AL596"/>
      <c r="AM596"/>
      <c r="AN596"/>
      <c r="AO596"/>
      <c r="AP596"/>
      <c r="AQ596"/>
      <c r="AR596"/>
      <c r="AS596"/>
      <c r="AT596"/>
      <c r="AU596"/>
      <c r="AV596"/>
      <c r="AW596"/>
      <c r="AX596"/>
      <c r="AY596"/>
      <c r="BA596" s="4" t="s">
        <v>325</v>
      </c>
      <c r="BB596" s="3"/>
      <c r="BC596" s="3"/>
      <c r="BD596" s="3"/>
      <c r="BE596" s="121" t="s">
        <v>482</v>
      </c>
      <c r="BF596" s="122"/>
      <c r="BG596" s="1409"/>
      <c r="BH596" s="1410"/>
      <c r="BI596" s="121" t="s">
        <v>483</v>
      </c>
      <c r="BJ596" s="122"/>
      <c r="BK596" s="1409"/>
      <c r="BL596" s="1410"/>
      <c r="BM596" s="3"/>
      <c r="BN596" s="1532" t="s">
        <v>641</v>
      </c>
      <c r="BO596" s="1533"/>
      <c r="BP596" s="1533"/>
      <c r="BQ596" s="1533"/>
      <c r="BR596" s="1534"/>
      <c r="BS596" s="1531" t="s">
        <v>326</v>
      </c>
      <c r="BT596" s="1531"/>
      <c r="BU596" s="1531"/>
      <c r="BV596" s="1531"/>
      <c r="BW596" s="1531"/>
      <c r="BX596" s="1531" t="s">
        <v>163</v>
      </c>
      <c r="BY596" s="1531"/>
      <c r="BZ596" s="1531"/>
      <c r="CA596" s="1531"/>
      <c r="CB596" s="1531"/>
      <c r="CC596" s="1531" t="s">
        <v>164</v>
      </c>
      <c r="CD596" s="1531"/>
      <c r="CE596" s="1531"/>
      <c r="CF596" s="1531"/>
      <c r="CG596" s="1531"/>
      <c r="CH596" s="1531" t="s">
        <v>468</v>
      </c>
      <c r="CI596" s="1531"/>
      <c r="CJ596" s="1531"/>
      <c r="CK596" s="1531"/>
      <c r="CL596" s="1531"/>
      <c r="CM596" s="1531" t="s">
        <v>30</v>
      </c>
      <c r="CN596" s="1531"/>
      <c r="CO596" s="1531"/>
      <c r="CP596" s="1531"/>
      <c r="CQ596" s="1531"/>
      <c r="CR596" s="89"/>
      <c r="CS596" s="1531" t="s">
        <v>641</v>
      </c>
      <c r="CT596" s="1531"/>
      <c r="CU596" s="1531"/>
      <c r="CV596" s="1531"/>
      <c r="CW596" s="1531"/>
      <c r="CX596" s="1531" t="s">
        <v>326</v>
      </c>
      <c r="CY596" s="1531"/>
      <c r="CZ596" s="1531"/>
      <c r="DA596" s="1531"/>
      <c r="DB596" s="1531"/>
      <c r="DC596" s="1531" t="s">
        <v>163</v>
      </c>
      <c r="DD596" s="1531"/>
      <c r="DE596" s="1531"/>
      <c r="DF596" s="1531"/>
      <c r="DG596" s="1531"/>
      <c r="DH596" s="1531" t="s">
        <v>164</v>
      </c>
      <c r="DI596" s="1531"/>
      <c r="DJ596" s="1531"/>
      <c r="DK596" s="1531"/>
      <c r="DL596" s="1531"/>
      <c r="DM596" s="1531" t="s">
        <v>468</v>
      </c>
      <c r="DN596" s="1531"/>
      <c r="DO596" s="1531"/>
      <c r="DP596" s="1531"/>
      <c r="DQ596" s="1531"/>
      <c r="DR596" s="1531" t="s">
        <v>30</v>
      </c>
      <c r="DS596" s="1531"/>
      <c r="DT596" s="1531"/>
      <c r="DU596" s="1531"/>
      <c r="DV596" s="1531"/>
      <c r="DX596" s="1531" t="s">
        <v>641</v>
      </c>
      <c r="DY596" s="1531"/>
      <c r="DZ596" s="1531"/>
      <c r="EA596" s="1531"/>
      <c r="EB596" s="1531"/>
      <c r="EC596" s="1531" t="s">
        <v>326</v>
      </c>
      <c r="ED596" s="1531"/>
      <c r="EE596" s="1531"/>
      <c r="EF596" s="1531"/>
      <c r="EG596" s="1531"/>
      <c r="EH596" s="1531" t="s">
        <v>163</v>
      </c>
      <c r="EI596" s="1531"/>
      <c r="EJ596" s="1531"/>
      <c r="EK596" s="1531"/>
      <c r="EL596" s="1531"/>
      <c r="EM596" s="1531" t="s">
        <v>164</v>
      </c>
      <c r="EN596" s="1531"/>
      <c r="EO596" s="1531"/>
      <c r="EP596" s="1531"/>
      <c r="EQ596" s="1531"/>
      <c r="ER596" s="1531" t="s">
        <v>468</v>
      </c>
      <c r="ES596" s="1531"/>
      <c r="ET596" s="1531"/>
      <c r="EU596" s="1531"/>
      <c r="EV596" s="1531"/>
      <c r="EW596" s="1531" t="s">
        <v>30</v>
      </c>
      <c r="EX596" s="1531"/>
      <c r="EY596" s="1531"/>
      <c r="EZ596" s="1531"/>
      <c r="FA596" s="1531"/>
    </row>
    <row r="597" spans="1:157" s="4" customFormat="1" ht="13.05" customHeight="1">
      <c r="A597" s="22"/>
      <c r="B597" t="s">
        <v>317</v>
      </c>
      <c r="C597"/>
      <c r="D597"/>
      <c r="E597"/>
      <c r="F597"/>
      <c r="G597" s="1393"/>
      <c r="H597" s="1393"/>
      <c r="I597" s="1393"/>
      <c r="J597" s="1393"/>
      <c r="K597" s="1393"/>
      <c r="L597" s="1393"/>
      <c r="M597"/>
      <c r="N597"/>
      <c r="O597" s="33" t="s">
        <v>207</v>
      </c>
      <c r="P597" s="1372"/>
      <c r="Q597" s="1372"/>
      <c r="R597" s="1372"/>
      <c r="S597"/>
      <c r="T597" s="22"/>
      <c r="U597" t="s">
        <v>317</v>
      </c>
      <c r="V597"/>
      <c r="W597"/>
      <c r="X597"/>
      <c r="Y597"/>
      <c r="Z597" s="1393"/>
      <c r="AA597" s="1393"/>
      <c r="AB597" s="1393"/>
      <c r="AC597" s="1393"/>
      <c r="AD597" s="1393"/>
      <c r="AE597" s="1393"/>
      <c r="AF597"/>
      <c r="AG597"/>
      <c r="AH597" s="33" t="s">
        <v>207</v>
      </c>
      <c r="AI597" s="1372"/>
      <c r="AJ597" s="1372"/>
      <c r="AK597" s="1372"/>
      <c r="AL597"/>
      <c r="AM597"/>
      <c r="AN597"/>
      <c r="AO597"/>
      <c r="AP597"/>
      <c r="AQ597"/>
      <c r="AR597"/>
      <c r="AS597"/>
      <c r="AT597"/>
      <c r="AU597"/>
      <c r="AV597"/>
      <c r="AW597"/>
      <c r="AX597"/>
      <c r="AY597"/>
      <c r="BA597" s="4" t="s">
        <v>326</v>
      </c>
      <c r="BB597" s="3"/>
      <c r="BC597" s="3"/>
      <c r="BD597" s="3"/>
      <c r="BE597" s="1369">
        <f t="shared" ref="BE597:BE631" si="1">IF(AND(AC718&lt;=0.5,AC718&gt;=0.36),1,0)</f>
        <v>0</v>
      </c>
      <c r="BF597" s="1371"/>
      <c r="BG597" s="1409">
        <f t="shared" ref="BG597:BG631" si="2">IF(BE597=1,G718,0)</f>
        <v>0</v>
      </c>
      <c r="BH597" s="1410"/>
      <c r="BI597" s="1369">
        <f t="shared" ref="BI597:BI631" si="3">IF(AND(AC718&lt;=0.35,AC718&gt;0),1,0)</f>
        <v>1</v>
      </c>
      <c r="BJ597" s="1371"/>
      <c r="BK597" s="1409">
        <f t="shared" ref="BK597:BK631" si="4">IF(BI597=1,G718,0)</f>
        <v>14</v>
      </c>
      <c r="BL597" s="1410"/>
      <c r="BM597" s="3"/>
      <c r="BN597" s="1406">
        <f t="shared" ref="BN597:BN631" si="5">IF(B718="SRO/Studio",G718,0)</f>
        <v>0</v>
      </c>
      <c r="BO597" s="1407"/>
      <c r="BP597" s="1407"/>
      <c r="BQ597" s="1407"/>
      <c r="BR597" s="1408"/>
      <c r="BS597" s="1403">
        <f t="shared" ref="BS597:BS631" si="6">IF(B718="1 Bedroom",G718,0)</f>
        <v>14</v>
      </c>
      <c r="BT597" s="1403"/>
      <c r="BU597" s="1403"/>
      <c r="BV597" s="1403"/>
      <c r="BW597" s="1403"/>
      <c r="BX597" s="1403">
        <f t="shared" ref="BX597:BX631" si="7">IF(B718="2 Bedrooms",G718,0)</f>
        <v>0</v>
      </c>
      <c r="BY597" s="1403"/>
      <c r="BZ597" s="1403"/>
      <c r="CA597" s="1403"/>
      <c r="CB597" s="1403"/>
      <c r="CC597" s="1403">
        <f t="shared" ref="CC597:CC631" si="8">IF(B718="3 Bedrooms",G718,0)</f>
        <v>0</v>
      </c>
      <c r="CD597" s="1403"/>
      <c r="CE597" s="1403"/>
      <c r="CF597" s="1403"/>
      <c r="CG597" s="1403"/>
      <c r="CH597" s="1403">
        <f t="shared" ref="CH597:CH631" si="9">IF(B718="4 Bedrooms",G718,0)</f>
        <v>0</v>
      </c>
      <c r="CI597" s="1403"/>
      <c r="CJ597" s="1403"/>
      <c r="CK597" s="1403"/>
      <c r="CL597" s="1403"/>
      <c r="CM597" s="1403">
        <f t="shared" ref="CM597:CM631" si="10">IF(B718="5 Bedrooms",G718,0)</f>
        <v>0</v>
      </c>
      <c r="CN597" s="1403"/>
      <c r="CO597" s="1403"/>
      <c r="CP597" s="1403"/>
      <c r="CQ597" s="1403"/>
      <c r="CR597" s="6"/>
      <c r="CS597" s="1402">
        <f t="shared" ref="CS597:CS631" si="11">IF(AND(B718="SRO/Studio",AC718&lt;=0.3),G718,0)</f>
        <v>0</v>
      </c>
      <c r="CT597" s="1402"/>
      <c r="CU597" s="1402"/>
      <c r="CV597" s="1402"/>
      <c r="CW597" s="1402"/>
      <c r="CX597" s="1402">
        <f t="shared" ref="CX597:CX631" si="12">IF(AND(B718="1 Bedroom",AC718&lt;=0.3),G718,0)</f>
        <v>14</v>
      </c>
      <c r="CY597" s="1402"/>
      <c r="CZ597" s="1402"/>
      <c r="DA597" s="1402"/>
      <c r="DB597" s="1402"/>
      <c r="DC597" s="1402">
        <f t="shared" ref="DC597:DC631" si="13">IF(AND(B718="2 Bedrooms",AC718&lt;=0.3),G718,0)</f>
        <v>0</v>
      </c>
      <c r="DD597" s="1402"/>
      <c r="DE597" s="1402"/>
      <c r="DF597" s="1402"/>
      <c r="DG597" s="1402"/>
      <c r="DH597" s="1402">
        <f t="shared" ref="DH597:DH631" si="14">IF(AND(B718="3 Bedrooms",AC718&lt;=0.3),G718,0)</f>
        <v>0</v>
      </c>
      <c r="DI597" s="1402"/>
      <c r="DJ597" s="1402"/>
      <c r="DK597" s="1402"/>
      <c r="DL597" s="1402"/>
      <c r="DM597" s="1402">
        <f t="shared" ref="DM597:DM631" si="15">IF(AND(B718="4 Bedrooms",AC718&lt;=0.3),G718,0)</f>
        <v>0</v>
      </c>
      <c r="DN597" s="1402"/>
      <c r="DO597" s="1402"/>
      <c r="DP597" s="1402"/>
      <c r="DQ597" s="1402"/>
      <c r="DR597" s="1402">
        <f t="shared" ref="DR597:DR631" si="16">IF(AND(B718="5 Bedrooms",AC718&lt;=0.3),G718,0)</f>
        <v>0</v>
      </c>
      <c r="DS597" s="1402"/>
      <c r="DT597" s="1402"/>
      <c r="DU597" s="1402"/>
      <c r="DV597" s="1402"/>
      <c r="DX597" s="1369" t="str">
        <f t="shared" ref="DX597:DX631" si="17">IF(BN597&gt;0,O718,"")</f>
        <v/>
      </c>
      <c r="DY597" s="1370"/>
      <c r="DZ597" s="1370"/>
      <c r="EA597" s="1370"/>
      <c r="EB597" s="1371"/>
      <c r="EC597" s="1369">
        <f t="shared" ref="EC597:EC631" si="18">IF(BS597&gt;0,O718,"")</f>
        <v>521</v>
      </c>
      <c r="ED597" s="1370"/>
      <c r="EE597" s="1370"/>
      <c r="EF597" s="1370"/>
      <c r="EG597" s="1371"/>
      <c r="EH597" s="1369" t="str">
        <f t="shared" ref="EH597:EH631" si="19">IF(BX597&gt;0,O718,"")</f>
        <v/>
      </c>
      <c r="EI597" s="1370"/>
      <c r="EJ597" s="1370"/>
      <c r="EK597" s="1370"/>
      <c r="EL597" s="1371"/>
      <c r="EM597" s="1369" t="str">
        <f t="shared" ref="EM597:EM631" si="20">IF(CC597&gt;0,O718,"")</f>
        <v/>
      </c>
      <c r="EN597" s="1370"/>
      <c r="EO597" s="1370"/>
      <c r="EP597" s="1370"/>
      <c r="EQ597" s="1371"/>
      <c r="ER597" s="1369" t="str">
        <f t="shared" ref="ER597:ER631" si="21">IF(CH597&gt;0,O718,"")</f>
        <v/>
      </c>
      <c r="ES597" s="1370"/>
      <c r="ET597" s="1370"/>
      <c r="EU597" s="1370"/>
      <c r="EV597" s="1371"/>
      <c r="EW597" s="1369" t="str">
        <f t="shared" ref="EW597:EW631" si="22">IF(CM597&gt;0,O718,"")</f>
        <v/>
      </c>
      <c r="EX597" s="1370"/>
      <c r="EY597" s="1370"/>
      <c r="EZ597" s="1370"/>
      <c r="FA597" s="1371"/>
    </row>
    <row r="598" spans="1:157" s="4" customFormat="1" ht="13.05" customHeight="1">
      <c r="A598" s="22"/>
      <c r="B598" t="s">
        <v>18</v>
      </c>
      <c r="C598"/>
      <c r="D598"/>
      <c r="E598"/>
      <c r="F598"/>
      <c r="G598"/>
      <c r="H598" s="1405"/>
      <c r="I598" s="1405"/>
      <c r="J598" s="1405"/>
      <c r="K598" s="1405"/>
      <c r="L598" s="1405"/>
      <c r="M598" s="1405"/>
      <c r="N598" s="1405"/>
      <c r="O598" s="1405"/>
      <c r="P598" s="1405"/>
      <c r="Q598" s="1405"/>
      <c r="R598" s="1405"/>
      <c r="S598"/>
      <c r="T598" s="22"/>
      <c r="U598" t="s">
        <v>18</v>
      </c>
      <c r="V598"/>
      <c r="W598"/>
      <c r="X598"/>
      <c r="Y598"/>
      <c r="Z598"/>
      <c r="AA598" s="1405"/>
      <c r="AB598" s="1405"/>
      <c r="AC598" s="1405"/>
      <c r="AD598" s="1405"/>
      <c r="AE598" s="1405"/>
      <c r="AF598" s="1405"/>
      <c r="AG598" s="1405"/>
      <c r="AH598" s="1405"/>
      <c r="AI598" s="1405"/>
      <c r="AJ598" s="1405"/>
      <c r="AK598" s="1405"/>
      <c r="AL598"/>
      <c r="AM598"/>
      <c r="AN598"/>
      <c r="AO598"/>
      <c r="AP598"/>
      <c r="AQ598"/>
      <c r="AR598"/>
      <c r="AS598"/>
      <c r="AT598"/>
      <c r="AU598"/>
      <c r="AV598"/>
      <c r="AW598"/>
      <c r="AX598"/>
      <c r="AY598"/>
      <c r="BA598" s="4" t="s">
        <v>163</v>
      </c>
      <c r="BB598" s="3"/>
      <c r="BC598" s="3"/>
      <c r="BD598" s="3"/>
      <c r="BE598" s="1369">
        <f t="shared" si="1"/>
        <v>0</v>
      </c>
      <c r="BF598" s="1371"/>
      <c r="BG598" s="1409">
        <f t="shared" si="2"/>
        <v>0</v>
      </c>
      <c r="BH598" s="1410"/>
      <c r="BI598" s="1369">
        <f t="shared" si="3"/>
        <v>0</v>
      </c>
      <c r="BJ598" s="1371"/>
      <c r="BK598" s="1409">
        <f t="shared" si="4"/>
        <v>0</v>
      </c>
      <c r="BL598" s="1410"/>
      <c r="BM598" s="3"/>
      <c r="BN598" s="1406">
        <f t="shared" si="5"/>
        <v>0</v>
      </c>
      <c r="BO598" s="1407"/>
      <c r="BP598" s="1407"/>
      <c r="BQ598" s="1407"/>
      <c r="BR598" s="1408"/>
      <c r="BS598" s="1403">
        <f t="shared" si="6"/>
        <v>8</v>
      </c>
      <c r="BT598" s="1403"/>
      <c r="BU598" s="1403"/>
      <c r="BV598" s="1403"/>
      <c r="BW598" s="1403"/>
      <c r="BX598" s="1403">
        <f t="shared" si="7"/>
        <v>0</v>
      </c>
      <c r="BY598" s="1403"/>
      <c r="BZ598" s="1403"/>
      <c r="CA598" s="1403"/>
      <c r="CB598" s="1403"/>
      <c r="CC598" s="1403">
        <f t="shared" si="8"/>
        <v>0</v>
      </c>
      <c r="CD598" s="1403"/>
      <c r="CE598" s="1403"/>
      <c r="CF598" s="1403"/>
      <c r="CG598" s="1403"/>
      <c r="CH598" s="1403">
        <f t="shared" si="9"/>
        <v>0</v>
      </c>
      <c r="CI598" s="1403"/>
      <c r="CJ598" s="1403"/>
      <c r="CK598" s="1403"/>
      <c r="CL598" s="1403"/>
      <c r="CM598" s="1403">
        <f t="shared" si="10"/>
        <v>0</v>
      </c>
      <c r="CN598" s="1403"/>
      <c r="CO598" s="1403"/>
      <c r="CP598" s="1403"/>
      <c r="CQ598" s="1403"/>
      <c r="CR598" s="6"/>
      <c r="CS598" s="1402">
        <f t="shared" si="11"/>
        <v>0</v>
      </c>
      <c r="CT598" s="1402"/>
      <c r="CU598" s="1402"/>
      <c r="CV598" s="1402"/>
      <c r="CW598" s="1402"/>
      <c r="CX598" s="1402">
        <f t="shared" si="12"/>
        <v>0</v>
      </c>
      <c r="CY598" s="1402"/>
      <c r="CZ598" s="1402"/>
      <c r="DA598" s="1402"/>
      <c r="DB598" s="1402"/>
      <c r="DC598" s="1402">
        <f t="shared" si="13"/>
        <v>0</v>
      </c>
      <c r="DD598" s="1402"/>
      <c r="DE598" s="1402"/>
      <c r="DF598" s="1402"/>
      <c r="DG598" s="1402"/>
      <c r="DH598" s="1402">
        <f t="shared" si="14"/>
        <v>0</v>
      </c>
      <c r="DI598" s="1402"/>
      <c r="DJ598" s="1402"/>
      <c r="DK598" s="1402"/>
      <c r="DL598" s="1402"/>
      <c r="DM598" s="1402">
        <f t="shared" si="15"/>
        <v>0</v>
      </c>
      <c r="DN598" s="1402"/>
      <c r="DO598" s="1402"/>
      <c r="DP598" s="1402"/>
      <c r="DQ598" s="1402"/>
      <c r="DR598" s="1402">
        <f t="shared" si="16"/>
        <v>0</v>
      </c>
      <c r="DS598" s="1402"/>
      <c r="DT598" s="1402"/>
      <c r="DU598" s="1402"/>
      <c r="DV598" s="1402"/>
      <c r="DX598" s="1369" t="str">
        <f t="shared" si="17"/>
        <v/>
      </c>
      <c r="DY598" s="1370"/>
      <c r="DZ598" s="1370"/>
      <c r="EA598" s="1370"/>
      <c r="EB598" s="1371"/>
      <c r="EC598" s="1369">
        <f t="shared" si="18"/>
        <v>1124</v>
      </c>
      <c r="ED598" s="1370"/>
      <c r="EE598" s="1370"/>
      <c r="EF598" s="1370"/>
      <c r="EG598" s="1371"/>
      <c r="EH598" s="1369" t="str">
        <f t="shared" si="19"/>
        <v/>
      </c>
      <c r="EI598" s="1370"/>
      <c r="EJ598" s="1370"/>
      <c r="EK598" s="1370"/>
      <c r="EL598" s="1371"/>
      <c r="EM598" s="1369" t="str">
        <f t="shared" si="20"/>
        <v/>
      </c>
      <c r="EN598" s="1370"/>
      <c r="EO598" s="1370"/>
      <c r="EP598" s="1370"/>
      <c r="EQ598" s="1371"/>
      <c r="ER598" s="1369" t="str">
        <f t="shared" si="21"/>
        <v/>
      </c>
      <c r="ES598" s="1370"/>
      <c r="ET598" s="1370"/>
      <c r="EU598" s="1370"/>
      <c r="EV598" s="1371"/>
      <c r="EW598" s="1369" t="str">
        <f t="shared" si="22"/>
        <v/>
      </c>
      <c r="EX598" s="1370"/>
      <c r="EY598" s="1370"/>
      <c r="EZ598" s="1370"/>
      <c r="FA598" s="1371"/>
    </row>
    <row r="599" spans="1:157" ht="13.05" customHeight="1">
      <c r="A599" s="22"/>
      <c r="B599" t="s">
        <v>20</v>
      </c>
      <c r="N599" s="1461" t="s">
        <v>677</v>
      </c>
      <c r="O599" s="1461"/>
      <c r="T599" s="22"/>
      <c r="U599" t="s">
        <v>20</v>
      </c>
      <c r="AG599" s="1461" t="s">
        <v>677</v>
      </c>
      <c r="AH599" s="1461"/>
      <c r="BA599" s="4" t="s">
        <v>164</v>
      </c>
      <c r="BB599" s="3"/>
      <c r="BC599" s="3"/>
      <c r="BD599" s="3"/>
      <c r="BE599" s="1369">
        <f t="shared" si="1"/>
        <v>0</v>
      </c>
      <c r="BF599" s="1371"/>
      <c r="BG599" s="1409">
        <f t="shared" si="2"/>
        <v>0</v>
      </c>
      <c r="BH599" s="1410"/>
      <c r="BI599" s="1369">
        <f t="shared" si="3"/>
        <v>0</v>
      </c>
      <c r="BJ599" s="1371"/>
      <c r="BK599" s="1409">
        <f t="shared" si="4"/>
        <v>0</v>
      </c>
      <c r="BL599" s="1410"/>
      <c r="BM599" s="3"/>
      <c r="BN599" s="1406">
        <f t="shared" si="5"/>
        <v>0</v>
      </c>
      <c r="BO599" s="1407"/>
      <c r="BP599" s="1407"/>
      <c r="BQ599" s="1407"/>
      <c r="BR599" s="1408"/>
      <c r="BS599" s="1403">
        <f t="shared" si="6"/>
        <v>20</v>
      </c>
      <c r="BT599" s="1403"/>
      <c r="BU599" s="1403"/>
      <c r="BV599" s="1403"/>
      <c r="BW599" s="1403"/>
      <c r="BX599" s="1403">
        <f t="shared" si="7"/>
        <v>0</v>
      </c>
      <c r="BY599" s="1403"/>
      <c r="BZ599" s="1403"/>
      <c r="CA599" s="1403"/>
      <c r="CB599" s="1403"/>
      <c r="CC599" s="1403">
        <f t="shared" si="8"/>
        <v>0</v>
      </c>
      <c r="CD599" s="1403"/>
      <c r="CE599" s="1403"/>
      <c r="CF599" s="1403"/>
      <c r="CG599" s="1403"/>
      <c r="CH599" s="1403">
        <f t="shared" si="9"/>
        <v>0</v>
      </c>
      <c r="CI599" s="1403"/>
      <c r="CJ599" s="1403"/>
      <c r="CK599" s="1403"/>
      <c r="CL599" s="1403"/>
      <c r="CM599" s="1403">
        <f t="shared" si="10"/>
        <v>0</v>
      </c>
      <c r="CN599" s="1403"/>
      <c r="CO599" s="1403"/>
      <c r="CP599" s="1403"/>
      <c r="CQ599" s="1403"/>
      <c r="CR599" s="6"/>
      <c r="CS599" s="1402">
        <f t="shared" si="11"/>
        <v>0</v>
      </c>
      <c r="CT599" s="1402"/>
      <c r="CU599" s="1402"/>
      <c r="CV599" s="1402"/>
      <c r="CW599" s="1402"/>
      <c r="CX599" s="1402">
        <f t="shared" si="12"/>
        <v>0</v>
      </c>
      <c r="CY599" s="1402"/>
      <c r="CZ599" s="1402"/>
      <c r="DA599" s="1402"/>
      <c r="DB599" s="1402"/>
      <c r="DC599" s="1402">
        <f t="shared" si="13"/>
        <v>0</v>
      </c>
      <c r="DD599" s="1402"/>
      <c r="DE599" s="1402"/>
      <c r="DF599" s="1402"/>
      <c r="DG599" s="1402"/>
      <c r="DH599" s="1402">
        <f t="shared" si="14"/>
        <v>0</v>
      </c>
      <c r="DI599" s="1402"/>
      <c r="DJ599" s="1402"/>
      <c r="DK599" s="1402"/>
      <c r="DL599" s="1402"/>
      <c r="DM599" s="1402">
        <f t="shared" si="15"/>
        <v>0</v>
      </c>
      <c r="DN599" s="1402"/>
      <c r="DO599" s="1402"/>
      <c r="DP599" s="1402"/>
      <c r="DQ599" s="1402"/>
      <c r="DR599" s="1402">
        <f t="shared" si="16"/>
        <v>0</v>
      </c>
      <c r="DS599" s="1402"/>
      <c r="DT599" s="1402"/>
      <c r="DU599" s="1402"/>
      <c r="DV599" s="1402"/>
      <c r="DX599" s="1369" t="str">
        <f t="shared" si="17"/>
        <v/>
      </c>
      <c r="DY599" s="1370"/>
      <c r="DZ599" s="1370"/>
      <c r="EA599" s="1370"/>
      <c r="EB599" s="1371"/>
      <c r="EC599" s="1369">
        <f t="shared" si="18"/>
        <v>1325</v>
      </c>
      <c r="ED599" s="1370"/>
      <c r="EE599" s="1370"/>
      <c r="EF599" s="1370"/>
      <c r="EG599" s="1371"/>
      <c r="EH599" s="1369" t="str">
        <f t="shared" si="19"/>
        <v/>
      </c>
      <c r="EI599" s="1370"/>
      <c r="EJ599" s="1370"/>
      <c r="EK599" s="1370"/>
      <c r="EL599" s="1371"/>
      <c r="EM599" s="1369" t="str">
        <f t="shared" si="20"/>
        <v/>
      </c>
      <c r="EN599" s="1370"/>
      <c r="EO599" s="1370"/>
      <c r="EP599" s="1370"/>
      <c r="EQ599" s="1371"/>
      <c r="ER599" s="1369" t="str">
        <f t="shared" si="21"/>
        <v/>
      </c>
      <c r="ES599" s="1370"/>
      <c r="ET599" s="1370"/>
      <c r="EU599" s="1370"/>
      <c r="EV599" s="1371"/>
      <c r="EW599" s="1369" t="str">
        <f t="shared" si="22"/>
        <v/>
      </c>
      <c r="EX599" s="1370"/>
      <c r="EY599" s="1370"/>
      <c r="EZ599" s="1370"/>
      <c r="FA599" s="1371"/>
    </row>
    <row r="600" spans="1:157" ht="13.05" customHeight="1">
      <c r="A600" s="22"/>
      <c r="T600" s="22"/>
      <c r="BA600" s="4" t="s">
        <v>165</v>
      </c>
      <c r="BB600" s="3"/>
      <c r="BC600" s="3"/>
      <c r="BD600" s="3"/>
      <c r="BE600" s="1369">
        <f t="shared" si="1"/>
        <v>0</v>
      </c>
      <c r="BF600" s="1371"/>
      <c r="BG600" s="1409">
        <f t="shared" si="2"/>
        <v>0</v>
      </c>
      <c r="BH600" s="1410"/>
      <c r="BI600" s="1369">
        <f t="shared" si="3"/>
        <v>1</v>
      </c>
      <c r="BJ600" s="1371"/>
      <c r="BK600" s="1409">
        <f t="shared" si="4"/>
        <v>10</v>
      </c>
      <c r="BL600" s="1410"/>
      <c r="BM600" s="3"/>
      <c r="BN600" s="1406">
        <f t="shared" si="5"/>
        <v>0</v>
      </c>
      <c r="BO600" s="1407"/>
      <c r="BP600" s="1407"/>
      <c r="BQ600" s="1407"/>
      <c r="BR600" s="1408"/>
      <c r="BS600" s="1403">
        <f t="shared" si="6"/>
        <v>0</v>
      </c>
      <c r="BT600" s="1403"/>
      <c r="BU600" s="1403"/>
      <c r="BV600" s="1403"/>
      <c r="BW600" s="1403"/>
      <c r="BX600" s="1403">
        <f t="shared" si="7"/>
        <v>10</v>
      </c>
      <c r="BY600" s="1403"/>
      <c r="BZ600" s="1403"/>
      <c r="CA600" s="1403"/>
      <c r="CB600" s="1403"/>
      <c r="CC600" s="1403">
        <f t="shared" si="8"/>
        <v>0</v>
      </c>
      <c r="CD600" s="1403"/>
      <c r="CE600" s="1403"/>
      <c r="CF600" s="1403"/>
      <c r="CG600" s="1403"/>
      <c r="CH600" s="1403">
        <f t="shared" si="9"/>
        <v>0</v>
      </c>
      <c r="CI600" s="1403"/>
      <c r="CJ600" s="1403"/>
      <c r="CK600" s="1403"/>
      <c r="CL600" s="1403"/>
      <c r="CM600" s="1403">
        <f t="shared" si="10"/>
        <v>0</v>
      </c>
      <c r="CN600" s="1403"/>
      <c r="CO600" s="1403"/>
      <c r="CP600" s="1403"/>
      <c r="CQ600" s="1403"/>
      <c r="CR600" s="6"/>
      <c r="CS600" s="1402">
        <f t="shared" si="11"/>
        <v>0</v>
      </c>
      <c r="CT600" s="1402"/>
      <c r="CU600" s="1402"/>
      <c r="CV600" s="1402"/>
      <c r="CW600" s="1402"/>
      <c r="CX600" s="1402">
        <f t="shared" si="12"/>
        <v>0</v>
      </c>
      <c r="CY600" s="1402"/>
      <c r="CZ600" s="1402"/>
      <c r="DA600" s="1402"/>
      <c r="DB600" s="1402"/>
      <c r="DC600" s="1402">
        <f t="shared" si="13"/>
        <v>10</v>
      </c>
      <c r="DD600" s="1402"/>
      <c r="DE600" s="1402"/>
      <c r="DF600" s="1402"/>
      <c r="DG600" s="1402"/>
      <c r="DH600" s="1402">
        <f t="shared" si="14"/>
        <v>0</v>
      </c>
      <c r="DI600" s="1402"/>
      <c r="DJ600" s="1402"/>
      <c r="DK600" s="1402"/>
      <c r="DL600" s="1402"/>
      <c r="DM600" s="1402">
        <f t="shared" si="15"/>
        <v>0</v>
      </c>
      <c r="DN600" s="1402"/>
      <c r="DO600" s="1402"/>
      <c r="DP600" s="1402"/>
      <c r="DQ600" s="1402"/>
      <c r="DR600" s="1402">
        <f t="shared" si="16"/>
        <v>0</v>
      </c>
      <c r="DS600" s="1402"/>
      <c r="DT600" s="1402"/>
      <c r="DU600" s="1402"/>
      <c r="DV600" s="1402"/>
      <c r="DX600" s="1369" t="str">
        <f t="shared" si="17"/>
        <v/>
      </c>
      <c r="DY600" s="1370"/>
      <c r="DZ600" s="1370"/>
      <c r="EA600" s="1370"/>
      <c r="EB600" s="1371"/>
      <c r="EC600" s="1369" t="str">
        <f t="shared" si="18"/>
        <v/>
      </c>
      <c r="ED600" s="1370"/>
      <c r="EE600" s="1370"/>
      <c r="EF600" s="1370"/>
      <c r="EG600" s="1371"/>
      <c r="EH600" s="1369">
        <f t="shared" si="19"/>
        <v>621</v>
      </c>
      <c r="EI600" s="1370"/>
      <c r="EJ600" s="1370"/>
      <c r="EK600" s="1370"/>
      <c r="EL600" s="1371"/>
      <c r="EM600" s="1369" t="str">
        <f t="shared" si="20"/>
        <v/>
      </c>
      <c r="EN600" s="1370"/>
      <c r="EO600" s="1370"/>
      <c r="EP600" s="1370"/>
      <c r="EQ600" s="1371"/>
      <c r="ER600" s="1369" t="str">
        <f t="shared" si="21"/>
        <v/>
      </c>
      <c r="ES600" s="1370"/>
      <c r="ET600" s="1370"/>
      <c r="EU600" s="1370"/>
      <c r="EV600" s="1371"/>
      <c r="EW600" s="1369" t="str">
        <f t="shared" si="22"/>
        <v/>
      </c>
      <c r="EX600" s="1370"/>
      <c r="EY600" s="1370"/>
      <c r="EZ600" s="1370"/>
      <c r="FA600" s="1371"/>
    </row>
    <row r="601" spans="1:157" ht="13.05" customHeight="1">
      <c r="A601" s="55" t="s">
        <v>469</v>
      </c>
      <c r="B601" t="s">
        <v>471</v>
      </c>
      <c r="G601" s="1373">
        <f>C562</f>
        <v>0</v>
      </c>
      <c r="H601" s="1373"/>
      <c r="I601" s="1373"/>
      <c r="J601" s="1373"/>
      <c r="K601" s="1373"/>
      <c r="L601" s="1373"/>
      <c r="M601" s="1373"/>
      <c r="N601" s="1373"/>
      <c r="O601" s="1373"/>
      <c r="P601" s="1373"/>
      <c r="Q601" s="1373"/>
      <c r="R601" s="1373"/>
      <c r="T601" s="55" t="s">
        <v>654</v>
      </c>
      <c r="U601" t="s">
        <v>471</v>
      </c>
      <c r="Z601" s="1373">
        <f>C563</f>
        <v>0</v>
      </c>
      <c r="AA601" s="1373"/>
      <c r="AB601" s="1373"/>
      <c r="AC601" s="1373"/>
      <c r="AD601" s="1373"/>
      <c r="AE601" s="1373"/>
      <c r="AF601" s="1373"/>
      <c r="AG601" s="1373"/>
      <c r="AH601" s="1373"/>
      <c r="AI601" s="1373"/>
      <c r="AJ601" s="1373"/>
      <c r="AK601" s="1373"/>
      <c r="BA601" s="4" t="s">
        <v>30</v>
      </c>
      <c r="BB601" s="3"/>
      <c r="BC601" s="3"/>
      <c r="BD601" s="3"/>
      <c r="BE601" s="1369">
        <f t="shared" si="1"/>
        <v>0</v>
      </c>
      <c r="BF601" s="1371"/>
      <c r="BG601" s="1409">
        <f t="shared" si="2"/>
        <v>0</v>
      </c>
      <c r="BH601" s="1410"/>
      <c r="BI601" s="1369">
        <f t="shared" si="3"/>
        <v>1</v>
      </c>
      <c r="BJ601" s="1371"/>
      <c r="BK601" s="1409">
        <f t="shared" si="4"/>
        <v>4</v>
      </c>
      <c r="BL601" s="1410"/>
      <c r="BM601" s="3"/>
      <c r="BN601" s="1406">
        <f t="shared" si="5"/>
        <v>0</v>
      </c>
      <c r="BO601" s="1407"/>
      <c r="BP601" s="1407"/>
      <c r="BQ601" s="1407"/>
      <c r="BR601" s="1408"/>
      <c r="BS601" s="1403">
        <f t="shared" si="6"/>
        <v>0</v>
      </c>
      <c r="BT601" s="1403"/>
      <c r="BU601" s="1403"/>
      <c r="BV601" s="1403"/>
      <c r="BW601" s="1403"/>
      <c r="BX601" s="1403">
        <f t="shared" si="7"/>
        <v>4</v>
      </c>
      <c r="BY601" s="1403"/>
      <c r="BZ601" s="1403"/>
      <c r="CA601" s="1403"/>
      <c r="CB601" s="1403"/>
      <c r="CC601" s="1403">
        <f t="shared" si="8"/>
        <v>0</v>
      </c>
      <c r="CD601" s="1403"/>
      <c r="CE601" s="1403"/>
      <c r="CF601" s="1403"/>
      <c r="CG601" s="1403"/>
      <c r="CH601" s="1403">
        <f t="shared" si="9"/>
        <v>0</v>
      </c>
      <c r="CI601" s="1403"/>
      <c r="CJ601" s="1403"/>
      <c r="CK601" s="1403"/>
      <c r="CL601" s="1403"/>
      <c r="CM601" s="1403">
        <f t="shared" si="10"/>
        <v>0</v>
      </c>
      <c r="CN601" s="1403"/>
      <c r="CO601" s="1403"/>
      <c r="CP601" s="1403"/>
      <c r="CQ601" s="1403"/>
      <c r="CR601" s="6"/>
      <c r="CS601" s="1402">
        <f t="shared" si="11"/>
        <v>0</v>
      </c>
      <c r="CT601" s="1402"/>
      <c r="CU601" s="1402"/>
      <c r="CV601" s="1402"/>
      <c r="CW601" s="1402"/>
      <c r="CX601" s="1402">
        <f t="shared" si="12"/>
        <v>0</v>
      </c>
      <c r="CY601" s="1402"/>
      <c r="CZ601" s="1402"/>
      <c r="DA601" s="1402"/>
      <c r="DB601" s="1402"/>
      <c r="DC601" s="1402">
        <f t="shared" si="13"/>
        <v>4</v>
      </c>
      <c r="DD601" s="1402"/>
      <c r="DE601" s="1402"/>
      <c r="DF601" s="1402"/>
      <c r="DG601" s="1402"/>
      <c r="DH601" s="1402">
        <f t="shared" si="14"/>
        <v>0</v>
      </c>
      <c r="DI601" s="1402"/>
      <c r="DJ601" s="1402"/>
      <c r="DK601" s="1402"/>
      <c r="DL601" s="1402"/>
      <c r="DM601" s="1402">
        <f t="shared" si="15"/>
        <v>0</v>
      </c>
      <c r="DN601" s="1402"/>
      <c r="DO601" s="1402"/>
      <c r="DP601" s="1402"/>
      <c r="DQ601" s="1402"/>
      <c r="DR601" s="1402">
        <f t="shared" si="16"/>
        <v>0</v>
      </c>
      <c r="DS601" s="1402"/>
      <c r="DT601" s="1402"/>
      <c r="DU601" s="1402"/>
      <c r="DV601" s="1402"/>
      <c r="DX601" s="1369" t="str">
        <f t="shared" si="17"/>
        <v/>
      </c>
      <c r="DY601" s="1370"/>
      <c r="DZ601" s="1370"/>
      <c r="EA601" s="1370"/>
      <c r="EB601" s="1371"/>
      <c r="EC601" s="1369" t="str">
        <f t="shared" si="18"/>
        <v/>
      </c>
      <c r="ED601" s="1370"/>
      <c r="EE601" s="1370"/>
      <c r="EF601" s="1370"/>
      <c r="EG601" s="1371"/>
      <c r="EH601" s="1369">
        <f t="shared" si="19"/>
        <v>619</v>
      </c>
      <c r="EI601" s="1370"/>
      <c r="EJ601" s="1370"/>
      <c r="EK601" s="1370"/>
      <c r="EL601" s="1371"/>
      <c r="EM601" s="1369" t="str">
        <f t="shared" si="20"/>
        <v/>
      </c>
      <c r="EN601" s="1370"/>
      <c r="EO601" s="1370"/>
      <c r="EP601" s="1370"/>
      <c r="EQ601" s="1371"/>
      <c r="ER601" s="1369" t="str">
        <f t="shared" si="21"/>
        <v/>
      </c>
      <c r="ES601" s="1370"/>
      <c r="ET601" s="1370"/>
      <c r="EU601" s="1370"/>
      <c r="EV601" s="1371"/>
      <c r="EW601" s="1369" t="str">
        <f t="shared" si="22"/>
        <v/>
      </c>
      <c r="EX601" s="1370"/>
      <c r="EY601" s="1370"/>
      <c r="EZ601" s="1370"/>
      <c r="FA601" s="1371"/>
    </row>
    <row r="602" spans="1:157" ht="13.05" customHeight="1">
      <c r="A602" s="22"/>
      <c r="B602" t="s">
        <v>85</v>
      </c>
      <c r="G602" s="1405"/>
      <c r="H602" s="1405"/>
      <c r="I602" s="1405"/>
      <c r="J602" s="1405"/>
      <c r="K602" s="1405"/>
      <c r="L602" s="1405"/>
      <c r="M602" s="1405"/>
      <c r="N602" s="1405"/>
      <c r="O602" s="1405"/>
      <c r="P602" s="1405"/>
      <c r="Q602" s="1405"/>
      <c r="R602" s="1405"/>
      <c r="T602" s="22"/>
      <c r="U602" t="s">
        <v>85</v>
      </c>
      <c r="Z602" s="1405"/>
      <c r="AA602" s="1405"/>
      <c r="AB602" s="1405"/>
      <c r="AC602" s="1405"/>
      <c r="AD602" s="1405"/>
      <c r="AE602" s="1405"/>
      <c r="AF602" s="1405"/>
      <c r="AG602" s="1405"/>
      <c r="AH602" s="1405"/>
      <c r="AI602" s="1405"/>
      <c r="AJ602" s="1405"/>
      <c r="AK602" s="1405"/>
      <c r="AZ602" s="3"/>
      <c r="BA602" s="3"/>
      <c r="BB602" s="3"/>
      <c r="BC602" s="3"/>
      <c r="BD602" s="3"/>
      <c r="BE602" s="1369">
        <f t="shared" si="1"/>
        <v>0</v>
      </c>
      <c r="BF602" s="1371"/>
      <c r="BG602" s="1409">
        <f t="shared" si="2"/>
        <v>0</v>
      </c>
      <c r="BH602" s="1410"/>
      <c r="BI602" s="1369">
        <f t="shared" si="3"/>
        <v>0</v>
      </c>
      <c r="BJ602" s="1371"/>
      <c r="BK602" s="1409">
        <f t="shared" si="4"/>
        <v>0</v>
      </c>
      <c r="BL602" s="1410"/>
      <c r="BM602" s="3"/>
      <c r="BN602" s="1406">
        <f t="shared" si="5"/>
        <v>0</v>
      </c>
      <c r="BO602" s="1407"/>
      <c r="BP602" s="1407"/>
      <c r="BQ602" s="1407"/>
      <c r="BR602" s="1408"/>
      <c r="BS602" s="1403">
        <f t="shared" si="6"/>
        <v>0</v>
      </c>
      <c r="BT602" s="1403"/>
      <c r="BU602" s="1403"/>
      <c r="BV602" s="1403"/>
      <c r="BW602" s="1403"/>
      <c r="BX602" s="1403">
        <f t="shared" si="7"/>
        <v>8</v>
      </c>
      <c r="BY602" s="1403"/>
      <c r="BZ602" s="1403"/>
      <c r="CA602" s="1403"/>
      <c r="CB602" s="1403"/>
      <c r="CC602" s="1403">
        <f t="shared" si="8"/>
        <v>0</v>
      </c>
      <c r="CD602" s="1403"/>
      <c r="CE602" s="1403"/>
      <c r="CF602" s="1403"/>
      <c r="CG602" s="1403"/>
      <c r="CH602" s="1403">
        <f t="shared" si="9"/>
        <v>0</v>
      </c>
      <c r="CI602" s="1403"/>
      <c r="CJ602" s="1403"/>
      <c r="CK602" s="1403"/>
      <c r="CL602" s="1403"/>
      <c r="CM602" s="1403">
        <f t="shared" si="10"/>
        <v>0</v>
      </c>
      <c r="CN602" s="1403"/>
      <c r="CO602" s="1403"/>
      <c r="CP602" s="1403"/>
      <c r="CQ602" s="1403"/>
      <c r="CR602" s="6"/>
      <c r="CS602" s="1402">
        <f t="shared" si="11"/>
        <v>0</v>
      </c>
      <c r="CT602" s="1402"/>
      <c r="CU602" s="1402"/>
      <c r="CV602" s="1402"/>
      <c r="CW602" s="1402"/>
      <c r="CX602" s="1402">
        <f t="shared" si="12"/>
        <v>0</v>
      </c>
      <c r="CY602" s="1402"/>
      <c r="CZ602" s="1402"/>
      <c r="DA602" s="1402"/>
      <c r="DB602" s="1402"/>
      <c r="DC602" s="1402">
        <f t="shared" si="13"/>
        <v>0</v>
      </c>
      <c r="DD602" s="1402"/>
      <c r="DE602" s="1402"/>
      <c r="DF602" s="1402"/>
      <c r="DG602" s="1402"/>
      <c r="DH602" s="1402">
        <f t="shared" si="14"/>
        <v>0</v>
      </c>
      <c r="DI602" s="1402"/>
      <c r="DJ602" s="1402"/>
      <c r="DK602" s="1402"/>
      <c r="DL602" s="1402"/>
      <c r="DM602" s="1402">
        <f t="shared" si="15"/>
        <v>0</v>
      </c>
      <c r="DN602" s="1402"/>
      <c r="DO602" s="1402"/>
      <c r="DP602" s="1402"/>
      <c r="DQ602" s="1402"/>
      <c r="DR602" s="1402">
        <f t="shared" si="16"/>
        <v>0</v>
      </c>
      <c r="DS602" s="1402"/>
      <c r="DT602" s="1402"/>
      <c r="DU602" s="1402"/>
      <c r="DV602" s="1402"/>
      <c r="DX602" s="1369" t="str">
        <f t="shared" si="17"/>
        <v/>
      </c>
      <c r="DY602" s="1370"/>
      <c r="DZ602" s="1370"/>
      <c r="EA602" s="1370"/>
      <c r="EB602" s="1371"/>
      <c r="EC602" s="1369" t="str">
        <f t="shared" si="18"/>
        <v/>
      </c>
      <c r="ED602" s="1370"/>
      <c r="EE602" s="1370"/>
      <c r="EF602" s="1370"/>
      <c r="EG602" s="1371"/>
      <c r="EH602" s="1369">
        <f t="shared" si="19"/>
        <v>1344</v>
      </c>
      <c r="EI602" s="1370"/>
      <c r="EJ602" s="1370"/>
      <c r="EK602" s="1370"/>
      <c r="EL602" s="1371"/>
      <c r="EM602" s="1369" t="str">
        <f t="shared" si="20"/>
        <v/>
      </c>
      <c r="EN602" s="1370"/>
      <c r="EO602" s="1370"/>
      <c r="EP602" s="1370"/>
      <c r="EQ602" s="1371"/>
      <c r="ER602" s="1369" t="str">
        <f t="shared" si="21"/>
        <v/>
      </c>
      <c r="ES602" s="1370"/>
      <c r="ET602" s="1370"/>
      <c r="EU602" s="1370"/>
      <c r="EV602" s="1371"/>
      <c r="EW602" s="1369" t="str">
        <f t="shared" si="22"/>
        <v/>
      </c>
      <c r="EX602" s="1370"/>
      <c r="EY602" s="1370"/>
      <c r="EZ602" s="1370"/>
      <c r="FA602" s="1371"/>
    </row>
    <row r="603" spans="1:157" ht="13.05" customHeight="1">
      <c r="A603" s="22"/>
      <c r="B603" t="s">
        <v>588</v>
      </c>
      <c r="G603" s="1405"/>
      <c r="H603" s="1405"/>
      <c r="I603" s="1405"/>
      <c r="J603" s="1405"/>
      <c r="K603" s="1405"/>
      <c r="L603" s="1405"/>
      <c r="M603" s="1405"/>
      <c r="N603" s="1405"/>
      <c r="O603" s="1405"/>
      <c r="P603" s="1405"/>
      <c r="Q603" s="1405"/>
      <c r="R603" s="1405"/>
      <c r="T603" s="22"/>
      <c r="U603" t="s">
        <v>588</v>
      </c>
      <c r="Z603" s="1374"/>
      <c r="AA603" s="1374"/>
      <c r="AB603" s="1374"/>
      <c r="AC603" s="1374"/>
      <c r="AD603" s="1374"/>
      <c r="AE603" s="1374"/>
      <c r="AF603" s="1374"/>
      <c r="AG603" s="1374"/>
      <c r="AH603" s="1374"/>
      <c r="AI603" s="1374"/>
      <c r="AJ603" s="1374"/>
      <c r="AK603" s="1374"/>
      <c r="AZ603" s="3"/>
      <c r="BA603" s="3"/>
      <c r="BB603" s="3"/>
      <c r="BC603" s="3"/>
      <c r="BD603" s="3"/>
      <c r="BE603" s="1369">
        <f t="shared" si="1"/>
        <v>0</v>
      </c>
      <c r="BF603" s="1371"/>
      <c r="BG603" s="1409">
        <f t="shared" si="2"/>
        <v>0</v>
      </c>
      <c r="BH603" s="1410"/>
      <c r="BI603" s="1369">
        <f t="shared" si="3"/>
        <v>0</v>
      </c>
      <c r="BJ603" s="1371"/>
      <c r="BK603" s="1409">
        <f t="shared" si="4"/>
        <v>0</v>
      </c>
      <c r="BL603" s="1410"/>
      <c r="BM603" s="3"/>
      <c r="BN603" s="1406">
        <f t="shared" si="5"/>
        <v>0</v>
      </c>
      <c r="BO603" s="1407"/>
      <c r="BP603" s="1407"/>
      <c r="BQ603" s="1407"/>
      <c r="BR603" s="1408"/>
      <c r="BS603" s="1403">
        <f t="shared" si="6"/>
        <v>0</v>
      </c>
      <c r="BT603" s="1403"/>
      <c r="BU603" s="1403"/>
      <c r="BV603" s="1403"/>
      <c r="BW603" s="1403"/>
      <c r="BX603" s="1403">
        <f t="shared" si="7"/>
        <v>26</v>
      </c>
      <c r="BY603" s="1403"/>
      <c r="BZ603" s="1403"/>
      <c r="CA603" s="1403"/>
      <c r="CB603" s="1403"/>
      <c r="CC603" s="1403">
        <f t="shared" si="8"/>
        <v>0</v>
      </c>
      <c r="CD603" s="1403"/>
      <c r="CE603" s="1403"/>
      <c r="CF603" s="1403"/>
      <c r="CG603" s="1403"/>
      <c r="CH603" s="1403">
        <f t="shared" si="9"/>
        <v>0</v>
      </c>
      <c r="CI603" s="1403"/>
      <c r="CJ603" s="1403"/>
      <c r="CK603" s="1403"/>
      <c r="CL603" s="1403"/>
      <c r="CM603" s="1403">
        <f t="shared" si="10"/>
        <v>0</v>
      </c>
      <c r="CN603" s="1403"/>
      <c r="CO603" s="1403"/>
      <c r="CP603" s="1403"/>
      <c r="CQ603" s="1403"/>
      <c r="CR603" s="6"/>
      <c r="CS603" s="1402">
        <f t="shared" si="11"/>
        <v>0</v>
      </c>
      <c r="CT603" s="1402"/>
      <c r="CU603" s="1402"/>
      <c r="CV603" s="1402"/>
      <c r="CW603" s="1402"/>
      <c r="CX603" s="1402">
        <f t="shared" si="12"/>
        <v>0</v>
      </c>
      <c r="CY603" s="1402"/>
      <c r="CZ603" s="1402"/>
      <c r="DA603" s="1402"/>
      <c r="DB603" s="1402"/>
      <c r="DC603" s="1402">
        <f t="shared" si="13"/>
        <v>0</v>
      </c>
      <c r="DD603" s="1402"/>
      <c r="DE603" s="1402"/>
      <c r="DF603" s="1402"/>
      <c r="DG603" s="1402"/>
      <c r="DH603" s="1402">
        <f t="shared" si="14"/>
        <v>0</v>
      </c>
      <c r="DI603" s="1402"/>
      <c r="DJ603" s="1402"/>
      <c r="DK603" s="1402"/>
      <c r="DL603" s="1402"/>
      <c r="DM603" s="1402">
        <f t="shared" si="15"/>
        <v>0</v>
      </c>
      <c r="DN603" s="1402"/>
      <c r="DO603" s="1402"/>
      <c r="DP603" s="1402"/>
      <c r="DQ603" s="1402"/>
      <c r="DR603" s="1402">
        <f t="shared" si="16"/>
        <v>0</v>
      </c>
      <c r="DS603" s="1402"/>
      <c r="DT603" s="1402"/>
      <c r="DU603" s="1402"/>
      <c r="DV603" s="1402"/>
      <c r="DX603" s="1369" t="str">
        <f t="shared" si="17"/>
        <v/>
      </c>
      <c r="DY603" s="1370"/>
      <c r="DZ603" s="1370"/>
      <c r="EA603" s="1370"/>
      <c r="EB603" s="1371"/>
      <c r="EC603" s="1369" t="str">
        <f t="shared" si="18"/>
        <v/>
      </c>
      <c r="ED603" s="1370"/>
      <c r="EE603" s="1370"/>
      <c r="EF603" s="1370"/>
      <c r="EG603" s="1371"/>
      <c r="EH603" s="1369">
        <f t="shared" si="19"/>
        <v>1585</v>
      </c>
      <c r="EI603" s="1370"/>
      <c r="EJ603" s="1370"/>
      <c r="EK603" s="1370"/>
      <c r="EL603" s="1371"/>
      <c r="EM603" s="1369" t="str">
        <f t="shared" si="20"/>
        <v/>
      </c>
      <c r="EN603" s="1370"/>
      <c r="EO603" s="1370"/>
      <c r="EP603" s="1370"/>
      <c r="EQ603" s="1371"/>
      <c r="ER603" s="1369" t="str">
        <f t="shared" si="21"/>
        <v/>
      </c>
      <c r="ES603" s="1370"/>
      <c r="ET603" s="1370"/>
      <c r="EU603" s="1370"/>
      <c r="EV603" s="1371"/>
      <c r="EW603" s="1369" t="str">
        <f t="shared" si="22"/>
        <v/>
      </c>
      <c r="EX603" s="1370"/>
      <c r="EY603" s="1370"/>
      <c r="EZ603" s="1370"/>
      <c r="FA603" s="1371"/>
    </row>
    <row r="604" spans="1:157" ht="13.05" customHeight="1">
      <c r="A604" s="22"/>
      <c r="B604" t="s">
        <v>17</v>
      </c>
      <c r="G604" s="1405"/>
      <c r="H604" s="1405"/>
      <c r="I604" s="1405"/>
      <c r="J604" s="1405"/>
      <c r="K604" s="1405"/>
      <c r="L604" s="1405"/>
      <c r="M604" s="1405"/>
      <c r="N604" s="1405"/>
      <c r="O604" s="1405"/>
      <c r="P604" s="1405"/>
      <c r="Q604" s="1405"/>
      <c r="R604" s="1405"/>
      <c r="T604" s="22"/>
      <c r="U604" t="s">
        <v>17</v>
      </c>
      <c r="Z604" s="1374"/>
      <c r="AA604" s="1374"/>
      <c r="AB604" s="1374"/>
      <c r="AC604" s="1374"/>
      <c r="AD604" s="1374"/>
      <c r="AE604" s="1374"/>
      <c r="AF604" s="1374"/>
      <c r="AG604" s="1374"/>
      <c r="AH604" s="1374"/>
      <c r="AI604" s="1374"/>
      <c r="AJ604" s="1374"/>
      <c r="AK604" s="1374"/>
      <c r="AZ604" s="3"/>
      <c r="BA604" s="3"/>
      <c r="BB604" s="3"/>
      <c r="BC604" s="3"/>
      <c r="BD604" s="3"/>
      <c r="BE604" s="1369">
        <f t="shared" si="1"/>
        <v>0</v>
      </c>
      <c r="BF604" s="1371"/>
      <c r="BG604" s="1409">
        <f t="shared" si="2"/>
        <v>0</v>
      </c>
      <c r="BH604" s="1410"/>
      <c r="BI604" s="1369">
        <f t="shared" si="3"/>
        <v>1</v>
      </c>
      <c r="BJ604" s="1371"/>
      <c r="BK604" s="1409">
        <f t="shared" si="4"/>
        <v>10</v>
      </c>
      <c r="BL604" s="1410"/>
      <c r="BM604" s="3"/>
      <c r="BN604" s="1406">
        <f t="shared" si="5"/>
        <v>0</v>
      </c>
      <c r="BO604" s="1407"/>
      <c r="BP604" s="1407"/>
      <c r="BQ604" s="1407"/>
      <c r="BR604" s="1408"/>
      <c r="BS604" s="1403">
        <f t="shared" si="6"/>
        <v>0</v>
      </c>
      <c r="BT604" s="1403"/>
      <c r="BU604" s="1403"/>
      <c r="BV604" s="1403"/>
      <c r="BW604" s="1403"/>
      <c r="BX604" s="1403">
        <f t="shared" si="7"/>
        <v>0</v>
      </c>
      <c r="BY604" s="1403"/>
      <c r="BZ604" s="1403"/>
      <c r="CA604" s="1403"/>
      <c r="CB604" s="1403"/>
      <c r="CC604" s="1403">
        <f t="shared" si="8"/>
        <v>10</v>
      </c>
      <c r="CD604" s="1403"/>
      <c r="CE604" s="1403"/>
      <c r="CF604" s="1403"/>
      <c r="CG604" s="1403"/>
      <c r="CH604" s="1403">
        <f t="shared" si="9"/>
        <v>0</v>
      </c>
      <c r="CI604" s="1403"/>
      <c r="CJ604" s="1403"/>
      <c r="CK604" s="1403"/>
      <c r="CL604" s="1403"/>
      <c r="CM604" s="1403">
        <f t="shared" si="10"/>
        <v>0</v>
      </c>
      <c r="CN604" s="1403"/>
      <c r="CO604" s="1403"/>
      <c r="CP604" s="1403"/>
      <c r="CQ604" s="1403"/>
      <c r="CR604" s="6"/>
      <c r="CS604" s="1402">
        <f t="shared" si="11"/>
        <v>0</v>
      </c>
      <c r="CT604" s="1402"/>
      <c r="CU604" s="1402"/>
      <c r="CV604" s="1402"/>
      <c r="CW604" s="1402"/>
      <c r="CX604" s="1402">
        <f t="shared" si="12"/>
        <v>0</v>
      </c>
      <c r="CY604" s="1402"/>
      <c r="CZ604" s="1402"/>
      <c r="DA604" s="1402"/>
      <c r="DB604" s="1402"/>
      <c r="DC604" s="1402">
        <f t="shared" si="13"/>
        <v>0</v>
      </c>
      <c r="DD604" s="1402"/>
      <c r="DE604" s="1402"/>
      <c r="DF604" s="1402"/>
      <c r="DG604" s="1402"/>
      <c r="DH604" s="1402">
        <f t="shared" si="14"/>
        <v>10</v>
      </c>
      <c r="DI604" s="1402"/>
      <c r="DJ604" s="1402"/>
      <c r="DK604" s="1402"/>
      <c r="DL604" s="1402"/>
      <c r="DM604" s="1402">
        <f t="shared" si="15"/>
        <v>0</v>
      </c>
      <c r="DN604" s="1402"/>
      <c r="DO604" s="1402"/>
      <c r="DP604" s="1402"/>
      <c r="DQ604" s="1402"/>
      <c r="DR604" s="1402">
        <f t="shared" si="16"/>
        <v>0</v>
      </c>
      <c r="DS604" s="1402"/>
      <c r="DT604" s="1402"/>
      <c r="DU604" s="1402"/>
      <c r="DV604" s="1402"/>
      <c r="DX604" s="1369" t="str">
        <f t="shared" si="17"/>
        <v/>
      </c>
      <c r="DY604" s="1370"/>
      <c r="DZ604" s="1370"/>
      <c r="EA604" s="1370"/>
      <c r="EB604" s="1371"/>
      <c r="EC604" s="1369" t="str">
        <f t="shared" si="18"/>
        <v/>
      </c>
      <c r="ED604" s="1370"/>
      <c r="EE604" s="1370"/>
      <c r="EF604" s="1370"/>
      <c r="EG604" s="1371"/>
      <c r="EH604" s="1369" t="str">
        <f t="shared" si="19"/>
        <v/>
      </c>
      <c r="EI604" s="1370"/>
      <c r="EJ604" s="1370"/>
      <c r="EK604" s="1370"/>
      <c r="EL604" s="1371"/>
      <c r="EM604" s="1369">
        <f t="shared" si="20"/>
        <v>711</v>
      </c>
      <c r="EN604" s="1370"/>
      <c r="EO604" s="1370"/>
      <c r="EP604" s="1370"/>
      <c r="EQ604" s="1371"/>
      <c r="ER604" s="1369" t="str">
        <f t="shared" si="21"/>
        <v/>
      </c>
      <c r="ES604" s="1370"/>
      <c r="ET604" s="1370"/>
      <c r="EU604" s="1370"/>
      <c r="EV604" s="1371"/>
      <c r="EW604" s="1369" t="str">
        <f t="shared" si="22"/>
        <v/>
      </c>
      <c r="EX604" s="1370"/>
      <c r="EY604" s="1370"/>
      <c r="EZ604" s="1370"/>
      <c r="FA604" s="1371"/>
    </row>
    <row r="605" spans="1:157" s="4" customFormat="1" ht="13.05" customHeight="1">
      <c r="A605" s="22"/>
      <c r="B605" t="s">
        <v>317</v>
      </c>
      <c r="C605"/>
      <c r="D605"/>
      <c r="E605"/>
      <c r="F605"/>
      <c r="G605" s="1393"/>
      <c r="H605" s="1393"/>
      <c r="I605" s="1393"/>
      <c r="J605" s="1393"/>
      <c r="K605" s="1393"/>
      <c r="L605" s="1393"/>
      <c r="M605"/>
      <c r="N605"/>
      <c r="O605" s="33" t="s">
        <v>207</v>
      </c>
      <c r="P605" s="1372"/>
      <c r="Q605" s="1372"/>
      <c r="R605" s="1372"/>
      <c r="S605"/>
      <c r="T605" s="22"/>
      <c r="U605" t="s">
        <v>317</v>
      </c>
      <c r="V605"/>
      <c r="W605"/>
      <c r="X605"/>
      <c r="Y605"/>
      <c r="Z605" s="1393"/>
      <c r="AA605" s="1393"/>
      <c r="AB605" s="1393"/>
      <c r="AC605" s="1393"/>
      <c r="AD605" s="1393"/>
      <c r="AE605" s="1393"/>
      <c r="AF605"/>
      <c r="AG605"/>
      <c r="AH605" s="33" t="s">
        <v>207</v>
      </c>
      <c r="AI605" s="1372"/>
      <c r="AJ605" s="1372"/>
      <c r="AK605" s="1372"/>
      <c r="AL605"/>
      <c r="AM605"/>
      <c r="AN605"/>
      <c r="AO605"/>
      <c r="AP605"/>
      <c r="AQ605"/>
      <c r="AR605"/>
      <c r="AS605"/>
      <c r="AT605"/>
      <c r="AU605"/>
      <c r="AV605"/>
      <c r="AW605"/>
      <c r="AX605"/>
      <c r="AY605"/>
      <c r="AZ605" s="3"/>
      <c r="BA605" s="3"/>
      <c r="BB605" s="3"/>
      <c r="BC605" s="3"/>
      <c r="BD605" s="3"/>
      <c r="BE605" s="1369">
        <f t="shared" si="1"/>
        <v>0</v>
      </c>
      <c r="BF605" s="1371"/>
      <c r="BG605" s="1409">
        <f t="shared" si="2"/>
        <v>0</v>
      </c>
      <c r="BH605" s="1410"/>
      <c r="BI605" s="1369">
        <f t="shared" si="3"/>
        <v>1</v>
      </c>
      <c r="BJ605" s="1371"/>
      <c r="BK605" s="1409">
        <f t="shared" si="4"/>
        <v>4</v>
      </c>
      <c r="BL605" s="1410"/>
      <c r="BM605" s="3"/>
      <c r="BN605" s="1406">
        <f t="shared" si="5"/>
        <v>0</v>
      </c>
      <c r="BO605" s="1407"/>
      <c r="BP605" s="1407"/>
      <c r="BQ605" s="1407"/>
      <c r="BR605" s="1408"/>
      <c r="BS605" s="1403">
        <f t="shared" si="6"/>
        <v>0</v>
      </c>
      <c r="BT605" s="1403"/>
      <c r="BU605" s="1403"/>
      <c r="BV605" s="1403"/>
      <c r="BW605" s="1403"/>
      <c r="BX605" s="1403">
        <f t="shared" si="7"/>
        <v>0</v>
      </c>
      <c r="BY605" s="1403"/>
      <c r="BZ605" s="1403"/>
      <c r="CA605" s="1403"/>
      <c r="CB605" s="1403"/>
      <c r="CC605" s="1403">
        <f t="shared" si="8"/>
        <v>4</v>
      </c>
      <c r="CD605" s="1403"/>
      <c r="CE605" s="1403"/>
      <c r="CF605" s="1403"/>
      <c r="CG605" s="1403"/>
      <c r="CH605" s="1403">
        <f t="shared" si="9"/>
        <v>0</v>
      </c>
      <c r="CI605" s="1403"/>
      <c r="CJ605" s="1403"/>
      <c r="CK605" s="1403"/>
      <c r="CL605" s="1403"/>
      <c r="CM605" s="1403">
        <f t="shared" si="10"/>
        <v>0</v>
      </c>
      <c r="CN605" s="1403"/>
      <c r="CO605" s="1403"/>
      <c r="CP605" s="1403"/>
      <c r="CQ605" s="1403"/>
      <c r="CR605" s="6"/>
      <c r="CS605" s="1402">
        <f t="shared" si="11"/>
        <v>0</v>
      </c>
      <c r="CT605" s="1402"/>
      <c r="CU605" s="1402"/>
      <c r="CV605" s="1402"/>
      <c r="CW605" s="1402"/>
      <c r="CX605" s="1402">
        <f t="shared" si="12"/>
        <v>0</v>
      </c>
      <c r="CY605" s="1402"/>
      <c r="CZ605" s="1402"/>
      <c r="DA605" s="1402"/>
      <c r="DB605" s="1402"/>
      <c r="DC605" s="1402">
        <f t="shared" si="13"/>
        <v>0</v>
      </c>
      <c r="DD605" s="1402"/>
      <c r="DE605" s="1402"/>
      <c r="DF605" s="1402"/>
      <c r="DG605" s="1402"/>
      <c r="DH605" s="1402">
        <f t="shared" si="14"/>
        <v>4</v>
      </c>
      <c r="DI605" s="1402"/>
      <c r="DJ605" s="1402"/>
      <c r="DK605" s="1402"/>
      <c r="DL605" s="1402"/>
      <c r="DM605" s="1402">
        <f t="shared" si="15"/>
        <v>0</v>
      </c>
      <c r="DN605" s="1402"/>
      <c r="DO605" s="1402"/>
      <c r="DP605" s="1402"/>
      <c r="DQ605" s="1402"/>
      <c r="DR605" s="1402">
        <f t="shared" si="16"/>
        <v>0</v>
      </c>
      <c r="DS605" s="1402"/>
      <c r="DT605" s="1402"/>
      <c r="DU605" s="1402"/>
      <c r="DV605" s="1402"/>
      <c r="DX605" s="1369" t="str">
        <f t="shared" si="17"/>
        <v/>
      </c>
      <c r="DY605" s="1370"/>
      <c r="DZ605" s="1370"/>
      <c r="EA605" s="1370"/>
      <c r="EB605" s="1371"/>
      <c r="EC605" s="1369" t="str">
        <f t="shared" si="18"/>
        <v/>
      </c>
      <c r="ED605" s="1370"/>
      <c r="EE605" s="1370"/>
      <c r="EF605" s="1370"/>
      <c r="EG605" s="1371"/>
      <c r="EH605" s="1369" t="str">
        <f t="shared" si="19"/>
        <v/>
      </c>
      <c r="EI605" s="1370"/>
      <c r="EJ605" s="1370"/>
      <c r="EK605" s="1370"/>
      <c r="EL605" s="1371"/>
      <c r="EM605" s="1369">
        <f t="shared" si="20"/>
        <v>708</v>
      </c>
      <c r="EN605" s="1370"/>
      <c r="EO605" s="1370"/>
      <c r="EP605" s="1370"/>
      <c r="EQ605" s="1371"/>
      <c r="ER605" s="1369" t="str">
        <f t="shared" si="21"/>
        <v/>
      </c>
      <c r="ES605" s="1370"/>
      <c r="ET605" s="1370"/>
      <c r="EU605" s="1370"/>
      <c r="EV605" s="1371"/>
      <c r="EW605" s="1369" t="str">
        <f t="shared" si="22"/>
        <v/>
      </c>
      <c r="EX605" s="1370"/>
      <c r="EY605" s="1370"/>
      <c r="EZ605" s="1370"/>
      <c r="FA605" s="1371"/>
    </row>
    <row r="606" spans="1:157" s="4" customFormat="1" ht="13.05" customHeight="1">
      <c r="A606" s="22"/>
      <c r="B606" t="s">
        <v>18</v>
      </c>
      <c r="C606"/>
      <c r="D606"/>
      <c r="E606"/>
      <c r="F606"/>
      <c r="G606"/>
      <c r="H606" s="1405"/>
      <c r="I606" s="1405"/>
      <c r="J606" s="1405"/>
      <c r="K606" s="1405"/>
      <c r="L606" s="1405"/>
      <c r="M606" s="1405"/>
      <c r="N606" s="1405"/>
      <c r="O606" s="1405"/>
      <c r="P606" s="1405"/>
      <c r="Q606" s="1405"/>
      <c r="R606" s="1405"/>
      <c r="S606"/>
      <c r="T606" s="22"/>
      <c r="U606" t="s">
        <v>18</v>
      </c>
      <c r="V606"/>
      <c r="W606"/>
      <c r="X606"/>
      <c r="Y606"/>
      <c r="Z606"/>
      <c r="AA606" s="1405"/>
      <c r="AB606" s="1405"/>
      <c r="AC606" s="1405"/>
      <c r="AD606" s="1405"/>
      <c r="AE606" s="1405"/>
      <c r="AF606" s="1405"/>
      <c r="AG606" s="1405"/>
      <c r="AH606" s="1405"/>
      <c r="AI606" s="1405"/>
      <c r="AJ606" s="1405"/>
      <c r="AK606" s="1405"/>
      <c r="AL606"/>
      <c r="AM606"/>
      <c r="AN606"/>
      <c r="AO606"/>
      <c r="AP606"/>
      <c r="AQ606"/>
      <c r="AR606"/>
      <c r="AS606"/>
      <c r="AT606"/>
      <c r="AU606"/>
      <c r="AV606"/>
      <c r="AW606"/>
      <c r="AX606"/>
      <c r="AY606"/>
      <c r="AZ606" s="3"/>
      <c r="BA606" s="3"/>
      <c r="BB606" s="3"/>
      <c r="BC606" s="3"/>
      <c r="BD606" s="3"/>
      <c r="BE606" s="1369">
        <f t="shared" si="1"/>
        <v>0</v>
      </c>
      <c r="BF606" s="1371"/>
      <c r="BG606" s="1409">
        <f t="shared" si="2"/>
        <v>0</v>
      </c>
      <c r="BH606" s="1410"/>
      <c r="BI606" s="1369">
        <f t="shared" si="3"/>
        <v>0</v>
      </c>
      <c r="BJ606" s="1371"/>
      <c r="BK606" s="1409">
        <f t="shared" si="4"/>
        <v>0</v>
      </c>
      <c r="BL606" s="1410"/>
      <c r="BM606" s="3"/>
      <c r="BN606" s="1406">
        <f t="shared" si="5"/>
        <v>0</v>
      </c>
      <c r="BO606" s="1407"/>
      <c r="BP606" s="1407"/>
      <c r="BQ606" s="1407"/>
      <c r="BR606" s="1408"/>
      <c r="BS606" s="1403">
        <f t="shared" si="6"/>
        <v>0</v>
      </c>
      <c r="BT606" s="1403"/>
      <c r="BU606" s="1403"/>
      <c r="BV606" s="1403"/>
      <c r="BW606" s="1403"/>
      <c r="BX606" s="1403">
        <f t="shared" si="7"/>
        <v>0</v>
      </c>
      <c r="BY606" s="1403"/>
      <c r="BZ606" s="1403"/>
      <c r="CA606" s="1403"/>
      <c r="CB606" s="1403"/>
      <c r="CC606" s="1403">
        <f t="shared" si="8"/>
        <v>8</v>
      </c>
      <c r="CD606" s="1403"/>
      <c r="CE606" s="1403"/>
      <c r="CF606" s="1403"/>
      <c r="CG606" s="1403"/>
      <c r="CH606" s="1403">
        <f t="shared" si="9"/>
        <v>0</v>
      </c>
      <c r="CI606" s="1403"/>
      <c r="CJ606" s="1403"/>
      <c r="CK606" s="1403"/>
      <c r="CL606" s="1403"/>
      <c r="CM606" s="1403">
        <f t="shared" si="10"/>
        <v>0</v>
      </c>
      <c r="CN606" s="1403"/>
      <c r="CO606" s="1403"/>
      <c r="CP606" s="1403"/>
      <c r="CQ606" s="1403"/>
      <c r="CR606" s="6"/>
      <c r="CS606" s="1402">
        <f t="shared" si="11"/>
        <v>0</v>
      </c>
      <c r="CT606" s="1402"/>
      <c r="CU606" s="1402"/>
      <c r="CV606" s="1402"/>
      <c r="CW606" s="1402"/>
      <c r="CX606" s="1402">
        <f t="shared" si="12"/>
        <v>0</v>
      </c>
      <c r="CY606" s="1402"/>
      <c r="CZ606" s="1402"/>
      <c r="DA606" s="1402"/>
      <c r="DB606" s="1402"/>
      <c r="DC606" s="1402">
        <f t="shared" si="13"/>
        <v>0</v>
      </c>
      <c r="DD606" s="1402"/>
      <c r="DE606" s="1402"/>
      <c r="DF606" s="1402"/>
      <c r="DG606" s="1402"/>
      <c r="DH606" s="1402">
        <f t="shared" si="14"/>
        <v>0</v>
      </c>
      <c r="DI606" s="1402"/>
      <c r="DJ606" s="1402"/>
      <c r="DK606" s="1402"/>
      <c r="DL606" s="1402"/>
      <c r="DM606" s="1402">
        <f t="shared" si="15"/>
        <v>0</v>
      </c>
      <c r="DN606" s="1402"/>
      <c r="DO606" s="1402"/>
      <c r="DP606" s="1402"/>
      <c r="DQ606" s="1402"/>
      <c r="DR606" s="1402">
        <f t="shared" si="16"/>
        <v>0</v>
      </c>
      <c r="DS606" s="1402"/>
      <c r="DT606" s="1402"/>
      <c r="DU606" s="1402"/>
      <c r="DV606" s="1402"/>
      <c r="DX606" s="1369" t="str">
        <f t="shared" si="17"/>
        <v/>
      </c>
      <c r="DY606" s="1370"/>
      <c r="DZ606" s="1370"/>
      <c r="EA606" s="1370"/>
      <c r="EB606" s="1371"/>
      <c r="EC606" s="1369" t="str">
        <f t="shared" si="18"/>
        <v/>
      </c>
      <c r="ED606" s="1370"/>
      <c r="EE606" s="1370"/>
      <c r="EF606" s="1370"/>
      <c r="EG606" s="1371"/>
      <c r="EH606" s="1369" t="str">
        <f t="shared" si="19"/>
        <v/>
      </c>
      <c r="EI606" s="1370"/>
      <c r="EJ606" s="1370"/>
      <c r="EK606" s="1370"/>
      <c r="EL606" s="1371"/>
      <c r="EM606" s="1369">
        <f t="shared" si="20"/>
        <v>1547</v>
      </c>
      <c r="EN606" s="1370"/>
      <c r="EO606" s="1370"/>
      <c r="EP606" s="1370"/>
      <c r="EQ606" s="1371"/>
      <c r="ER606" s="1369" t="str">
        <f t="shared" si="21"/>
        <v/>
      </c>
      <c r="ES606" s="1370"/>
      <c r="ET606" s="1370"/>
      <c r="EU606" s="1370"/>
      <c r="EV606" s="1371"/>
      <c r="EW606" s="1369" t="str">
        <f t="shared" si="22"/>
        <v/>
      </c>
      <c r="EX606" s="1370"/>
      <c r="EY606" s="1370"/>
      <c r="EZ606" s="1370"/>
      <c r="FA606" s="1371"/>
    </row>
    <row r="607" spans="1:157" s="4" customFormat="1" ht="13.05" customHeight="1">
      <c r="A607" s="22"/>
      <c r="B607" t="s">
        <v>20</v>
      </c>
      <c r="C607"/>
      <c r="D607"/>
      <c r="E607"/>
      <c r="F607"/>
      <c r="G607"/>
      <c r="H607"/>
      <c r="I607"/>
      <c r="J607"/>
      <c r="K607"/>
      <c r="L607"/>
      <c r="M607"/>
      <c r="N607" s="1461" t="s">
        <v>677</v>
      </c>
      <c r="O607" s="1461"/>
      <c r="P607"/>
      <c r="Q607"/>
      <c r="R607"/>
      <c r="S607"/>
      <c r="T607" s="22"/>
      <c r="U607" t="s">
        <v>20</v>
      </c>
      <c r="V607"/>
      <c r="W607"/>
      <c r="X607"/>
      <c r="Y607"/>
      <c r="Z607"/>
      <c r="AA607"/>
      <c r="AB607"/>
      <c r="AC607"/>
      <c r="AD607"/>
      <c r="AE607"/>
      <c r="AF607"/>
      <c r="AG607" s="1461" t="s">
        <v>677</v>
      </c>
      <c r="AH607" s="1461"/>
      <c r="AI607"/>
      <c r="AJ607"/>
      <c r="AK607"/>
      <c r="AL607"/>
      <c r="AM607"/>
      <c r="AN607"/>
      <c r="AO607"/>
      <c r="AP607"/>
      <c r="AQ607"/>
      <c r="AR607"/>
      <c r="AS607"/>
      <c r="AT607"/>
      <c r="AU607"/>
      <c r="AV607"/>
      <c r="AW607"/>
      <c r="AX607"/>
      <c r="AY607"/>
      <c r="AZ607" s="3"/>
      <c r="BA607" s="3"/>
      <c r="BB607" s="3"/>
      <c r="BC607" s="3"/>
      <c r="BD607" s="3"/>
      <c r="BE607" s="1369">
        <f t="shared" si="1"/>
        <v>0</v>
      </c>
      <c r="BF607" s="1371"/>
      <c r="BG607" s="1409">
        <f t="shared" si="2"/>
        <v>0</v>
      </c>
      <c r="BH607" s="1410"/>
      <c r="BI607" s="1369">
        <f t="shared" si="3"/>
        <v>0</v>
      </c>
      <c r="BJ607" s="1371"/>
      <c r="BK607" s="1409">
        <f t="shared" si="4"/>
        <v>0</v>
      </c>
      <c r="BL607" s="1410"/>
      <c r="BM607" s="3"/>
      <c r="BN607" s="1406">
        <f t="shared" si="5"/>
        <v>0</v>
      </c>
      <c r="BO607" s="1407"/>
      <c r="BP607" s="1407"/>
      <c r="BQ607" s="1407"/>
      <c r="BR607" s="1408"/>
      <c r="BS607" s="1403">
        <f t="shared" si="6"/>
        <v>0</v>
      </c>
      <c r="BT607" s="1403"/>
      <c r="BU607" s="1403"/>
      <c r="BV607" s="1403"/>
      <c r="BW607" s="1403"/>
      <c r="BX607" s="1403">
        <f t="shared" si="7"/>
        <v>0</v>
      </c>
      <c r="BY607" s="1403"/>
      <c r="BZ607" s="1403"/>
      <c r="CA607" s="1403"/>
      <c r="CB607" s="1403"/>
      <c r="CC607" s="1403">
        <f t="shared" si="8"/>
        <v>27</v>
      </c>
      <c r="CD607" s="1403"/>
      <c r="CE607" s="1403"/>
      <c r="CF607" s="1403"/>
      <c r="CG607" s="1403"/>
      <c r="CH607" s="1403">
        <f t="shared" si="9"/>
        <v>0</v>
      </c>
      <c r="CI607" s="1403"/>
      <c r="CJ607" s="1403"/>
      <c r="CK607" s="1403"/>
      <c r="CL607" s="1403"/>
      <c r="CM607" s="1403">
        <f t="shared" si="10"/>
        <v>0</v>
      </c>
      <c r="CN607" s="1403"/>
      <c r="CO607" s="1403"/>
      <c r="CP607" s="1403"/>
      <c r="CQ607" s="1403"/>
      <c r="CR607" s="6"/>
      <c r="CS607" s="1402">
        <f t="shared" si="11"/>
        <v>0</v>
      </c>
      <c r="CT607" s="1402"/>
      <c r="CU607" s="1402"/>
      <c r="CV607" s="1402"/>
      <c r="CW607" s="1402"/>
      <c r="CX607" s="1402">
        <f t="shared" si="12"/>
        <v>0</v>
      </c>
      <c r="CY607" s="1402"/>
      <c r="CZ607" s="1402"/>
      <c r="DA607" s="1402"/>
      <c r="DB607" s="1402"/>
      <c r="DC607" s="1402">
        <f t="shared" si="13"/>
        <v>0</v>
      </c>
      <c r="DD607" s="1402"/>
      <c r="DE607" s="1402"/>
      <c r="DF607" s="1402"/>
      <c r="DG607" s="1402"/>
      <c r="DH607" s="1402">
        <f t="shared" si="14"/>
        <v>0</v>
      </c>
      <c r="DI607" s="1402"/>
      <c r="DJ607" s="1402"/>
      <c r="DK607" s="1402"/>
      <c r="DL607" s="1402"/>
      <c r="DM607" s="1402">
        <f t="shared" si="15"/>
        <v>0</v>
      </c>
      <c r="DN607" s="1402"/>
      <c r="DO607" s="1402"/>
      <c r="DP607" s="1402"/>
      <c r="DQ607" s="1402"/>
      <c r="DR607" s="1402">
        <f t="shared" si="16"/>
        <v>0</v>
      </c>
      <c r="DS607" s="1402"/>
      <c r="DT607" s="1402"/>
      <c r="DU607" s="1402"/>
      <c r="DV607" s="1402"/>
      <c r="DX607" s="1369" t="str">
        <f t="shared" si="17"/>
        <v/>
      </c>
      <c r="DY607" s="1370"/>
      <c r="DZ607" s="1370"/>
      <c r="EA607" s="1370"/>
      <c r="EB607" s="1371"/>
      <c r="EC607" s="1369" t="str">
        <f t="shared" si="18"/>
        <v/>
      </c>
      <c r="ED607" s="1370"/>
      <c r="EE607" s="1370"/>
      <c r="EF607" s="1370"/>
      <c r="EG607" s="1371"/>
      <c r="EH607" s="1369" t="str">
        <f t="shared" si="19"/>
        <v/>
      </c>
      <c r="EI607" s="1370"/>
      <c r="EJ607" s="1370"/>
      <c r="EK607" s="1370"/>
      <c r="EL607" s="1371"/>
      <c r="EM607" s="1369">
        <f t="shared" si="20"/>
        <v>1825</v>
      </c>
      <c r="EN607" s="1370"/>
      <c r="EO607" s="1370"/>
      <c r="EP607" s="1370"/>
      <c r="EQ607" s="1371"/>
      <c r="ER607" s="1369" t="str">
        <f t="shared" si="21"/>
        <v/>
      </c>
      <c r="ES607" s="1370"/>
      <c r="ET607" s="1370"/>
      <c r="EU607" s="1370"/>
      <c r="EV607" s="1371"/>
      <c r="EW607" s="1369" t="str">
        <f t="shared" si="22"/>
        <v/>
      </c>
      <c r="EX607" s="1370"/>
      <c r="EY607" s="1370"/>
      <c r="EZ607" s="1370"/>
      <c r="FA607" s="1371"/>
    </row>
    <row r="608" spans="1:157" ht="13.05" customHeight="1">
      <c r="A608" s="22"/>
      <c r="T608" s="22"/>
      <c r="AZ608" s="3"/>
      <c r="BA608" s="3"/>
      <c r="BB608" s="3"/>
      <c r="BC608" s="3"/>
      <c r="BD608" s="3"/>
      <c r="BE608" s="1369">
        <f>IF(AND(AC729&lt;=0.5,AC729&gt;=0.36),1,0)</f>
        <v>0</v>
      </c>
      <c r="BF608" s="1371"/>
      <c r="BG608" s="1409">
        <f t="shared" si="2"/>
        <v>0</v>
      </c>
      <c r="BH608" s="1410"/>
      <c r="BI608" s="1369">
        <f>IF(AND(AC729&lt;=0.35,AC729&gt;0),1,0)</f>
        <v>0</v>
      </c>
      <c r="BJ608" s="1371"/>
      <c r="BK608" s="1409">
        <f t="shared" si="4"/>
        <v>0</v>
      </c>
      <c r="BL608" s="1410"/>
      <c r="BM608" s="3"/>
      <c r="BN608" s="1406">
        <f t="shared" si="5"/>
        <v>0</v>
      </c>
      <c r="BO608" s="1407"/>
      <c r="BP608" s="1407"/>
      <c r="BQ608" s="1407"/>
      <c r="BR608" s="1408"/>
      <c r="BS608" s="1403">
        <f t="shared" si="6"/>
        <v>0</v>
      </c>
      <c r="BT608" s="1403"/>
      <c r="BU608" s="1403"/>
      <c r="BV608" s="1403"/>
      <c r="BW608" s="1403"/>
      <c r="BX608" s="1403">
        <f t="shared" si="7"/>
        <v>0</v>
      </c>
      <c r="BY608" s="1403"/>
      <c r="BZ608" s="1403"/>
      <c r="CA608" s="1403"/>
      <c r="CB608" s="1403"/>
      <c r="CC608" s="1403">
        <f t="shared" si="8"/>
        <v>0</v>
      </c>
      <c r="CD608" s="1403"/>
      <c r="CE608" s="1403"/>
      <c r="CF608" s="1403"/>
      <c r="CG608" s="1403"/>
      <c r="CH608" s="1403">
        <f t="shared" si="9"/>
        <v>0</v>
      </c>
      <c r="CI608" s="1403"/>
      <c r="CJ608" s="1403"/>
      <c r="CK608" s="1403"/>
      <c r="CL608" s="1403"/>
      <c r="CM608" s="1403">
        <f t="shared" si="10"/>
        <v>0</v>
      </c>
      <c r="CN608" s="1403"/>
      <c r="CO608" s="1403"/>
      <c r="CP608" s="1403"/>
      <c r="CQ608" s="1403"/>
      <c r="CR608" s="6"/>
      <c r="CS608" s="1402">
        <f>IF(AND(B729="SRO/Studio",AC729&lt;=0.3),G729,0)</f>
        <v>0</v>
      </c>
      <c r="CT608" s="1402"/>
      <c r="CU608" s="1402"/>
      <c r="CV608" s="1402"/>
      <c r="CW608" s="1402"/>
      <c r="CX608" s="1402">
        <f>IF(AND(B729="1 Bedroom",AC729&lt;=0.3),G729,0)</f>
        <v>0</v>
      </c>
      <c r="CY608" s="1402"/>
      <c r="CZ608" s="1402"/>
      <c r="DA608" s="1402"/>
      <c r="DB608" s="1402"/>
      <c r="DC608" s="1402">
        <f>IF(AND(B729="2 Bedrooms",AC729&lt;=0.3),G729,0)</f>
        <v>0</v>
      </c>
      <c r="DD608" s="1402"/>
      <c r="DE608" s="1402"/>
      <c r="DF608" s="1402"/>
      <c r="DG608" s="1402"/>
      <c r="DH608" s="1402">
        <f>IF(AND(B729="3 Bedrooms",AC729&lt;=0.3),G729,0)</f>
        <v>0</v>
      </c>
      <c r="DI608" s="1402"/>
      <c r="DJ608" s="1402"/>
      <c r="DK608" s="1402"/>
      <c r="DL608" s="1402"/>
      <c r="DM608" s="1402">
        <f>IF(AND(B729="4 Bedrooms",AC729&lt;=0.3),G729,0)</f>
        <v>0</v>
      </c>
      <c r="DN608" s="1402"/>
      <c r="DO608" s="1402"/>
      <c r="DP608" s="1402"/>
      <c r="DQ608" s="1402"/>
      <c r="DR608" s="1402">
        <f>IF(AND(B729="5 Bedrooms",AC729&lt;=0.3),G729,0)</f>
        <v>0</v>
      </c>
      <c r="DS608" s="1402"/>
      <c r="DT608" s="1402"/>
      <c r="DU608" s="1402"/>
      <c r="DV608" s="1402"/>
      <c r="DX608" s="1369" t="str">
        <f t="shared" si="17"/>
        <v/>
      </c>
      <c r="DY608" s="1370"/>
      <c r="DZ608" s="1370"/>
      <c r="EA608" s="1370"/>
      <c r="EB608" s="1371"/>
      <c r="EC608" s="1369" t="str">
        <f t="shared" si="18"/>
        <v/>
      </c>
      <c r="ED608" s="1370"/>
      <c r="EE608" s="1370"/>
      <c r="EF608" s="1370"/>
      <c r="EG608" s="1371"/>
      <c r="EH608" s="1369" t="str">
        <f t="shared" si="19"/>
        <v/>
      </c>
      <c r="EI608" s="1370"/>
      <c r="EJ608" s="1370"/>
      <c r="EK608" s="1370"/>
      <c r="EL608" s="1371"/>
      <c r="EM608" s="1369" t="str">
        <f t="shared" si="20"/>
        <v/>
      </c>
      <c r="EN608" s="1370"/>
      <c r="EO608" s="1370"/>
      <c r="EP608" s="1370"/>
      <c r="EQ608" s="1371"/>
      <c r="ER608" s="1369" t="str">
        <f t="shared" si="21"/>
        <v/>
      </c>
      <c r="ES608" s="1370"/>
      <c r="ET608" s="1370"/>
      <c r="EU608" s="1370"/>
      <c r="EV608" s="1371"/>
      <c r="EW608" s="1369" t="str">
        <f t="shared" si="22"/>
        <v/>
      </c>
      <c r="EX608" s="1370"/>
      <c r="EY608" s="1370"/>
      <c r="EZ608" s="1370"/>
      <c r="FA608" s="1371"/>
    </row>
    <row r="609" spans="1:157" ht="13.05" customHeight="1">
      <c r="A609" s="55" t="s">
        <v>363</v>
      </c>
      <c r="B609" t="s">
        <v>471</v>
      </c>
      <c r="G609" s="1373">
        <f>C564</f>
        <v>0</v>
      </c>
      <c r="H609" s="1373"/>
      <c r="I609" s="1373"/>
      <c r="J609" s="1373"/>
      <c r="K609" s="1373"/>
      <c r="L609" s="1373"/>
      <c r="M609" s="1373"/>
      <c r="N609" s="1373"/>
      <c r="O609" s="1373"/>
      <c r="P609" s="1373"/>
      <c r="Q609" s="1373"/>
      <c r="R609" s="1373"/>
      <c r="T609" s="55" t="s">
        <v>364</v>
      </c>
      <c r="U609" t="s">
        <v>471</v>
      </c>
      <c r="Z609" s="1373">
        <f>C565</f>
        <v>0</v>
      </c>
      <c r="AA609" s="1373"/>
      <c r="AB609" s="1373"/>
      <c r="AC609" s="1373"/>
      <c r="AD609" s="1373"/>
      <c r="AE609" s="1373"/>
      <c r="AF609" s="1373"/>
      <c r="AG609" s="1373"/>
      <c r="AH609" s="1373"/>
      <c r="AI609" s="1373"/>
      <c r="AJ609" s="1373"/>
      <c r="AK609" s="1373"/>
      <c r="AZ609" s="3"/>
      <c r="BA609" s="3"/>
      <c r="BB609" s="3"/>
      <c r="BC609" s="3"/>
      <c r="BD609" s="3"/>
      <c r="BE609" s="1369">
        <f>IF(AND(AC730&lt;=0.5,AC730&gt;=0.36),1,0)</f>
        <v>0</v>
      </c>
      <c r="BF609" s="1371"/>
      <c r="BG609" s="1409">
        <f t="shared" si="2"/>
        <v>0</v>
      </c>
      <c r="BH609" s="1410"/>
      <c r="BI609" s="1369">
        <f>IF(AND(AC730&lt;=0.35,AC730&gt;0),1,0)</f>
        <v>0</v>
      </c>
      <c r="BJ609" s="1371"/>
      <c r="BK609" s="1409">
        <f t="shared" si="4"/>
        <v>0</v>
      </c>
      <c r="BL609" s="1410"/>
      <c r="BM609" s="3"/>
      <c r="BN609" s="1406">
        <f t="shared" si="5"/>
        <v>0</v>
      </c>
      <c r="BO609" s="1407"/>
      <c r="BP609" s="1407"/>
      <c r="BQ609" s="1407"/>
      <c r="BR609" s="1408"/>
      <c r="BS609" s="1403">
        <f t="shared" si="6"/>
        <v>0</v>
      </c>
      <c r="BT609" s="1403"/>
      <c r="BU609" s="1403"/>
      <c r="BV609" s="1403"/>
      <c r="BW609" s="1403"/>
      <c r="BX609" s="1403">
        <f t="shared" si="7"/>
        <v>0</v>
      </c>
      <c r="BY609" s="1403"/>
      <c r="BZ609" s="1403"/>
      <c r="CA609" s="1403"/>
      <c r="CB609" s="1403"/>
      <c r="CC609" s="1403">
        <f t="shared" si="8"/>
        <v>0</v>
      </c>
      <c r="CD609" s="1403"/>
      <c r="CE609" s="1403"/>
      <c r="CF609" s="1403"/>
      <c r="CG609" s="1403"/>
      <c r="CH609" s="1403">
        <f t="shared" si="9"/>
        <v>0</v>
      </c>
      <c r="CI609" s="1403"/>
      <c r="CJ609" s="1403"/>
      <c r="CK609" s="1403"/>
      <c r="CL609" s="1403"/>
      <c r="CM609" s="1403">
        <f t="shared" si="10"/>
        <v>0</v>
      </c>
      <c r="CN609" s="1403"/>
      <c r="CO609" s="1403"/>
      <c r="CP609" s="1403"/>
      <c r="CQ609" s="1403"/>
      <c r="CR609" s="6"/>
      <c r="CS609" s="1402">
        <f>IF(AND(B730="SRO/Studio",AC730&lt;=0.3),G730,0)</f>
        <v>0</v>
      </c>
      <c r="CT609" s="1402"/>
      <c r="CU609" s="1402"/>
      <c r="CV609" s="1402"/>
      <c r="CW609" s="1402"/>
      <c r="CX609" s="1402">
        <f>IF(AND(B730="1 Bedroom",AC730&lt;=0.3),G730,0)</f>
        <v>0</v>
      </c>
      <c r="CY609" s="1402"/>
      <c r="CZ609" s="1402"/>
      <c r="DA609" s="1402"/>
      <c r="DB609" s="1402"/>
      <c r="DC609" s="1402">
        <f>IF(AND(B730="2 Bedrooms",AC730&lt;=0.3),G730,0)</f>
        <v>0</v>
      </c>
      <c r="DD609" s="1402"/>
      <c r="DE609" s="1402"/>
      <c r="DF609" s="1402"/>
      <c r="DG609" s="1402"/>
      <c r="DH609" s="1402">
        <f>IF(AND(B730="3 Bedrooms",AC730&lt;=0.3),G730,0)</f>
        <v>0</v>
      </c>
      <c r="DI609" s="1402"/>
      <c r="DJ609" s="1402"/>
      <c r="DK609" s="1402"/>
      <c r="DL609" s="1402"/>
      <c r="DM609" s="1402">
        <f>IF(AND(B730="4 Bedrooms",AC730&lt;=0.3),G730,0)</f>
        <v>0</v>
      </c>
      <c r="DN609" s="1402"/>
      <c r="DO609" s="1402"/>
      <c r="DP609" s="1402"/>
      <c r="DQ609" s="1402"/>
      <c r="DR609" s="1402">
        <f>IF(AND(B730="5 Bedrooms",AC730&lt;=0.3),G730,0)</f>
        <v>0</v>
      </c>
      <c r="DS609" s="1402"/>
      <c r="DT609" s="1402"/>
      <c r="DU609" s="1402"/>
      <c r="DV609" s="1402"/>
      <c r="DX609" s="1369" t="str">
        <f t="shared" si="17"/>
        <v/>
      </c>
      <c r="DY609" s="1370"/>
      <c r="DZ609" s="1370"/>
      <c r="EA609" s="1370"/>
      <c r="EB609" s="1371"/>
      <c r="EC609" s="1369" t="str">
        <f t="shared" si="18"/>
        <v/>
      </c>
      <c r="ED609" s="1370"/>
      <c r="EE609" s="1370"/>
      <c r="EF609" s="1370"/>
      <c r="EG609" s="1371"/>
      <c r="EH609" s="1369" t="str">
        <f t="shared" si="19"/>
        <v/>
      </c>
      <c r="EI609" s="1370"/>
      <c r="EJ609" s="1370"/>
      <c r="EK609" s="1370"/>
      <c r="EL609" s="1371"/>
      <c r="EM609" s="1369" t="str">
        <f t="shared" si="20"/>
        <v/>
      </c>
      <c r="EN609" s="1370"/>
      <c r="EO609" s="1370"/>
      <c r="EP609" s="1370"/>
      <c r="EQ609" s="1371"/>
      <c r="ER609" s="1369" t="str">
        <f t="shared" si="21"/>
        <v/>
      </c>
      <c r="ES609" s="1370"/>
      <c r="ET609" s="1370"/>
      <c r="EU609" s="1370"/>
      <c r="EV609" s="1371"/>
      <c r="EW609" s="1369" t="str">
        <f t="shared" si="22"/>
        <v/>
      </c>
      <c r="EX609" s="1370"/>
      <c r="EY609" s="1370"/>
      <c r="EZ609" s="1370"/>
      <c r="FA609" s="1371"/>
    </row>
    <row r="610" spans="1:157" ht="13.05" customHeight="1">
      <c r="B610" t="s">
        <v>85</v>
      </c>
      <c r="G610" s="1405"/>
      <c r="H610" s="1405"/>
      <c r="I610" s="1405"/>
      <c r="J610" s="1405"/>
      <c r="K610" s="1405"/>
      <c r="L610" s="1405"/>
      <c r="M610" s="1405"/>
      <c r="N610" s="1405"/>
      <c r="O610" s="1405"/>
      <c r="P610" s="1405"/>
      <c r="Q610" s="1405"/>
      <c r="R610" s="1405"/>
      <c r="U610" t="s">
        <v>85</v>
      </c>
      <c r="Z610" s="1405"/>
      <c r="AA610" s="1405"/>
      <c r="AB610" s="1405"/>
      <c r="AC610" s="1405"/>
      <c r="AD610" s="1405"/>
      <c r="AE610" s="1405"/>
      <c r="AF610" s="1405"/>
      <c r="AG610" s="1405"/>
      <c r="AH610" s="1405"/>
      <c r="AI610" s="1405"/>
      <c r="AJ610" s="1405"/>
      <c r="AK610" s="1405"/>
      <c r="AZ610" s="3"/>
      <c r="BA610" s="3"/>
      <c r="BB610" s="3"/>
      <c r="BC610" s="3"/>
      <c r="BD610" s="3"/>
      <c r="BE610" s="1369">
        <f t="shared" si="1"/>
        <v>0</v>
      </c>
      <c r="BF610" s="1371"/>
      <c r="BG610" s="1409">
        <f t="shared" si="2"/>
        <v>0</v>
      </c>
      <c r="BH610" s="1410"/>
      <c r="BI610" s="1369">
        <f t="shared" si="3"/>
        <v>0</v>
      </c>
      <c r="BJ610" s="1371"/>
      <c r="BK610" s="1409">
        <f t="shared" si="4"/>
        <v>0</v>
      </c>
      <c r="BL610" s="1410"/>
      <c r="BM610" s="3"/>
      <c r="BN610" s="1406">
        <f t="shared" si="5"/>
        <v>0</v>
      </c>
      <c r="BO610" s="1407"/>
      <c r="BP610" s="1407"/>
      <c r="BQ610" s="1407"/>
      <c r="BR610" s="1408"/>
      <c r="BS610" s="1403">
        <f t="shared" si="6"/>
        <v>0</v>
      </c>
      <c r="BT610" s="1403"/>
      <c r="BU610" s="1403"/>
      <c r="BV610" s="1403"/>
      <c r="BW610" s="1403"/>
      <c r="BX610" s="1403">
        <f t="shared" si="7"/>
        <v>0</v>
      </c>
      <c r="BY610" s="1403"/>
      <c r="BZ610" s="1403"/>
      <c r="CA610" s="1403"/>
      <c r="CB610" s="1403"/>
      <c r="CC610" s="1403">
        <f t="shared" si="8"/>
        <v>0</v>
      </c>
      <c r="CD610" s="1403"/>
      <c r="CE610" s="1403"/>
      <c r="CF610" s="1403"/>
      <c r="CG610" s="1403"/>
      <c r="CH610" s="1403">
        <f t="shared" si="9"/>
        <v>0</v>
      </c>
      <c r="CI610" s="1403"/>
      <c r="CJ610" s="1403"/>
      <c r="CK610" s="1403"/>
      <c r="CL610" s="1403"/>
      <c r="CM610" s="1403">
        <f t="shared" si="10"/>
        <v>0</v>
      </c>
      <c r="CN610" s="1403"/>
      <c r="CO610" s="1403"/>
      <c r="CP610" s="1403"/>
      <c r="CQ610" s="1403"/>
      <c r="CR610" s="6"/>
      <c r="CS610" s="1402">
        <f t="shared" si="11"/>
        <v>0</v>
      </c>
      <c r="CT610" s="1402"/>
      <c r="CU610" s="1402"/>
      <c r="CV610" s="1402"/>
      <c r="CW610" s="1402"/>
      <c r="CX610" s="1402">
        <f t="shared" si="12"/>
        <v>0</v>
      </c>
      <c r="CY610" s="1402"/>
      <c r="CZ610" s="1402"/>
      <c r="DA610" s="1402"/>
      <c r="DB610" s="1402"/>
      <c r="DC610" s="1402">
        <f t="shared" si="13"/>
        <v>0</v>
      </c>
      <c r="DD610" s="1402"/>
      <c r="DE610" s="1402"/>
      <c r="DF610" s="1402"/>
      <c r="DG610" s="1402"/>
      <c r="DH610" s="1402">
        <f t="shared" si="14"/>
        <v>0</v>
      </c>
      <c r="DI610" s="1402"/>
      <c r="DJ610" s="1402"/>
      <c r="DK610" s="1402"/>
      <c r="DL610" s="1402"/>
      <c r="DM610" s="1402">
        <f t="shared" si="15"/>
        <v>0</v>
      </c>
      <c r="DN610" s="1402"/>
      <c r="DO610" s="1402"/>
      <c r="DP610" s="1402"/>
      <c r="DQ610" s="1402"/>
      <c r="DR610" s="1402">
        <f t="shared" si="16"/>
        <v>0</v>
      </c>
      <c r="DS610" s="1402"/>
      <c r="DT610" s="1402"/>
      <c r="DU610" s="1402"/>
      <c r="DV610" s="1402"/>
      <c r="DX610" s="1369" t="str">
        <f t="shared" si="17"/>
        <v/>
      </c>
      <c r="DY610" s="1370"/>
      <c r="DZ610" s="1370"/>
      <c r="EA610" s="1370"/>
      <c r="EB610" s="1371"/>
      <c r="EC610" s="1369" t="str">
        <f t="shared" si="18"/>
        <v/>
      </c>
      <c r="ED610" s="1370"/>
      <c r="EE610" s="1370"/>
      <c r="EF610" s="1370"/>
      <c r="EG610" s="1371"/>
      <c r="EH610" s="1369" t="str">
        <f t="shared" si="19"/>
        <v/>
      </c>
      <c r="EI610" s="1370"/>
      <c r="EJ610" s="1370"/>
      <c r="EK610" s="1370"/>
      <c r="EL610" s="1371"/>
      <c r="EM610" s="1369" t="str">
        <f t="shared" si="20"/>
        <v/>
      </c>
      <c r="EN610" s="1370"/>
      <c r="EO610" s="1370"/>
      <c r="EP610" s="1370"/>
      <c r="EQ610" s="1371"/>
      <c r="ER610" s="1369" t="str">
        <f t="shared" si="21"/>
        <v/>
      </c>
      <c r="ES610" s="1370"/>
      <c r="ET610" s="1370"/>
      <c r="EU610" s="1370"/>
      <c r="EV610" s="1371"/>
      <c r="EW610" s="1369" t="str">
        <f t="shared" si="22"/>
        <v/>
      </c>
      <c r="EX610" s="1370"/>
      <c r="EY610" s="1370"/>
      <c r="EZ610" s="1370"/>
      <c r="FA610" s="1371"/>
    </row>
    <row r="611" spans="1:157" ht="13.05" customHeight="1">
      <c r="B611" t="s">
        <v>588</v>
      </c>
      <c r="G611" s="1405"/>
      <c r="H611" s="1405"/>
      <c r="I611" s="1405"/>
      <c r="J611" s="1405"/>
      <c r="K611" s="1405"/>
      <c r="L611" s="1405"/>
      <c r="M611" s="1405"/>
      <c r="N611" s="1405"/>
      <c r="O611" s="1405"/>
      <c r="P611" s="1405"/>
      <c r="Q611" s="1405"/>
      <c r="R611" s="1405"/>
      <c r="U611" t="s">
        <v>588</v>
      </c>
      <c r="Z611" s="1374"/>
      <c r="AA611" s="1374"/>
      <c r="AB611" s="1374"/>
      <c r="AC611" s="1374"/>
      <c r="AD611" s="1374"/>
      <c r="AE611" s="1374"/>
      <c r="AF611" s="1374"/>
      <c r="AG611" s="1374"/>
      <c r="AH611" s="1374"/>
      <c r="AI611" s="1374"/>
      <c r="AJ611" s="1374"/>
      <c r="AK611" s="1374"/>
      <c r="AZ611" s="3"/>
      <c r="BA611" s="3"/>
      <c r="BB611" s="3"/>
      <c r="BC611" s="3"/>
      <c r="BD611" s="3"/>
      <c r="BE611" s="1369">
        <f t="shared" si="1"/>
        <v>0</v>
      </c>
      <c r="BF611" s="1371"/>
      <c r="BG611" s="1409">
        <f t="shared" si="2"/>
        <v>0</v>
      </c>
      <c r="BH611" s="1410"/>
      <c r="BI611" s="1369">
        <f t="shared" si="3"/>
        <v>0</v>
      </c>
      <c r="BJ611" s="1371"/>
      <c r="BK611" s="1409">
        <f t="shared" si="4"/>
        <v>0</v>
      </c>
      <c r="BL611" s="1410"/>
      <c r="BM611" s="3"/>
      <c r="BN611" s="1406">
        <f t="shared" si="5"/>
        <v>0</v>
      </c>
      <c r="BO611" s="1407"/>
      <c r="BP611" s="1407"/>
      <c r="BQ611" s="1407"/>
      <c r="BR611" s="1408"/>
      <c r="BS611" s="1403">
        <f t="shared" si="6"/>
        <v>0</v>
      </c>
      <c r="BT611" s="1403"/>
      <c r="BU611" s="1403"/>
      <c r="BV611" s="1403"/>
      <c r="BW611" s="1403"/>
      <c r="BX611" s="1403">
        <f t="shared" si="7"/>
        <v>0</v>
      </c>
      <c r="BY611" s="1403"/>
      <c r="BZ611" s="1403"/>
      <c r="CA611" s="1403"/>
      <c r="CB611" s="1403"/>
      <c r="CC611" s="1403">
        <f t="shared" si="8"/>
        <v>0</v>
      </c>
      <c r="CD611" s="1403"/>
      <c r="CE611" s="1403"/>
      <c r="CF611" s="1403"/>
      <c r="CG611" s="1403"/>
      <c r="CH611" s="1403">
        <f t="shared" si="9"/>
        <v>0</v>
      </c>
      <c r="CI611" s="1403"/>
      <c r="CJ611" s="1403"/>
      <c r="CK611" s="1403"/>
      <c r="CL611" s="1403"/>
      <c r="CM611" s="1403">
        <f t="shared" si="10"/>
        <v>0</v>
      </c>
      <c r="CN611" s="1403"/>
      <c r="CO611" s="1403"/>
      <c r="CP611" s="1403"/>
      <c r="CQ611" s="1403"/>
      <c r="CR611" s="6"/>
      <c r="CS611" s="1402">
        <f t="shared" si="11"/>
        <v>0</v>
      </c>
      <c r="CT611" s="1402"/>
      <c r="CU611" s="1402"/>
      <c r="CV611" s="1402"/>
      <c r="CW611" s="1402"/>
      <c r="CX611" s="1402">
        <f t="shared" si="12"/>
        <v>0</v>
      </c>
      <c r="CY611" s="1402"/>
      <c r="CZ611" s="1402"/>
      <c r="DA611" s="1402"/>
      <c r="DB611" s="1402"/>
      <c r="DC611" s="1402">
        <f t="shared" si="13"/>
        <v>0</v>
      </c>
      <c r="DD611" s="1402"/>
      <c r="DE611" s="1402"/>
      <c r="DF611" s="1402"/>
      <c r="DG611" s="1402"/>
      <c r="DH611" s="1402">
        <f t="shared" si="14"/>
        <v>0</v>
      </c>
      <c r="DI611" s="1402"/>
      <c r="DJ611" s="1402"/>
      <c r="DK611" s="1402"/>
      <c r="DL611" s="1402"/>
      <c r="DM611" s="1402">
        <f t="shared" si="15"/>
        <v>0</v>
      </c>
      <c r="DN611" s="1402"/>
      <c r="DO611" s="1402"/>
      <c r="DP611" s="1402"/>
      <c r="DQ611" s="1402"/>
      <c r="DR611" s="1402">
        <f t="shared" si="16"/>
        <v>0</v>
      </c>
      <c r="DS611" s="1402"/>
      <c r="DT611" s="1402"/>
      <c r="DU611" s="1402"/>
      <c r="DV611" s="1402"/>
      <c r="DX611" s="1369" t="str">
        <f t="shared" si="17"/>
        <v/>
      </c>
      <c r="DY611" s="1370"/>
      <c r="DZ611" s="1370"/>
      <c r="EA611" s="1370"/>
      <c r="EB611" s="1371"/>
      <c r="EC611" s="1369" t="str">
        <f t="shared" si="18"/>
        <v/>
      </c>
      <c r="ED611" s="1370"/>
      <c r="EE611" s="1370"/>
      <c r="EF611" s="1370"/>
      <c r="EG611" s="1371"/>
      <c r="EH611" s="1369" t="str">
        <f t="shared" si="19"/>
        <v/>
      </c>
      <c r="EI611" s="1370"/>
      <c r="EJ611" s="1370"/>
      <c r="EK611" s="1370"/>
      <c r="EL611" s="1371"/>
      <c r="EM611" s="1369" t="str">
        <f t="shared" si="20"/>
        <v/>
      </c>
      <c r="EN611" s="1370"/>
      <c r="EO611" s="1370"/>
      <c r="EP611" s="1370"/>
      <c r="EQ611" s="1371"/>
      <c r="ER611" s="1369" t="str">
        <f t="shared" si="21"/>
        <v/>
      </c>
      <c r="ES611" s="1370"/>
      <c r="ET611" s="1370"/>
      <c r="EU611" s="1370"/>
      <c r="EV611" s="1371"/>
      <c r="EW611" s="1369" t="str">
        <f t="shared" si="22"/>
        <v/>
      </c>
      <c r="EX611" s="1370"/>
      <c r="EY611" s="1370"/>
      <c r="EZ611" s="1370"/>
      <c r="FA611" s="1371"/>
    </row>
    <row r="612" spans="1:157" ht="13.05" customHeight="1">
      <c r="B612" t="s">
        <v>17</v>
      </c>
      <c r="G612" s="1405"/>
      <c r="H612" s="1405"/>
      <c r="I612" s="1405"/>
      <c r="J612" s="1405"/>
      <c r="K612" s="1405"/>
      <c r="L612" s="1405"/>
      <c r="M612" s="1405"/>
      <c r="N612" s="1405"/>
      <c r="O612" s="1405"/>
      <c r="P612" s="1405"/>
      <c r="Q612" s="1405"/>
      <c r="R612" s="1405"/>
      <c r="U612" t="s">
        <v>17</v>
      </c>
      <c r="Z612" s="1374"/>
      <c r="AA612" s="1374"/>
      <c r="AB612" s="1374"/>
      <c r="AC612" s="1374"/>
      <c r="AD612" s="1374"/>
      <c r="AE612" s="1374"/>
      <c r="AF612" s="1374"/>
      <c r="AG612" s="1374"/>
      <c r="AH612" s="1374"/>
      <c r="AI612" s="1374"/>
      <c r="AJ612" s="1374"/>
      <c r="AK612" s="1374"/>
      <c r="AZ612" s="3"/>
      <c r="BA612" s="3"/>
      <c r="BB612" s="3"/>
      <c r="BC612" s="3"/>
      <c r="BD612" s="3"/>
      <c r="BE612" s="1369">
        <f t="shared" si="1"/>
        <v>0</v>
      </c>
      <c r="BF612" s="1371"/>
      <c r="BG612" s="1409">
        <f t="shared" si="2"/>
        <v>0</v>
      </c>
      <c r="BH612" s="1410"/>
      <c r="BI612" s="1369">
        <f t="shared" si="3"/>
        <v>0</v>
      </c>
      <c r="BJ612" s="1371"/>
      <c r="BK612" s="1409">
        <f t="shared" si="4"/>
        <v>0</v>
      </c>
      <c r="BL612" s="1410"/>
      <c r="BM612" s="3"/>
      <c r="BN612" s="1406">
        <f t="shared" si="5"/>
        <v>0</v>
      </c>
      <c r="BO612" s="1407"/>
      <c r="BP612" s="1407"/>
      <c r="BQ612" s="1407"/>
      <c r="BR612" s="1408"/>
      <c r="BS612" s="1403">
        <f t="shared" si="6"/>
        <v>0</v>
      </c>
      <c r="BT612" s="1403"/>
      <c r="BU612" s="1403"/>
      <c r="BV612" s="1403"/>
      <c r="BW612" s="1403"/>
      <c r="BX612" s="1403">
        <f t="shared" si="7"/>
        <v>0</v>
      </c>
      <c r="BY612" s="1403"/>
      <c r="BZ612" s="1403"/>
      <c r="CA612" s="1403"/>
      <c r="CB612" s="1403"/>
      <c r="CC612" s="1403">
        <f t="shared" si="8"/>
        <v>0</v>
      </c>
      <c r="CD612" s="1403"/>
      <c r="CE612" s="1403"/>
      <c r="CF612" s="1403"/>
      <c r="CG612" s="1403"/>
      <c r="CH612" s="1403">
        <f t="shared" si="9"/>
        <v>0</v>
      </c>
      <c r="CI612" s="1403"/>
      <c r="CJ612" s="1403"/>
      <c r="CK612" s="1403"/>
      <c r="CL612" s="1403"/>
      <c r="CM612" s="1403">
        <f t="shared" si="10"/>
        <v>0</v>
      </c>
      <c r="CN612" s="1403"/>
      <c r="CO612" s="1403"/>
      <c r="CP612" s="1403"/>
      <c r="CQ612" s="1403"/>
      <c r="CR612" s="6"/>
      <c r="CS612" s="1402">
        <f t="shared" si="11"/>
        <v>0</v>
      </c>
      <c r="CT612" s="1402"/>
      <c r="CU612" s="1402"/>
      <c r="CV612" s="1402"/>
      <c r="CW612" s="1402"/>
      <c r="CX612" s="1402">
        <f t="shared" si="12"/>
        <v>0</v>
      </c>
      <c r="CY612" s="1402"/>
      <c r="CZ612" s="1402"/>
      <c r="DA612" s="1402"/>
      <c r="DB612" s="1402"/>
      <c r="DC612" s="1402">
        <f t="shared" si="13"/>
        <v>0</v>
      </c>
      <c r="DD612" s="1402"/>
      <c r="DE612" s="1402"/>
      <c r="DF612" s="1402"/>
      <c r="DG612" s="1402"/>
      <c r="DH612" s="1402">
        <f t="shared" si="14"/>
        <v>0</v>
      </c>
      <c r="DI612" s="1402"/>
      <c r="DJ612" s="1402"/>
      <c r="DK612" s="1402"/>
      <c r="DL612" s="1402"/>
      <c r="DM612" s="1402">
        <f t="shared" si="15"/>
        <v>0</v>
      </c>
      <c r="DN612" s="1402"/>
      <c r="DO612" s="1402"/>
      <c r="DP612" s="1402"/>
      <c r="DQ612" s="1402"/>
      <c r="DR612" s="1402">
        <f t="shared" si="16"/>
        <v>0</v>
      </c>
      <c r="DS612" s="1402"/>
      <c r="DT612" s="1402"/>
      <c r="DU612" s="1402"/>
      <c r="DV612" s="1402"/>
      <c r="DX612" s="1369" t="str">
        <f t="shared" si="17"/>
        <v/>
      </c>
      <c r="DY612" s="1370"/>
      <c r="DZ612" s="1370"/>
      <c r="EA612" s="1370"/>
      <c r="EB612" s="1371"/>
      <c r="EC612" s="1369" t="str">
        <f t="shared" si="18"/>
        <v/>
      </c>
      <c r="ED612" s="1370"/>
      <c r="EE612" s="1370"/>
      <c r="EF612" s="1370"/>
      <c r="EG612" s="1371"/>
      <c r="EH612" s="1369" t="str">
        <f t="shared" si="19"/>
        <v/>
      </c>
      <c r="EI612" s="1370"/>
      <c r="EJ612" s="1370"/>
      <c r="EK612" s="1370"/>
      <c r="EL612" s="1371"/>
      <c r="EM612" s="1369" t="str">
        <f t="shared" si="20"/>
        <v/>
      </c>
      <c r="EN612" s="1370"/>
      <c r="EO612" s="1370"/>
      <c r="EP612" s="1370"/>
      <c r="EQ612" s="1371"/>
      <c r="ER612" s="1369" t="str">
        <f t="shared" si="21"/>
        <v/>
      </c>
      <c r="ES612" s="1370"/>
      <c r="ET612" s="1370"/>
      <c r="EU612" s="1370"/>
      <c r="EV612" s="1371"/>
      <c r="EW612" s="1369" t="str">
        <f t="shared" si="22"/>
        <v/>
      </c>
      <c r="EX612" s="1370"/>
      <c r="EY612" s="1370"/>
      <c r="EZ612" s="1370"/>
      <c r="FA612" s="1371"/>
    </row>
    <row r="613" spans="1:157" ht="13.05" customHeight="1">
      <c r="B613" t="s">
        <v>317</v>
      </c>
      <c r="G613" s="1393"/>
      <c r="H613" s="1393"/>
      <c r="I613" s="1393"/>
      <c r="J613" s="1393"/>
      <c r="K613" s="1393"/>
      <c r="L613" s="1393"/>
      <c r="O613" s="33" t="s">
        <v>207</v>
      </c>
      <c r="P613" s="1372"/>
      <c r="Q613" s="1372"/>
      <c r="R613" s="1372"/>
      <c r="U613" t="s">
        <v>317</v>
      </c>
      <c r="Z613" s="1393"/>
      <c r="AA613" s="1393"/>
      <c r="AB613" s="1393"/>
      <c r="AC613" s="1393"/>
      <c r="AD613" s="1393"/>
      <c r="AE613" s="1393"/>
      <c r="AH613" s="33" t="s">
        <v>207</v>
      </c>
      <c r="AI613" s="1372"/>
      <c r="AJ613" s="1372"/>
      <c r="AK613" s="1372"/>
      <c r="AZ613" s="3"/>
      <c r="BA613" s="3"/>
      <c r="BB613" s="3"/>
      <c r="BC613" s="3"/>
      <c r="BD613" s="3"/>
      <c r="BE613" s="1369">
        <f t="shared" si="1"/>
        <v>0</v>
      </c>
      <c r="BF613" s="1371"/>
      <c r="BG613" s="1409">
        <f t="shared" si="2"/>
        <v>0</v>
      </c>
      <c r="BH613" s="1410"/>
      <c r="BI613" s="1369">
        <f t="shared" si="3"/>
        <v>0</v>
      </c>
      <c r="BJ613" s="1371"/>
      <c r="BK613" s="1409">
        <f t="shared" si="4"/>
        <v>0</v>
      </c>
      <c r="BL613" s="1410"/>
      <c r="BM613" s="3"/>
      <c r="BN613" s="1406">
        <f t="shared" si="5"/>
        <v>0</v>
      </c>
      <c r="BO613" s="1407"/>
      <c r="BP613" s="1407"/>
      <c r="BQ613" s="1407"/>
      <c r="BR613" s="1408"/>
      <c r="BS613" s="1403">
        <f t="shared" si="6"/>
        <v>0</v>
      </c>
      <c r="BT613" s="1403"/>
      <c r="BU613" s="1403"/>
      <c r="BV613" s="1403"/>
      <c r="BW613" s="1403"/>
      <c r="BX613" s="1403">
        <f t="shared" si="7"/>
        <v>0</v>
      </c>
      <c r="BY613" s="1403"/>
      <c r="BZ613" s="1403"/>
      <c r="CA613" s="1403"/>
      <c r="CB613" s="1403"/>
      <c r="CC613" s="1403">
        <f t="shared" si="8"/>
        <v>0</v>
      </c>
      <c r="CD613" s="1403"/>
      <c r="CE613" s="1403"/>
      <c r="CF613" s="1403"/>
      <c r="CG613" s="1403"/>
      <c r="CH613" s="1403">
        <f t="shared" si="9"/>
        <v>0</v>
      </c>
      <c r="CI613" s="1403"/>
      <c r="CJ613" s="1403"/>
      <c r="CK613" s="1403"/>
      <c r="CL613" s="1403"/>
      <c r="CM613" s="1403">
        <f t="shared" si="10"/>
        <v>0</v>
      </c>
      <c r="CN613" s="1403"/>
      <c r="CO613" s="1403"/>
      <c r="CP613" s="1403"/>
      <c r="CQ613" s="1403"/>
      <c r="CR613" s="6"/>
      <c r="CS613" s="1402">
        <f t="shared" si="11"/>
        <v>0</v>
      </c>
      <c r="CT613" s="1402"/>
      <c r="CU613" s="1402"/>
      <c r="CV613" s="1402"/>
      <c r="CW613" s="1402"/>
      <c r="CX613" s="1402">
        <f t="shared" si="12"/>
        <v>0</v>
      </c>
      <c r="CY613" s="1402"/>
      <c r="CZ613" s="1402"/>
      <c r="DA613" s="1402"/>
      <c r="DB613" s="1402"/>
      <c r="DC613" s="1402">
        <f t="shared" si="13"/>
        <v>0</v>
      </c>
      <c r="DD613" s="1402"/>
      <c r="DE613" s="1402"/>
      <c r="DF613" s="1402"/>
      <c r="DG613" s="1402"/>
      <c r="DH613" s="1402">
        <f t="shared" si="14"/>
        <v>0</v>
      </c>
      <c r="DI613" s="1402"/>
      <c r="DJ613" s="1402"/>
      <c r="DK613" s="1402"/>
      <c r="DL613" s="1402"/>
      <c r="DM613" s="1402">
        <f t="shared" si="15"/>
        <v>0</v>
      </c>
      <c r="DN613" s="1402"/>
      <c r="DO613" s="1402"/>
      <c r="DP613" s="1402"/>
      <c r="DQ613" s="1402"/>
      <c r="DR613" s="1402">
        <f t="shared" si="16"/>
        <v>0</v>
      </c>
      <c r="DS613" s="1402"/>
      <c r="DT613" s="1402"/>
      <c r="DU613" s="1402"/>
      <c r="DV613" s="1402"/>
      <c r="DX613" s="1369" t="str">
        <f t="shared" si="17"/>
        <v/>
      </c>
      <c r="DY613" s="1370"/>
      <c r="DZ613" s="1370"/>
      <c r="EA613" s="1370"/>
      <c r="EB613" s="1371"/>
      <c r="EC613" s="1369" t="str">
        <f t="shared" si="18"/>
        <v/>
      </c>
      <c r="ED613" s="1370"/>
      <c r="EE613" s="1370"/>
      <c r="EF613" s="1370"/>
      <c r="EG613" s="1371"/>
      <c r="EH613" s="1369" t="str">
        <f t="shared" si="19"/>
        <v/>
      </c>
      <c r="EI613" s="1370"/>
      <c r="EJ613" s="1370"/>
      <c r="EK613" s="1370"/>
      <c r="EL613" s="1371"/>
      <c r="EM613" s="1369" t="str">
        <f t="shared" si="20"/>
        <v/>
      </c>
      <c r="EN613" s="1370"/>
      <c r="EO613" s="1370"/>
      <c r="EP613" s="1370"/>
      <c r="EQ613" s="1371"/>
      <c r="ER613" s="1369" t="str">
        <f t="shared" si="21"/>
        <v/>
      </c>
      <c r="ES613" s="1370"/>
      <c r="ET613" s="1370"/>
      <c r="EU613" s="1370"/>
      <c r="EV613" s="1371"/>
      <c r="EW613" s="1369" t="str">
        <f t="shared" si="22"/>
        <v/>
      </c>
      <c r="EX613" s="1370"/>
      <c r="EY613" s="1370"/>
      <c r="EZ613" s="1370"/>
      <c r="FA613" s="1371"/>
    </row>
    <row r="614" spans="1:157" ht="13.05" customHeight="1">
      <c r="B614" t="s">
        <v>18</v>
      </c>
      <c r="H614" s="1405"/>
      <c r="I614" s="1405"/>
      <c r="J614" s="1405"/>
      <c r="K614" s="1405"/>
      <c r="L614" s="1405"/>
      <c r="M614" s="1405"/>
      <c r="N614" s="1405"/>
      <c r="O614" s="1405"/>
      <c r="P614" s="1405"/>
      <c r="Q614" s="1405"/>
      <c r="R614" s="1405"/>
      <c r="U614" t="s">
        <v>18</v>
      </c>
      <c r="AA614" s="1405"/>
      <c r="AB614" s="1405"/>
      <c r="AC614" s="1405"/>
      <c r="AD614" s="1405"/>
      <c r="AE614" s="1405"/>
      <c r="AF614" s="1405"/>
      <c r="AG614" s="1405"/>
      <c r="AH614" s="1405"/>
      <c r="AI614" s="1405"/>
      <c r="AJ614" s="1405"/>
      <c r="AK614" s="1405"/>
      <c r="AU614" s="934"/>
      <c r="AV614" s="934"/>
      <c r="AW614" s="934"/>
      <c r="AX614" s="934"/>
      <c r="AY614" s="934"/>
      <c r="AZ614" s="3"/>
      <c r="BA614" s="3"/>
      <c r="BB614" s="3"/>
      <c r="BC614" s="3"/>
      <c r="BD614" s="3"/>
      <c r="BE614" s="1369">
        <f t="shared" si="1"/>
        <v>0</v>
      </c>
      <c r="BF614" s="1371"/>
      <c r="BG614" s="1409">
        <f t="shared" si="2"/>
        <v>0</v>
      </c>
      <c r="BH614" s="1410"/>
      <c r="BI614" s="1369">
        <f t="shared" si="3"/>
        <v>0</v>
      </c>
      <c r="BJ614" s="1371"/>
      <c r="BK614" s="1409">
        <f t="shared" si="4"/>
        <v>0</v>
      </c>
      <c r="BL614" s="1410"/>
      <c r="BM614" s="3"/>
      <c r="BN614" s="1406">
        <f t="shared" si="5"/>
        <v>0</v>
      </c>
      <c r="BO614" s="1407"/>
      <c r="BP614" s="1407"/>
      <c r="BQ614" s="1407"/>
      <c r="BR614" s="1408"/>
      <c r="BS614" s="1403">
        <f t="shared" si="6"/>
        <v>0</v>
      </c>
      <c r="BT614" s="1403"/>
      <c r="BU614" s="1403"/>
      <c r="BV614" s="1403"/>
      <c r="BW614" s="1403"/>
      <c r="BX614" s="1403">
        <f t="shared" si="7"/>
        <v>0</v>
      </c>
      <c r="BY614" s="1403"/>
      <c r="BZ614" s="1403"/>
      <c r="CA614" s="1403"/>
      <c r="CB614" s="1403"/>
      <c r="CC614" s="1403">
        <f t="shared" si="8"/>
        <v>0</v>
      </c>
      <c r="CD614" s="1403"/>
      <c r="CE614" s="1403"/>
      <c r="CF614" s="1403"/>
      <c r="CG614" s="1403"/>
      <c r="CH614" s="1403">
        <f t="shared" si="9"/>
        <v>0</v>
      </c>
      <c r="CI614" s="1403"/>
      <c r="CJ614" s="1403"/>
      <c r="CK614" s="1403"/>
      <c r="CL614" s="1403"/>
      <c r="CM614" s="1403">
        <f t="shared" si="10"/>
        <v>0</v>
      </c>
      <c r="CN614" s="1403"/>
      <c r="CO614" s="1403"/>
      <c r="CP614" s="1403"/>
      <c r="CQ614" s="1403"/>
      <c r="CR614" s="6"/>
      <c r="CS614" s="1402">
        <f t="shared" si="11"/>
        <v>0</v>
      </c>
      <c r="CT614" s="1402"/>
      <c r="CU614" s="1402"/>
      <c r="CV614" s="1402"/>
      <c r="CW614" s="1402"/>
      <c r="CX614" s="1402">
        <f t="shared" si="12"/>
        <v>0</v>
      </c>
      <c r="CY614" s="1402"/>
      <c r="CZ614" s="1402"/>
      <c r="DA614" s="1402"/>
      <c r="DB614" s="1402"/>
      <c r="DC614" s="1402">
        <f t="shared" si="13"/>
        <v>0</v>
      </c>
      <c r="DD614" s="1402"/>
      <c r="DE614" s="1402"/>
      <c r="DF614" s="1402"/>
      <c r="DG614" s="1402"/>
      <c r="DH614" s="1402">
        <f t="shared" si="14"/>
        <v>0</v>
      </c>
      <c r="DI614" s="1402"/>
      <c r="DJ614" s="1402"/>
      <c r="DK614" s="1402"/>
      <c r="DL614" s="1402"/>
      <c r="DM614" s="1402">
        <f t="shared" si="15"/>
        <v>0</v>
      </c>
      <c r="DN614" s="1402"/>
      <c r="DO614" s="1402"/>
      <c r="DP614" s="1402"/>
      <c r="DQ614" s="1402"/>
      <c r="DR614" s="1402">
        <f t="shared" si="16"/>
        <v>0</v>
      </c>
      <c r="DS614" s="1402"/>
      <c r="DT614" s="1402"/>
      <c r="DU614" s="1402"/>
      <c r="DV614" s="1402"/>
      <c r="DX614" s="1369" t="str">
        <f t="shared" si="17"/>
        <v/>
      </c>
      <c r="DY614" s="1370"/>
      <c r="DZ614" s="1370"/>
      <c r="EA614" s="1370"/>
      <c r="EB614" s="1371"/>
      <c r="EC614" s="1369" t="str">
        <f t="shared" si="18"/>
        <v/>
      </c>
      <c r="ED614" s="1370"/>
      <c r="EE614" s="1370"/>
      <c r="EF614" s="1370"/>
      <c r="EG614" s="1371"/>
      <c r="EH614" s="1369" t="str">
        <f t="shared" si="19"/>
        <v/>
      </c>
      <c r="EI614" s="1370"/>
      <c r="EJ614" s="1370"/>
      <c r="EK614" s="1370"/>
      <c r="EL614" s="1371"/>
      <c r="EM614" s="1369" t="str">
        <f t="shared" si="20"/>
        <v/>
      </c>
      <c r="EN614" s="1370"/>
      <c r="EO614" s="1370"/>
      <c r="EP614" s="1370"/>
      <c r="EQ614" s="1371"/>
      <c r="ER614" s="1369" t="str">
        <f t="shared" si="21"/>
        <v/>
      </c>
      <c r="ES614" s="1370"/>
      <c r="ET614" s="1370"/>
      <c r="EU614" s="1370"/>
      <c r="EV614" s="1371"/>
      <c r="EW614" s="1369" t="str">
        <f t="shared" si="22"/>
        <v/>
      </c>
      <c r="EX614" s="1370"/>
      <c r="EY614" s="1370"/>
      <c r="EZ614" s="1370"/>
      <c r="FA614" s="1371"/>
    </row>
    <row r="615" spans="1:157" ht="13.05" customHeight="1">
      <c r="B615" t="s">
        <v>20</v>
      </c>
      <c r="N615" s="1461" t="s">
        <v>677</v>
      </c>
      <c r="O615" s="1461"/>
      <c r="U615" t="s">
        <v>20</v>
      </c>
      <c r="AG615" s="1461" t="s">
        <v>677</v>
      </c>
      <c r="AH615" s="1461"/>
      <c r="AU615" s="934"/>
      <c r="AV615" s="934"/>
      <c r="AW615" s="934"/>
      <c r="AX615" s="934"/>
      <c r="AY615" s="934"/>
      <c r="AZ615" s="3"/>
      <c r="BA615" s="3"/>
      <c r="BB615" s="3"/>
      <c r="BC615" s="3"/>
      <c r="BD615" s="3"/>
      <c r="BE615" s="1369">
        <f t="shared" si="1"/>
        <v>0</v>
      </c>
      <c r="BF615" s="1371"/>
      <c r="BG615" s="1409">
        <f t="shared" si="2"/>
        <v>0</v>
      </c>
      <c r="BH615" s="1410"/>
      <c r="BI615" s="1369">
        <f t="shared" si="3"/>
        <v>0</v>
      </c>
      <c r="BJ615" s="1371"/>
      <c r="BK615" s="1409">
        <f t="shared" si="4"/>
        <v>0</v>
      </c>
      <c r="BL615" s="1410"/>
      <c r="BM615" s="3"/>
      <c r="BN615" s="1406">
        <f t="shared" si="5"/>
        <v>0</v>
      </c>
      <c r="BO615" s="1407"/>
      <c r="BP615" s="1407"/>
      <c r="BQ615" s="1407"/>
      <c r="BR615" s="1408"/>
      <c r="BS615" s="1403">
        <f t="shared" si="6"/>
        <v>0</v>
      </c>
      <c r="BT615" s="1403"/>
      <c r="BU615" s="1403"/>
      <c r="BV615" s="1403"/>
      <c r="BW615" s="1403"/>
      <c r="BX615" s="1403">
        <f t="shared" si="7"/>
        <v>0</v>
      </c>
      <c r="BY615" s="1403"/>
      <c r="BZ615" s="1403"/>
      <c r="CA615" s="1403"/>
      <c r="CB615" s="1403"/>
      <c r="CC615" s="1403">
        <f t="shared" si="8"/>
        <v>0</v>
      </c>
      <c r="CD615" s="1403"/>
      <c r="CE615" s="1403"/>
      <c r="CF615" s="1403"/>
      <c r="CG615" s="1403"/>
      <c r="CH615" s="1403">
        <f t="shared" si="9"/>
        <v>0</v>
      </c>
      <c r="CI615" s="1403"/>
      <c r="CJ615" s="1403"/>
      <c r="CK615" s="1403"/>
      <c r="CL615" s="1403"/>
      <c r="CM615" s="1403">
        <f t="shared" si="10"/>
        <v>0</v>
      </c>
      <c r="CN615" s="1403"/>
      <c r="CO615" s="1403"/>
      <c r="CP615" s="1403"/>
      <c r="CQ615" s="1403"/>
      <c r="CR615" s="6"/>
      <c r="CS615" s="1402">
        <f t="shared" si="11"/>
        <v>0</v>
      </c>
      <c r="CT615" s="1402"/>
      <c r="CU615" s="1402"/>
      <c r="CV615" s="1402"/>
      <c r="CW615" s="1402"/>
      <c r="CX615" s="1402">
        <f t="shared" si="12"/>
        <v>0</v>
      </c>
      <c r="CY615" s="1402"/>
      <c r="CZ615" s="1402"/>
      <c r="DA615" s="1402"/>
      <c r="DB615" s="1402"/>
      <c r="DC615" s="1402">
        <f t="shared" si="13"/>
        <v>0</v>
      </c>
      <c r="DD615" s="1402"/>
      <c r="DE615" s="1402"/>
      <c r="DF615" s="1402"/>
      <c r="DG615" s="1402"/>
      <c r="DH615" s="1402">
        <f t="shared" si="14"/>
        <v>0</v>
      </c>
      <c r="DI615" s="1402"/>
      <c r="DJ615" s="1402"/>
      <c r="DK615" s="1402"/>
      <c r="DL615" s="1402"/>
      <c r="DM615" s="1402">
        <f t="shared" si="15"/>
        <v>0</v>
      </c>
      <c r="DN615" s="1402"/>
      <c r="DO615" s="1402"/>
      <c r="DP615" s="1402"/>
      <c r="DQ615" s="1402"/>
      <c r="DR615" s="1402">
        <f t="shared" si="16"/>
        <v>0</v>
      </c>
      <c r="DS615" s="1402"/>
      <c r="DT615" s="1402"/>
      <c r="DU615" s="1402"/>
      <c r="DV615" s="1402"/>
      <c r="DX615" s="1369" t="str">
        <f t="shared" si="17"/>
        <v/>
      </c>
      <c r="DY615" s="1370"/>
      <c r="DZ615" s="1370"/>
      <c r="EA615" s="1370"/>
      <c r="EB615" s="1371"/>
      <c r="EC615" s="1369" t="str">
        <f t="shared" si="18"/>
        <v/>
      </c>
      <c r="ED615" s="1370"/>
      <c r="EE615" s="1370"/>
      <c r="EF615" s="1370"/>
      <c r="EG615" s="1371"/>
      <c r="EH615" s="1369" t="str">
        <f t="shared" si="19"/>
        <v/>
      </c>
      <c r="EI615" s="1370"/>
      <c r="EJ615" s="1370"/>
      <c r="EK615" s="1370"/>
      <c r="EL615" s="1371"/>
      <c r="EM615" s="1369" t="str">
        <f t="shared" si="20"/>
        <v/>
      </c>
      <c r="EN615" s="1370"/>
      <c r="EO615" s="1370"/>
      <c r="EP615" s="1370"/>
      <c r="EQ615" s="1371"/>
      <c r="ER615" s="1369" t="str">
        <f t="shared" si="21"/>
        <v/>
      </c>
      <c r="ES615" s="1370"/>
      <c r="ET615" s="1370"/>
      <c r="EU615" s="1370"/>
      <c r="EV615" s="1371"/>
      <c r="EW615" s="1369" t="str">
        <f t="shared" si="22"/>
        <v/>
      </c>
      <c r="EX615" s="1370"/>
      <c r="EY615" s="1370"/>
      <c r="EZ615" s="1370"/>
      <c r="FA615" s="1371"/>
    </row>
    <row r="616" spans="1:157" ht="13.05" customHeight="1">
      <c r="AZ616" s="3"/>
      <c r="BA616" s="3"/>
      <c r="BB616" s="3"/>
      <c r="BC616" s="3"/>
      <c r="BD616" s="3"/>
      <c r="BE616" s="1369">
        <f t="shared" si="1"/>
        <v>0</v>
      </c>
      <c r="BF616" s="1371"/>
      <c r="BG616" s="1409">
        <f t="shared" si="2"/>
        <v>0</v>
      </c>
      <c r="BH616" s="1410"/>
      <c r="BI616" s="1369">
        <f t="shared" si="3"/>
        <v>0</v>
      </c>
      <c r="BJ616" s="1371"/>
      <c r="BK616" s="1409">
        <f t="shared" si="4"/>
        <v>0</v>
      </c>
      <c r="BL616" s="1410"/>
      <c r="BM616" s="3"/>
      <c r="BN616" s="1406">
        <f t="shared" si="5"/>
        <v>0</v>
      </c>
      <c r="BO616" s="1407"/>
      <c r="BP616" s="1407"/>
      <c r="BQ616" s="1407"/>
      <c r="BR616" s="1408"/>
      <c r="BS616" s="1403">
        <f t="shared" si="6"/>
        <v>0</v>
      </c>
      <c r="BT616" s="1403"/>
      <c r="BU616" s="1403"/>
      <c r="BV616" s="1403"/>
      <c r="BW616" s="1403"/>
      <c r="BX616" s="1403">
        <f t="shared" si="7"/>
        <v>0</v>
      </c>
      <c r="BY616" s="1403"/>
      <c r="BZ616" s="1403"/>
      <c r="CA616" s="1403"/>
      <c r="CB616" s="1403"/>
      <c r="CC616" s="1403">
        <f t="shared" si="8"/>
        <v>0</v>
      </c>
      <c r="CD616" s="1403"/>
      <c r="CE616" s="1403"/>
      <c r="CF616" s="1403"/>
      <c r="CG616" s="1403"/>
      <c r="CH616" s="1403">
        <f t="shared" si="9"/>
        <v>0</v>
      </c>
      <c r="CI616" s="1403"/>
      <c r="CJ616" s="1403"/>
      <c r="CK616" s="1403"/>
      <c r="CL616" s="1403"/>
      <c r="CM616" s="1403">
        <f t="shared" si="10"/>
        <v>0</v>
      </c>
      <c r="CN616" s="1403"/>
      <c r="CO616" s="1403"/>
      <c r="CP616" s="1403"/>
      <c r="CQ616" s="1403"/>
      <c r="CR616" s="6"/>
      <c r="CS616" s="1402">
        <f t="shared" si="11"/>
        <v>0</v>
      </c>
      <c r="CT616" s="1402"/>
      <c r="CU616" s="1402"/>
      <c r="CV616" s="1402"/>
      <c r="CW616" s="1402"/>
      <c r="CX616" s="1402">
        <f t="shared" si="12"/>
        <v>0</v>
      </c>
      <c r="CY616" s="1402"/>
      <c r="CZ616" s="1402"/>
      <c r="DA616" s="1402"/>
      <c r="DB616" s="1402"/>
      <c r="DC616" s="1402">
        <f t="shared" si="13"/>
        <v>0</v>
      </c>
      <c r="DD616" s="1402"/>
      <c r="DE616" s="1402"/>
      <c r="DF616" s="1402"/>
      <c r="DG616" s="1402"/>
      <c r="DH616" s="1402">
        <f t="shared" si="14"/>
        <v>0</v>
      </c>
      <c r="DI616" s="1402"/>
      <c r="DJ616" s="1402"/>
      <c r="DK616" s="1402"/>
      <c r="DL616" s="1402"/>
      <c r="DM616" s="1402">
        <f t="shared" si="15"/>
        <v>0</v>
      </c>
      <c r="DN616" s="1402"/>
      <c r="DO616" s="1402"/>
      <c r="DP616" s="1402"/>
      <c r="DQ616" s="1402"/>
      <c r="DR616" s="1402">
        <f t="shared" si="16"/>
        <v>0</v>
      </c>
      <c r="DS616" s="1402"/>
      <c r="DT616" s="1402"/>
      <c r="DU616" s="1402"/>
      <c r="DV616" s="1402"/>
      <c r="DX616" s="1369" t="str">
        <f t="shared" si="17"/>
        <v/>
      </c>
      <c r="DY616" s="1370"/>
      <c r="DZ616" s="1370"/>
      <c r="EA616" s="1370"/>
      <c r="EB616" s="1371"/>
      <c r="EC616" s="1369" t="str">
        <f t="shared" si="18"/>
        <v/>
      </c>
      <c r="ED616" s="1370"/>
      <c r="EE616" s="1370"/>
      <c r="EF616" s="1370"/>
      <c r="EG616" s="1371"/>
      <c r="EH616" s="1369" t="str">
        <f t="shared" si="19"/>
        <v/>
      </c>
      <c r="EI616" s="1370"/>
      <c r="EJ616" s="1370"/>
      <c r="EK616" s="1370"/>
      <c r="EL616" s="1371"/>
      <c r="EM616" s="1369" t="str">
        <f t="shared" si="20"/>
        <v/>
      </c>
      <c r="EN616" s="1370"/>
      <c r="EO616" s="1370"/>
      <c r="EP616" s="1370"/>
      <c r="EQ616" s="1371"/>
      <c r="ER616" s="1369" t="str">
        <f t="shared" si="21"/>
        <v/>
      </c>
      <c r="ES616" s="1370"/>
      <c r="ET616" s="1370"/>
      <c r="EU616" s="1370"/>
      <c r="EV616" s="1371"/>
      <c r="EW616" s="1369" t="str">
        <f t="shared" si="22"/>
        <v/>
      </c>
      <c r="EX616" s="1370"/>
      <c r="EY616" s="1370"/>
      <c r="EZ616" s="1370"/>
      <c r="FA616" s="1371"/>
    </row>
    <row r="617" spans="1:157" ht="13.05" customHeight="1">
      <c r="A617" s="1279" t="s">
        <v>552</v>
      </c>
      <c r="B617" s="1279"/>
      <c r="C617" s="1279"/>
      <c r="D617" s="1279"/>
      <c r="E617" s="1279"/>
      <c r="F617" s="1279"/>
      <c r="G617" s="1279"/>
      <c r="H617" s="1279"/>
      <c r="I617" s="1279"/>
      <c r="J617" s="1279"/>
      <c r="K617" s="1279"/>
      <c r="L617" s="1279"/>
      <c r="M617" s="1279"/>
      <c r="N617" s="1279"/>
      <c r="O617" s="1279"/>
      <c r="P617" s="1279"/>
      <c r="Q617" s="1279"/>
      <c r="R617" s="1279"/>
      <c r="S617" s="1279"/>
      <c r="T617" s="1279"/>
      <c r="U617" s="1279"/>
      <c r="V617" s="1279"/>
      <c r="W617" s="1279"/>
      <c r="X617" s="1279"/>
      <c r="Y617" s="1279"/>
      <c r="Z617" s="1279"/>
      <c r="AA617" s="1279"/>
      <c r="AB617" s="1279"/>
      <c r="AC617" s="1279"/>
      <c r="AD617" s="1279"/>
      <c r="AE617" s="1279"/>
      <c r="AF617" s="1279"/>
      <c r="AG617" s="1279"/>
      <c r="AH617" s="1279"/>
      <c r="AI617" s="1279"/>
      <c r="AJ617" s="1279"/>
      <c r="AK617" s="1279"/>
      <c r="AL617" s="1279"/>
      <c r="AM617" s="1279"/>
      <c r="AN617" s="1279"/>
      <c r="AO617" s="1279"/>
      <c r="AP617" s="1279"/>
      <c r="AQ617" s="1279"/>
      <c r="AR617" s="1279"/>
      <c r="AS617" s="1279"/>
      <c r="AT617" s="1279"/>
      <c r="AZ617" s="3"/>
      <c r="BA617" s="3"/>
      <c r="BB617" s="3"/>
      <c r="BC617" s="3"/>
      <c r="BD617" s="3"/>
      <c r="BE617" s="1369">
        <f t="shared" si="1"/>
        <v>0</v>
      </c>
      <c r="BF617" s="1371"/>
      <c r="BG617" s="1409">
        <f t="shared" si="2"/>
        <v>0</v>
      </c>
      <c r="BH617" s="1410"/>
      <c r="BI617" s="1369">
        <f t="shared" si="3"/>
        <v>0</v>
      </c>
      <c r="BJ617" s="1371"/>
      <c r="BK617" s="1409">
        <f t="shared" si="4"/>
        <v>0</v>
      </c>
      <c r="BL617" s="1410"/>
      <c r="BM617" s="3"/>
      <c r="BN617" s="1406">
        <f t="shared" si="5"/>
        <v>0</v>
      </c>
      <c r="BO617" s="1407"/>
      <c r="BP617" s="1407"/>
      <c r="BQ617" s="1407"/>
      <c r="BR617" s="1408"/>
      <c r="BS617" s="1403">
        <f t="shared" si="6"/>
        <v>0</v>
      </c>
      <c r="BT617" s="1403"/>
      <c r="BU617" s="1403"/>
      <c r="BV617" s="1403"/>
      <c r="BW617" s="1403"/>
      <c r="BX617" s="1403">
        <f t="shared" si="7"/>
        <v>0</v>
      </c>
      <c r="BY617" s="1403"/>
      <c r="BZ617" s="1403"/>
      <c r="CA617" s="1403"/>
      <c r="CB617" s="1403"/>
      <c r="CC617" s="1403">
        <f t="shared" si="8"/>
        <v>0</v>
      </c>
      <c r="CD617" s="1403"/>
      <c r="CE617" s="1403"/>
      <c r="CF617" s="1403"/>
      <c r="CG617" s="1403"/>
      <c r="CH617" s="1403">
        <f t="shared" si="9"/>
        <v>0</v>
      </c>
      <c r="CI617" s="1403"/>
      <c r="CJ617" s="1403"/>
      <c r="CK617" s="1403"/>
      <c r="CL617" s="1403"/>
      <c r="CM617" s="1403">
        <f t="shared" si="10"/>
        <v>0</v>
      </c>
      <c r="CN617" s="1403"/>
      <c r="CO617" s="1403"/>
      <c r="CP617" s="1403"/>
      <c r="CQ617" s="1403"/>
      <c r="CR617" s="6"/>
      <c r="CS617" s="1402">
        <f t="shared" si="11"/>
        <v>0</v>
      </c>
      <c r="CT617" s="1402"/>
      <c r="CU617" s="1402"/>
      <c r="CV617" s="1402"/>
      <c r="CW617" s="1402"/>
      <c r="CX617" s="1402">
        <f t="shared" si="12"/>
        <v>0</v>
      </c>
      <c r="CY617" s="1402"/>
      <c r="CZ617" s="1402"/>
      <c r="DA617" s="1402"/>
      <c r="DB617" s="1402"/>
      <c r="DC617" s="1402">
        <f t="shared" si="13"/>
        <v>0</v>
      </c>
      <c r="DD617" s="1402"/>
      <c r="DE617" s="1402"/>
      <c r="DF617" s="1402"/>
      <c r="DG617" s="1402"/>
      <c r="DH617" s="1402">
        <f t="shared" si="14"/>
        <v>0</v>
      </c>
      <c r="DI617" s="1402"/>
      <c r="DJ617" s="1402"/>
      <c r="DK617" s="1402"/>
      <c r="DL617" s="1402"/>
      <c r="DM617" s="1402">
        <f t="shared" si="15"/>
        <v>0</v>
      </c>
      <c r="DN617" s="1402"/>
      <c r="DO617" s="1402"/>
      <c r="DP617" s="1402"/>
      <c r="DQ617" s="1402"/>
      <c r="DR617" s="1402">
        <f t="shared" si="16"/>
        <v>0</v>
      </c>
      <c r="DS617" s="1402"/>
      <c r="DT617" s="1402"/>
      <c r="DU617" s="1402"/>
      <c r="DV617" s="1402"/>
      <c r="DX617" s="1369" t="str">
        <f t="shared" si="17"/>
        <v/>
      </c>
      <c r="DY617" s="1370"/>
      <c r="DZ617" s="1370"/>
      <c r="EA617" s="1370"/>
      <c r="EB617" s="1371"/>
      <c r="EC617" s="1369" t="str">
        <f t="shared" si="18"/>
        <v/>
      </c>
      <c r="ED617" s="1370"/>
      <c r="EE617" s="1370"/>
      <c r="EF617" s="1370"/>
      <c r="EG617" s="1371"/>
      <c r="EH617" s="1369" t="str">
        <f t="shared" si="19"/>
        <v/>
      </c>
      <c r="EI617" s="1370"/>
      <c r="EJ617" s="1370"/>
      <c r="EK617" s="1370"/>
      <c r="EL617" s="1371"/>
      <c r="EM617" s="1369" t="str">
        <f t="shared" si="20"/>
        <v/>
      </c>
      <c r="EN617" s="1370"/>
      <c r="EO617" s="1370"/>
      <c r="EP617" s="1370"/>
      <c r="EQ617" s="1371"/>
      <c r="ER617" s="1369" t="str">
        <f t="shared" si="21"/>
        <v/>
      </c>
      <c r="ES617" s="1370"/>
      <c r="ET617" s="1370"/>
      <c r="EU617" s="1370"/>
      <c r="EV617" s="1371"/>
      <c r="EW617" s="1369" t="str">
        <f t="shared" si="22"/>
        <v/>
      </c>
      <c r="EX617" s="1370"/>
      <c r="EY617" s="1370"/>
      <c r="EZ617" s="1370"/>
      <c r="FA617" s="1371"/>
    </row>
    <row r="618" spans="1:157" ht="13.05" customHeight="1">
      <c r="A618" s="1279"/>
      <c r="B618" s="1279"/>
      <c r="C618" s="1279"/>
      <c r="D618" s="1279"/>
      <c r="E618" s="1279"/>
      <c r="F618" s="1279"/>
      <c r="G618" s="1279"/>
      <c r="H618" s="1279"/>
      <c r="I618" s="1279"/>
      <c r="J618" s="1279"/>
      <c r="K618" s="1279"/>
      <c r="L618" s="1279"/>
      <c r="M618" s="1279"/>
      <c r="N618" s="1279"/>
      <c r="O618" s="1279"/>
      <c r="P618" s="1279"/>
      <c r="Q618" s="1279"/>
      <c r="R618" s="1279"/>
      <c r="S618" s="1279"/>
      <c r="T618" s="1279"/>
      <c r="U618" s="1279"/>
      <c r="V618" s="1279"/>
      <c r="W618" s="1279"/>
      <c r="X618" s="1279"/>
      <c r="Y618" s="1279"/>
      <c r="Z618" s="1279"/>
      <c r="AA618" s="1279"/>
      <c r="AB618" s="1279"/>
      <c r="AC618" s="1279"/>
      <c r="AD618" s="1279"/>
      <c r="AE618" s="1279"/>
      <c r="AF618" s="1279"/>
      <c r="AG618" s="1279"/>
      <c r="AH618" s="1279"/>
      <c r="AI618" s="1279"/>
      <c r="AJ618" s="1279"/>
      <c r="AK618" s="1279"/>
      <c r="AL618" s="1279"/>
      <c r="AM618" s="1279"/>
      <c r="AN618" s="1279"/>
      <c r="AO618" s="1279"/>
      <c r="AP618" s="1279"/>
      <c r="AQ618" s="1279"/>
      <c r="AR618" s="1279"/>
      <c r="AS618" s="1279"/>
      <c r="AT618" s="1279"/>
      <c r="AZ618" s="3"/>
      <c r="BA618" s="3"/>
      <c r="BB618" s="3"/>
      <c r="BC618" s="3"/>
      <c r="BD618" s="3"/>
      <c r="BE618" s="1369">
        <f t="shared" si="1"/>
        <v>0</v>
      </c>
      <c r="BF618" s="1371"/>
      <c r="BG618" s="1409">
        <f t="shared" si="2"/>
        <v>0</v>
      </c>
      <c r="BH618" s="1410"/>
      <c r="BI618" s="1369">
        <f t="shared" si="3"/>
        <v>0</v>
      </c>
      <c r="BJ618" s="1371"/>
      <c r="BK618" s="1409">
        <f t="shared" si="4"/>
        <v>0</v>
      </c>
      <c r="BL618" s="1410"/>
      <c r="BM618" s="3"/>
      <c r="BN618" s="1406">
        <f t="shared" si="5"/>
        <v>0</v>
      </c>
      <c r="BO618" s="1407"/>
      <c r="BP618" s="1407"/>
      <c r="BQ618" s="1407"/>
      <c r="BR618" s="1408"/>
      <c r="BS618" s="1403">
        <f t="shared" si="6"/>
        <v>0</v>
      </c>
      <c r="BT618" s="1403"/>
      <c r="BU618" s="1403"/>
      <c r="BV618" s="1403"/>
      <c r="BW618" s="1403"/>
      <c r="BX618" s="1403">
        <f t="shared" si="7"/>
        <v>0</v>
      </c>
      <c r="BY618" s="1403"/>
      <c r="BZ618" s="1403"/>
      <c r="CA618" s="1403"/>
      <c r="CB618" s="1403"/>
      <c r="CC618" s="1403">
        <f t="shared" si="8"/>
        <v>0</v>
      </c>
      <c r="CD618" s="1403"/>
      <c r="CE618" s="1403"/>
      <c r="CF618" s="1403"/>
      <c r="CG618" s="1403"/>
      <c r="CH618" s="1403">
        <f t="shared" si="9"/>
        <v>0</v>
      </c>
      <c r="CI618" s="1403"/>
      <c r="CJ618" s="1403"/>
      <c r="CK618" s="1403"/>
      <c r="CL618" s="1403"/>
      <c r="CM618" s="1403">
        <f t="shared" si="10"/>
        <v>0</v>
      </c>
      <c r="CN618" s="1403"/>
      <c r="CO618" s="1403"/>
      <c r="CP618" s="1403"/>
      <c r="CQ618" s="1403"/>
      <c r="CR618" s="6"/>
      <c r="CS618" s="1402">
        <f t="shared" si="11"/>
        <v>0</v>
      </c>
      <c r="CT618" s="1402"/>
      <c r="CU618" s="1402"/>
      <c r="CV618" s="1402"/>
      <c r="CW618" s="1402"/>
      <c r="CX618" s="1402">
        <f t="shared" si="12"/>
        <v>0</v>
      </c>
      <c r="CY618" s="1402"/>
      <c r="CZ618" s="1402"/>
      <c r="DA618" s="1402"/>
      <c r="DB618" s="1402"/>
      <c r="DC618" s="1402">
        <f t="shared" si="13"/>
        <v>0</v>
      </c>
      <c r="DD618" s="1402"/>
      <c r="DE618" s="1402"/>
      <c r="DF618" s="1402"/>
      <c r="DG618" s="1402"/>
      <c r="DH618" s="1402">
        <f t="shared" si="14"/>
        <v>0</v>
      </c>
      <c r="DI618" s="1402"/>
      <c r="DJ618" s="1402"/>
      <c r="DK618" s="1402"/>
      <c r="DL618" s="1402"/>
      <c r="DM618" s="1402">
        <f t="shared" si="15"/>
        <v>0</v>
      </c>
      <c r="DN618" s="1402"/>
      <c r="DO618" s="1402"/>
      <c r="DP618" s="1402"/>
      <c r="DQ618" s="1402"/>
      <c r="DR618" s="1402">
        <f t="shared" si="16"/>
        <v>0</v>
      </c>
      <c r="DS618" s="1402"/>
      <c r="DT618" s="1402"/>
      <c r="DU618" s="1402"/>
      <c r="DV618" s="1402"/>
      <c r="DX618" s="1369" t="str">
        <f t="shared" si="17"/>
        <v/>
      </c>
      <c r="DY618" s="1370"/>
      <c r="DZ618" s="1370"/>
      <c r="EA618" s="1370"/>
      <c r="EB618" s="1371"/>
      <c r="EC618" s="1369" t="str">
        <f t="shared" si="18"/>
        <v/>
      </c>
      <c r="ED618" s="1370"/>
      <c r="EE618" s="1370"/>
      <c r="EF618" s="1370"/>
      <c r="EG618" s="1371"/>
      <c r="EH618" s="1369" t="str">
        <f t="shared" si="19"/>
        <v/>
      </c>
      <c r="EI618" s="1370"/>
      <c r="EJ618" s="1370"/>
      <c r="EK618" s="1370"/>
      <c r="EL618" s="1371"/>
      <c r="EM618" s="1369" t="str">
        <f t="shared" si="20"/>
        <v/>
      </c>
      <c r="EN618" s="1370"/>
      <c r="EO618" s="1370"/>
      <c r="EP618" s="1370"/>
      <c r="EQ618" s="1371"/>
      <c r="ER618" s="1369" t="str">
        <f t="shared" si="21"/>
        <v/>
      </c>
      <c r="ES618" s="1370"/>
      <c r="ET618" s="1370"/>
      <c r="EU618" s="1370"/>
      <c r="EV618" s="1371"/>
      <c r="EW618" s="1369" t="str">
        <f t="shared" si="22"/>
        <v/>
      </c>
      <c r="EX618" s="1370"/>
      <c r="EY618" s="1370"/>
      <c r="EZ618" s="1370"/>
      <c r="FA618" s="1371"/>
    </row>
    <row r="619" spans="1:157" ht="13.05" customHeight="1">
      <c r="AZ619" s="3"/>
      <c r="BA619" s="3"/>
      <c r="BB619" s="3"/>
      <c r="BC619" s="3"/>
      <c r="BD619" s="3"/>
      <c r="BE619" s="1369">
        <f t="shared" si="1"/>
        <v>0</v>
      </c>
      <c r="BF619" s="1371"/>
      <c r="BG619" s="1409">
        <f t="shared" si="2"/>
        <v>0</v>
      </c>
      <c r="BH619" s="1410"/>
      <c r="BI619" s="1369">
        <f t="shared" si="3"/>
        <v>0</v>
      </c>
      <c r="BJ619" s="1371"/>
      <c r="BK619" s="1409">
        <f t="shared" si="4"/>
        <v>0</v>
      </c>
      <c r="BL619" s="1410"/>
      <c r="BM619" s="3"/>
      <c r="BN619" s="1406">
        <f t="shared" si="5"/>
        <v>0</v>
      </c>
      <c r="BO619" s="1407"/>
      <c r="BP619" s="1407"/>
      <c r="BQ619" s="1407"/>
      <c r="BR619" s="1408"/>
      <c r="BS619" s="1403">
        <f t="shared" si="6"/>
        <v>0</v>
      </c>
      <c r="BT619" s="1403"/>
      <c r="BU619" s="1403"/>
      <c r="BV619" s="1403"/>
      <c r="BW619" s="1403"/>
      <c r="BX619" s="1403">
        <f t="shared" si="7"/>
        <v>0</v>
      </c>
      <c r="BY619" s="1403"/>
      <c r="BZ619" s="1403"/>
      <c r="CA619" s="1403"/>
      <c r="CB619" s="1403"/>
      <c r="CC619" s="1403">
        <f t="shared" si="8"/>
        <v>0</v>
      </c>
      <c r="CD619" s="1403"/>
      <c r="CE619" s="1403"/>
      <c r="CF619" s="1403"/>
      <c r="CG619" s="1403"/>
      <c r="CH619" s="1403">
        <f t="shared" si="9"/>
        <v>0</v>
      </c>
      <c r="CI619" s="1403"/>
      <c r="CJ619" s="1403"/>
      <c r="CK619" s="1403"/>
      <c r="CL619" s="1403"/>
      <c r="CM619" s="1403">
        <f t="shared" si="10"/>
        <v>0</v>
      </c>
      <c r="CN619" s="1403"/>
      <c r="CO619" s="1403"/>
      <c r="CP619" s="1403"/>
      <c r="CQ619" s="1403"/>
      <c r="CR619" s="6"/>
      <c r="CS619" s="1402">
        <f t="shared" si="11"/>
        <v>0</v>
      </c>
      <c r="CT619" s="1402"/>
      <c r="CU619" s="1402"/>
      <c r="CV619" s="1402"/>
      <c r="CW619" s="1402"/>
      <c r="CX619" s="1402">
        <f t="shared" si="12"/>
        <v>0</v>
      </c>
      <c r="CY619" s="1402"/>
      <c r="CZ619" s="1402"/>
      <c r="DA619" s="1402"/>
      <c r="DB619" s="1402"/>
      <c r="DC619" s="1402">
        <f t="shared" si="13"/>
        <v>0</v>
      </c>
      <c r="DD619" s="1402"/>
      <c r="DE619" s="1402"/>
      <c r="DF619" s="1402"/>
      <c r="DG619" s="1402"/>
      <c r="DH619" s="1402">
        <f t="shared" si="14"/>
        <v>0</v>
      </c>
      <c r="DI619" s="1402"/>
      <c r="DJ619" s="1402"/>
      <c r="DK619" s="1402"/>
      <c r="DL619" s="1402"/>
      <c r="DM619" s="1402">
        <f t="shared" si="15"/>
        <v>0</v>
      </c>
      <c r="DN619" s="1402"/>
      <c r="DO619" s="1402"/>
      <c r="DP619" s="1402"/>
      <c r="DQ619" s="1402"/>
      <c r="DR619" s="1402">
        <f t="shared" si="16"/>
        <v>0</v>
      </c>
      <c r="DS619" s="1402"/>
      <c r="DT619" s="1402"/>
      <c r="DU619" s="1402"/>
      <c r="DV619" s="1402"/>
      <c r="DX619" s="1369" t="str">
        <f t="shared" si="17"/>
        <v/>
      </c>
      <c r="DY619" s="1370"/>
      <c r="DZ619" s="1370"/>
      <c r="EA619" s="1370"/>
      <c r="EB619" s="1371"/>
      <c r="EC619" s="1369" t="str">
        <f t="shared" si="18"/>
        <v/>
      </c>
      <c r="ED619" s="1370"/>
      <c r="EE619" s="1370"/>
      <c r="EF619" s="1370"/>
      <c r="EG619" s="1371"/>
      <c r="EH619" s="1369" t="str">
        <f t="shared" si="19"/>
        <v/>
      </c>
      <c r="EI619" s="1370"/>
      <c r="EJ619" s="1370"/>
      <c r="EK619" s="1370"/>
      <c r="EL619" s="1371"/>
      <c r="EM619" s="1369" t="str">
        <f t="shared" si="20"/>
        <v/>
      </c>
      <c r="EN619" s="1370"/>
      <c r="EO619" s="1370"/>
      <c r="EP619" s="1370"/>
      <c r="EQ619" s="1371"/>
      <c r="ER619" s="1369" t="str">
        <f t="shared" si="21"/>
        <v/>
      </c>
      <c r="ES619" s="1370"/>
      <c r="ET619" s="1370"/>
      <c r="EU619" s="1370"/>
      <c r="EV619" s="1371"/>
      <c r="EW619" s="1369" t="str">
        <f t="shared" si="22"/>
        <v/>
      </c>
      <c r="EX619" s="1370"/>
      <c r="EY619" s="1370"/>
      <c r="EZ619" s="1370"/>
      <c r="FA619" s="1371"/>
    </row>
    <row r="620" spans="1:157" ht="13.05" customHeight="1">
      <c r="A620" s="2" t="s">
        <v>320</v>
      </c>
      <c r="B620" s="2"/>
      <c r="C620" s="2" t="s">
        <v>21</v>
      </c>
      <c r="AZ620" s="3"/>
      <c r="BA620" s="3"/>
      <c r="BB620" s="3"/>
      <c r="BC620" s="3"/>
      <c r="BD620" s="3"/>
      <c r="BE620" s="1369">
        <f t="shared" si="1"/>
        <v>0</v>
      </c>
      <c r="BF620" s="1371"/>
      <c r="BG620" s="1409">
        <f t="shared" si="2"/>
        <v>0</v>
      </c>
      <c r="BH620" s="1410"/>
      <c r="BI620" s="1369">
        <f t="shared" si="3"/>
        <v>0</v>
      </c>
      <c r="BJ620" s="1371"/>
      <c r="BK620" s="1409">
        <f t="shared" si="4"/>
        <v>0</v>
      </c>
      <c r="BL620" s="1410"/>
      <c r="BM620" s="3"/>
      <c r="BN620" s="1406">
        <f t="shared" si="5"/>
        <v>0</v>
      </c>
      <c r="BO620" s="1407"/>
      <c r="BP620" s="1407"/>
      <c r="BQ620" s="1407"/>
      <c r="BR620" s="1408"/>
      <c r="BS620" s="1403">
        <f t="shared" si="6"/>
        <v>0</v>
      </c>
      <c r="BT620" s="1403"/>
      <c r="BU620" s="1403"/>
      <c r="BV620" s="1403"/>
      <c r="BW620" s="1403"/>
      <c r="BX620" s="1403">
        <f t="shared" si="7"/>
        <v>0</v>
      </c>
      <c r="BY620" s="1403"/>
      <c r="BZ620" s="1403"/>
      <c r="CA620" s="1403"/>
      <c r="CB620" s="1403"/>
      <c r="CC620" s="1403">
        <f t="shared" si="8"/>
        <v>0</v>
      </c>
      <c r="CD620" s="1403"/>
      <c r="CE620" s="1403"/>
      <c r="CF620" s="1403"/>
      <c r="CG620" s="1403"/>
      <c r="CH620" s="1403">
        <f t="shared" si="9"/>
        <v>0</v>
      </c>
      <c r="CI620" s="1403"/>
      <c r="CJ620" s="1403"/>
      <c r="CK620" s="1403"/>
      <c r="CL620" s="1403"/>
      <c r="CM620" s="1403">
        <f t="shared" si="10"/>
        <v>0</v>
      </c>
      <c r="CN620" s="1403"/>
      <c r="CO620" s="1403"/>
      <c r="CP620" s="1403"/>
      <c r="CQ620" s="1403"/>
      <c r="CR620" s="6"/>
      <c r="CS620" s="1402">
        <f t="shared" si="11"/>
        <v>0</v>
      </c>
      <c r="CT620" s="1402"/>
      <c r="CU620" s="1402"/>
      <c r="CV620" s="1402"/>
      <c r="CW620" s="1402"/>
      <c r="CX620" s="1402">
        <f t="shared" si="12"/>
        <v>0</v>
      </c>
      <c r="CY620" s="1402"/>
      <c r="CZ620" s="1402"/>
      <c r="DA620" s="1402"/>
      <c r="DB620" s="1402"/>
      <c r="DC620" s="1402">
        <f t="shared" si="13"/>
        <v>0</v>
      </c>
      <c r="DD620" s="1402"/>
      <c r="DE620" s="1402"/>
      <c r="DF620" s="1402"/>
      <c r="DG620" s="1402"/>
      <c r="DH620" s="1402">
        <f t="shared" si="14"/>
        <v>0</v>
      </c>
      <c r="DI620" s="1402"/>
      <c r="DJ620" s="1402"/>
      <c r="DK620" s="1402"/>
      <c r="DL620" s="1402"/>
      <c r="DM620" s="1402">
        <f t="shared" si="15"/>
        <v>0</v>
      </c>
      <c r="DN620" s="1402"/>
      <c r="DO620" s="1402"/>
      <c r="DP620" s="1402"/>
      <c r="DQ620" s="1402"/>
      <c r="DR620" s="1402">
        <f t="shared" si="16"/>
        <v>0</v>
      </c>
      <c r="DS620" s="1402"/>
      <c r="DT620" s="1402"/>
      <c r="DU620" s="1402"/>
      <c r="DV620" s="1402"/>
      <c r="DX620" s="1369" t="str">
        <f t="shared" si="17"/>
        <v/>
      </c>
      <c r="DY620" s="1370"/>
      <c r="DZ620" s="1370"/>
      <c r="EA620" s="1370"/>
      <c r="EB620" s="1371"/>
      <c r="EC620" s="1369" t="str">
        <f t="shared" si="18"/>
        <v/>
      </c>
      <c r="ED620" s="1370"/>
      <c r="EE620" s="1370"/>
      <c r="EF620" s="1370"/>
      <c r="EG620" s="1371"/>
      <c r="EH620" s="1369" t="str">
        <f t="shared" si="19"/>
        <v/>
      </c>
      <c r="EI620" s="1370"/>
      <c r="EJ620" s="1370"/>
      <c r="EK620" s="1370"/>
      <c r="EL620" s="1371"/>
      <c r="EM620" s="1369" t="str">
        <f t="shared" si="20"/>
        <v/>
      </c>
      <c r="EN620" s="1370"/>
      <c r="EO620" s="1370"/>
      <c r="EP620" s="1370"/>
      <c r="EQ620" s="1371"/>
      <c r="ER620" s="1369" t="str">
        <f t="shared" si="21"/>
        <v/>
      </c>
      <c r="ES620" s="1370"/>
      <c r="ET620" s="1370"/>
      <c r="EU620" s="1370"/>
      <c r="EV620" s="1371"/>
      <c r="EW620" s="1369" t="str">
        <f t="shared" si="22"/>
        <v/>
      </c>
      <c r="EX620" s="1370"/>
      <c r="EY620" s="1370"/>
      <c r="EZ620" s="1370"/>
      <c r="FA620" s="1371"/>
    </row>
    <row r="621" spans="1:157" ht="13.05" customHeight="1">
      <c r="A621" s="2"/>
      <c r="B621" s="2"/>
      <c r="C621" s="2"/>
      <c r="AZ621" s="3"/>
      <c r="BA621" s="3"/>
      <c r="BB621" s="3"/>
      <c r="BC621" s="3"/>
      <c r="BD621" s="3"/>
      <c r="BE621" s="1369">
        <f t="shared" si="1"/>
        <v>0</v>
      </c>
      <c r="BF621" s="1371"/>
      <c r="BG621" s="1409">
        <f t="shared" si="2"/>
        <v>0</v>
      </c>
      <c r="BH621" s="1410"/>
      <c r="BI621" s="1369">
        <f t="shared" si="3"/>
        <v>0</v>
      </c>
      <c r="BJ621" s="1371"/>
      <c r="BK621" s="1409">
        <f t="shared" si="4"/>
        <v>0</v>
      </c>
      <c r="BL621" s="1410"/>
      <c r="BM621" s="3"/>
      <c r="BN621" s="1406">
        <f t="shared" si="5"/>
        <v>0</v>
      </c>
      <c r="BO621" s="1407"/>
      <c r="BP621" s="1407"/>
      <c r="BQ621" s="1407"/>
      <c r="BR621" s="1408"/>
      <c r="BS621" s="1403">
        <f t="shared" si="6"/>
        <v>0</v>
      </c>
      <c r="BT621" s="1403"/>
      <c r="BU621" s="1403"/>
      <c r="BV621" s="1403"/>
      <c r="BW621" s="1403"/>
      <c r="BX621" s="1403">
        <f t="shared" si="7"/>
        <v>0</v>
      </c>
      <c r="BY621" s="1403"/>
      <c r="BZ621" s="1403"/>
      <c r="CA621" s="1403"/>
      <c r="CB621" s="1403"/>
      <c r="CC621" s="1403">
        <f t="shared" si="8"/>
        <v>0</v>
      </c>
      <c r="CD621" s="1403"/>
      <c r="CE621" s="1403"/>
      <c r="CF621" s="1403"/>
      <c r="CG621" s="1403"/>
      <c r="CH621" s="1403">
        <f t="shared" si="9"/>
        <v>0</v>
      </c>
      <c r="CI621" s="1403"/>
      <c r="CJ621" s="1403"/>
      <c r="CK621" s="1403"/>
      <c r="CL621" s="1403"/>
      <c r="CM621" s="1403">
        <f t="shared" si="10"/>
        <v>0</v>
      </c>
      <c r="CN621" s="1403"/>
      <c r="CO621" s="1403"/>
      <c r="CP621" s="1403"/>
      <c r="CQ621" s="1403"/>
      <c r="CR621" s="6"/>
      <c r="CS621" s="1402">
        <f t="shared" si="11"/>
        <v>0</v>
      </c>
      <c r="CT621" s="1402"/>
      <c r="CU621" s="1402"/>
      <c r="CV621" s="1402"/>
      <c r="CW621" s="1402"/>
      <c r="CX621" s="1402">
        <f t="shared" si="12"/>
        <v>0</v>
      </c>
      <c r="CY621" s="1402"/>
      <c r="CZ621" s="1402"/>
      <c r="DA621" s="1402"/>
      <c r="DB621" s="1402"/>
      <c r="DC621" s="1402">
        <f t="shared" si="13"/>
        <v>0</v>
      </c>
      <c r="DD621" s="1402"/>
      <c r="DE621" s="1402"/>
      <c r="DF621" s="1402"/>
      <c r="DG621" s="1402"/>
      <c r="DH621" s="1402">
        <f t="shared" si="14"/>
        <v>0</v>
      </c>
      <c r="DI621" s="1402"/>
      <c r="DJ621" s="1402"/>
      <c r="DK621" s="1402"/>
      <c r="DL621" s="1402"/>
      <c r="DM621" s="1402">
        <f t="shared" si="15"/>
        <v>0</v>
      </c>
      <c r="DN621" s="1402"/>
      <c r="DO621" s="1402"/>
      <c r="DP621" s="1402"/>
      <c r="DQ621" s="1402"/>
      <c r="DR621" s="1402">
        <f t="shared" si="16"/>
        <v>0</v>
      </c>
      <c r="DS621" s="1402"/>
      <c r="DT621" s="1402"/>
      <c r="DU621" s="1402"/>
      <c r="DV621" s="1402"/>
      <c r="DX621" s="1369" t="str">
        <f t="shared" si="17"/>
        <v/>
      </c>
      <c r="DY621" s="1370"/>
      <c r="DZ621" s="1370"/>
      <c r="EA621" s="1370"/>
      <c r="EB621" s="1371"/>
      <c r="EC621" s="1369" t="str">
        <f t="shared" si="18"/>
        <v/>
      </c>
      <c r="ED621" s="1370"/>
      <c r="EE621" s="1370"/>
      <c r="EF621" s="1370"/>
      <c r="EG621" s="1371"/>
      <c r="EH621" s="1369" t="str">
        <f t="shared" si="19"/>
        <v/>
      </c>
      <c r="EI621" s="1370"/>
      <c r="EJ621" s="1370"/>
      <c r="EK621" s="1370"/>
      <c r="EL621" s="1371"/>
      <c r="EM621" s="1369" t="str">
        <f t="shared" si="20"/>
        <v/>
      </c>
      <c r="EN621" s="1370"/>
      <c r="EO621" s="1370"/>
      <c r="EP621" s="1370"/>
      <c r="EQ621" s="1371"/>
      <c r="ER621" s="1369" t="str">
        <f t="shared" si="21"/>
        <v/>
      </c>
      <c r="ES621" s="1370"/>
      <c r="ET621" s="1370"/>
      <c r="EU621" s="1370"/>
      <c r="EV621" s="1371"/>
      <c r="EW621" s="1369" t="str">
        <f t="shared" si="22"/>
        <v/>
      </c>
      <c r="EX621" s="1370"/>
      <c r="EY621" s="1370"/>
      <c r="EZ621" s="1370"/>
      <c r="FA621" s="1371"/>
    </row>
    <row r="622" spans="1:157" ht="13.05" customHeight="1">
      <c r="C622" s="2" t="s">
        <v>2416</v>
      </c>
      <c r="AZ622" s="3"/>
      <c r="BA622" s="3"/>
      <c r="BB622" s="3"/>
      <c r="BC622" s="3"/>
      <c r="BD622" s="3"/>
      <c r="BE622" s="1369">
        <f t="shared" si="1"/>
        <v>0</v>
      </c>
      <c r="BF622" s="1371"/>
      <c r="BG622" s="1409">
        <f t="shared" si="2"/>
        <v>0</v>
      </c>
      <c r="BH622" s="1410"/>
      <c r="BI622" s="1369">
        <f t="shared" si="3"/>
        <v>0</v>
      </c>
      <c r="BJ622" s="1371"/>
      <c r="BK622" s="1409">
        <f t="shared" si="4"/>
        <v>0</v>
      </c>
      <c r="BL622" s="1410"/>
      <c r="BM622" s="3"/>
      <c r="BN622" s="1406">
        <f t="shared" si="5"/>
        <v>0</v>
      </c>
      <c r="BO622" s="1407"/>
      <c r="BP622" s="1407"/>
      <c r="BQ622" s="1407"/>
      <c r="BR622" s="1408"/>
      <c r="BS622" s="1403">
        <f t="shared" si="6"/>
        <v>0</v>
      </c>
      <c r="BT622" s="1403"/>
      <c r="BU622" s="1403"/>
      <c r="BV622" s="1403"/>
      <c r="BW622" s="1403"/>
      <c r="BX622" s="1403">
        <f t="shared" si="7"/>
        <v>0</v>
      </c>
      <c r="BY622" s="1403"/>
      <c r="BZ622" s="1403"/>
      <c r="CA622" s="1403"/>
      <c r="CB622" s="1403"/>
      <c r="CC622" s="1403">
        <f t="shared" si="8"/>
        <v>0</v>
      </c>
      <c r="CD622" s="1403"/>
      <c r="CE622" s="1403"/>
      <c r="CF622" s="1403"/>
      <c r="CG622" s="1403"/>
      <c r="CH622" s="1403">
        <f t="shared" si="9"/>
        <v>0</v>
      </c>
      <c r="CI622" s="1403"/>
      <c r="CJ622" s="1403"/>
      <c r="CK622" s="1403"/>
      <c r="CL622" s="1403"/>
      <c r="CM622" s="1403">
        <f t="shared" si="10"/>
        <v>0</v>
      </c>
      <c r="CN622" s="1403"/>
      <c r="CO622" s="1403"/>
      <c r="CP622" s="1403"/>
      <c r="CQ622" s="1403"/>
      <c r="CR622" s="6"/>
      <c r="CS622" s="1402">
        <f t="shared" si="11"/>
        <v>0</v>
      </c>
      <c r="CT622" s="1402"/>
      <c r="CU622" s="1402"/>
      <c r="CV622" s="1402"/>
      <c r="CW622" s="1402"/>
      <c r="CX622" s="1402">
        <f t="shared" si="12"/>
        <v>0</v>
      </c>
      <c r="CY622" s="1402"/>
      <c r="CZ622" s="1402"/>
      <c r="DA622" s="1402"/>
      <c r="DB622" s="1402"/>
      <c r="DC622" s="1402">
        <f t="shared" si="13"/>
        <v>0</v>
      </c>
      <c r="DD622" s="1402"/>
      <c r="DE622" s="1402"/>
      <c r="DF622" s="1402"/>
      <c r="DG622" s="1402"/>
      <c r="DH622" s="1402">
        <f t="shared" si="14"/>
        <v>0</v>
      </c>
      <c r="DI622" s="1402"/>
      <c r="DJ622" s="1402"/>
      <c r="DK622" s="1402"/>
      <c r="DL622" s="1402"/>
      <c r="DM622" s="1402">
        <f t="shared" si="15"/>
        <v>0</v>
      </c>
      <c r="DN622" s="1402"/>
      <c r="DO622" s="1402"/>
      <c r="DP622" s="1402"/>
      <c r="DQ622" s="1402"/>
      <c r="DR622" s="1402">
        <f t="shared" si="16"/>
        <v>0</v>
      </c>
      <c r="DS622" s="1402"/>
      <c r="DT622" s="1402"/>
      <c r="DU622" s="1402"/>
      <c r="DV622" s="1402"/>
      <c r="DX622" s="1369" t="str">
        <f t="shared" si="17"/>
        <v/>
      </c>
      <c r="DY622" s="1370"/>
      <c r="DZ622" s="1370"/>
      <c r="EA622" s="1370"/>
      <c r="EB622" s="1371"/>
      <c r="EC622" s="1369" t="str">
        <f t="shared" si="18"/>
        <v/>
      </c>
      <c r="ED622" s="1370"/>
      <c r="EE622" s="1370"/>
      <c r="EF622" s="1370"/>
      <c r="EG622" s="1371"/>
      <c r="EH622" s="1369" t="str">
        <f t="shared" si="19"/>
        <v/>
      </c>
      <c r="EI622" s="1370"/>
      <c r="EJ622" s="1370"/>
      <c r="EK622" s="1370"/>
      <c r="EL622" s="1371"/>
      <c r="EM622" s="1369" t="str">
        <f t="shared" si="20"/>
        <v/>
      </c>
      <c r="EN622" s="1370"/>
      <c r="EO622" s="1370"/>
      <c r="EP622" s="1370"/>
      <c r="EQ622" s="1371"/>
      <c r="ER622" s="1369" t="str">
        <f t="shared" si="21"/>
        <v/>
      </c>
      <c r="ES622" s="1370"/>
      <c r="ET622" s="1370"/>
      <c r="EU622" s="1370"/>
      <c r="EV622" s="1371"/>
      <c r="EW622" s="1369" t="str">
        <f t="shared" si="22"/>
        <v/>
      </c>
      <c r="EX622" s="1370"/>
      <c r="EY622" s="1370"/>
      <c r="EZ622" s="1370"/>
      <c r="FA622" s="1371"/>
    </row>
    <row r="623" spans="1:157" ht="13.05" customHeight="1">
      <c r="B623" s="546"/>
      <c r="C623" s="2"/>
      <c r="AU623" s="3"/>
      <c r="AZ623" s="3"/>
      <c r="BA623" s="3"/>
      <c r="BB623" s="3"/>
      <c r="BC623" s="3"/>
      <c r="BD623" s="3"/>
      <c r="BE623" s="1369">
        <f t="shared" si="1"/>
        <v>0</v>
      </c>
      <c r="BF623" s="1371"/>
      <c r="BG623" s="1409">
        <f t="shared" si="2"/>
        <v>0</v>
      </c>
      <c r="BH623" s="1410"/>
      <c r="BI623" s="1369">
        <f t="shared" si="3"/>
        <v>0</v>
      </c>
      <c r="BJ623" s="1371"/>
      <c r="BK623" s="1409">
        <f t="shared" si="4"/>
        <v>0</v>
      </c>
      <c r="BL623" s="1410"/>
      <c r="BM623" s="3"/>
      <c r="BN623" s="1406">
        <f t="shared" si="5"/>
        <v>0</v>
      </c>
      <c r="BO623" s="1407"/>
      <c r="BP623" s="1407"/>
      <c r="BQ623" s="1407"/>
      <c r="BR623" s="1408"/>
      <c r="BS623" s="1403">
        <f t="shared" si="6"/>
        <v>0</v>
      </c>
      <c r="BT623" s="1403"/>
      <c r="BU623" s="1403"/>
      <c r="BV623" s="1403"/>
      <c r="BW623" s="1403"/>
      <c r="BX623" s="1403">
        <f t="shared" si="7"/>
        <v>0</v>
      </c>
      <c r="BY623" s="1403"/>
      <c r="BZ623" s="1403"/>
      <c r="CA623" s="1403"/>
      <c r="CB623" s="1403"/>
      <c r="CC623" s="1403">
        <f t="shared" si="8"/>
        <v>0</v>
      </c>
      <c r="CD623" s="1403"/>
      <c r="CE623" s="1403"/>
      <c r="CF623" s="1403"/>
      <c r="CG623" s="1403"/>
      <c r="CH623" s="1403">
        <f t="shared" si="9"/>
        <v>0</v>
      </c>
      <c r="CI623" s="1403"/>
      <c r="CJ623" s="1403"/>
      <c r="CK623" s="1403"/>
      <c r="CL623" s="1403"/>
      <c r="CM623" s="1403">
        <f t="shared" si="10"/>
        <v>0</v>
      </c>
      <c r="CN623" s="1403"/>
      <c r="CO623" s="1403"/>
      <c r="CP623" s="1403"/>
      <c r="CQ623" s="1403"/>
      <c r="CR623" s="6"/>
      <c r="CS623" s="1402">
        <f t="shared" si="11"/>
        <v>0</v>
      </c>
      <c r="CT623" s="1402"/>
      <c r="CU623" s="1402"/>
      <c r="CV623" s="1402"/>
      <c r="CW623" s="1402"/>
      <c r="CX623" s="1402">
        <f t="shared" si="12"/>
        <v>0</v>
      </c>
      <c r="CY623" s="1402"/>
      <c r="CZ623" s="1402"/>
      <c r="DA623" s="1402"/>
      <c r="DB623" s="1402"/>
      <c r="DC623" s="1402">
        <f t="shared" si="13"/>
        <v>0</v>
      </c>
      <c r="DD623" s="1402"/>
      <c r="DE623" s="1402"/>
      <c r="DF623" s="1402"/>
      <c r="DG623" s="1402"/>
      <c r="DH623" s="1402">
        <f t="shared" si="14"/>
        <v>0</v>
      </c>
      <c r="DI623" s="1402"/>
      <c r="DJ623" s="1402"/>
      <c r="DK623" s="1402"/>
      <c r="DL623" s="1402"/>
      <c r="DM623" s="1402">
        <f t="shared" si="15"/>
        <v>0</v>
      </c>
      <c r="DN623" s="1402"/>
      <c r="DO623" s="1402"/>
      <c r="DP623" s="1402"/>
      <c r="DQ623" s="1402"/>
      <c r="DR623" s="1402">
        <f t="shared" si="16"/>
        <v>0</v>
      </c>
      <c r="DS623" s="1402"/>
      <c r="DT623" s="1402"/>
      <c r="DU623" s="1402"/>
      <c r="DV623" s="1402"/>
      <c r="DX623" s="1369" t="str">
        <f t="shared" si="17"/>
        <v/>
      </c>
      <c r="DY623" s="1370"/>
      <c r="DZ623" s="1370"/>
      <c r="EA623" s="1370"/>
      <c r="EB623" s="1371"/>
      <c r="EC623" s="1369" t="str">
        <f t="shared" si="18"/>
        <v/>
      </c>
      <c r="ED623" s="1370"/>
      <c r="EE623" s="1370"/>
      <c r="EF623" s="1370"/>
      <c r="EG623" s="1371"/>
      <c r="EH623" s="1369" t="str">
        <f t="shared" si="19"/>
        <v/>
      </c>
      <c r="EI623" s="1370"/>
      <c r="EJ623" s="1370"/>
      <c r="EK623" s="1370"/>
      <c r="EL623" s="1371"/>
      <c r="EM623" s="1369" t="str">
        <f t="shared" si="20"/>
        <v/>
      </c>
      <c r="EN623" s="1370"/>
      <c r="EO623" s="1370"/>
      <c r="EP623" s="1370"/>
      <c r="EQ623" s="1371"/>
      <c r="ER623" s="1369" t="str">
        <f t="shared" si="21"/>
        <v/>
      </c>
      <c r="ES623" s="1370"/>
      <c r="ET623" s="1370"/>
      <c r="EU623" s="1370"/>
      <c r="EV623" s="1371"/>
      <c r="EW623" s="1369" t="str">
        <f t="shared" si="22"/>
        <v/>
      </c>
      <c r="EX623" s="1370"/>
      <c r="EY623" s="1370"/>
      <c r="EZ623" s="1370"/>
      <c r="FA623" s="1371"/>
    </row>
    <row r="624" spans="1:157" ht="13.05" customHeight="1">
      <c r="B624" s="1826" t="s">
        <v>2418</v>
      </c>
      <c r="C624" s="1826"/>
      <c r="D624" s="1826"/>
      <c r="E624" s="1826"/>
      <c r="F624" s="1826"/>
      <c r="G624" s="1826"/>
      <c r="H624" s="1826"/>
      <c r="I624" s="1826"/>
      <c r="J624" s="1826"/>
      <c r="K624" s="1826"/>
      <c r="L624" s="1826"/>
      <c r="M624" s="1584" t="s">
        <v>2419</v>
      </c>
      <c r="N624" s="1584"/>
      <c r="O624" s="1584"/>
      <c r="P624" s="1584"/>
      <c r="Q624" s="1584" t="s">
        <v>2044</v>
      </c>
      <c r="R624" s="1584"/>
      <c r="S624" s="1584"/>
      <c r="T624" s="1584" t="s">
        <v>2042</v>
      </c>
      <c r="U624" s="1584"/>
      <c r="V624" s="1584"/>
      <c r="W624" s="1583" t="s">
        <v>461</v>
      </c>
      <c r="X624" s="1583"/>
      <c r="Y624" s="1583"/>
      <c r="Z624" s="1413" t="s">
        <v>2448</v>
      </c>
      <c r="AA624" s="1413"/>
      <c r="AB624" s="1414"/>
      <c r="AC624" s="1733" t="s">
        <v>1865</v>
      </c>
      <c r="AD624" s="1734"/>
      <c r="AE624" s="1735"/>
      <c r="AF624" s="1412" t="s">
        <v>2227</v>
      </c>
      <c r="AG624" s="1413"/>
      <c r="AH624" s="1413"/>
      <c r="AI624" s="1413"/>
      <c r="AJ624" s="1414"/>
      <c r="AK624" s="1742" t="s">
        <v>2228</v>
      </c>
      <c r="AL624" s="1743"/>
      <c r="AM624" s="1743"/>
      <c r="AN624" s="1744"/>
      <c r="AO624" s="1584" t="s">
        <v>462</v>
      </c>
      <c r="AP624" s="1584"/>
      <c r="AQ624" s="1584"/>
      <c r="AR624" s="1584"/>
      <c r="AS624" s="1584"/>
      <c r="AU624" s="3"/>
      <c r="AZ624" s="3"/>
      <c r="BA624" s="3"/>
      <c r="BB624" s="3"/>
      <c r="BC624" s="3"/>
      <c r="BD624" s="3"/>
      <c r="BE624" s="1369">
        <f t="shared" si="1"/>
        <v>0</v>
      </c>
      <c r="BF624" s="1371"/>
      <c r="BG624" s="1409">
        <f t="shared" si="2"/>
        <v>0</v>
      </c>
      <c r="BH624" s="1410"/>
      <c r="BI624" s="1369">
        <f t="shared" si="3"/>
        <v>0</v>
      </c>
      <c r="BJ624" s="1371"/>
      <c r="BK624" s="1409">
        <f t="shared" si="4"/>
        <v>0</v>
      </c>
      <c r="BL624" s="1410"/>
      <c r="BM624" s="3"/>
      <c r="BN624" s="1406">
        <f t="shared" si="5"/>
        <v>0</v>
      </c>
      <c r="BO624" s="1407"/>
      <c r="BP624" s="1407"/>
      <c r="BQ624" s="1407"/>
      <c r="BR624" s="1408"/>
      <c r="BS624" s="1403">
        <f t="shared" si="6"/>
        <v>0</v>
      </c>
      <c r="BT624" s="1403"/>
      <c r="BU624" s="1403"/>
      <c r="BV624" s="1403"/>
      <c r="BW624" s="1403"/>
      <c r="BX624" s="1403">
        <f t="shared" si="7"/>
        <v>0</v>
      </c>
      <c r="BY624" s="1403"/>
      <c r="BZ624" s="1403"/>
      <c r="CA624" s="1403"/>
      <c r="CB624" s="1403"/>
      <c r="CC624" s="1403">
        <f t="shared" si="8"/>
        <v>0</v>
      </c>
      <c r="CD624" s="1403"/>
      <c r="CE624" s="1403"/>
      <c r="CF624" s="1403"/>
      <c r="CG624" s="1403"/>
      <c r="CH624" s="1403">
        <f t="shared" si="9"/>
        <v>0</v>
      </c>
      <c r="CI624" s="1403"/>
      <c r="CJ624" s="1403"/>
      <c r="CK624" s="1403"/>
      <c r="CL624" s="1403"/>
      <c r="CM624" s="1403">
        <f t="shared" si="10"/>
        <v>0</v>
      </c>
      <c r="CN624" s="1403"/>
      <c r="CO624" s="1403"/>
      <c r="CP624" s="1403"/>
      <c r="CQ624" s="1403"/>
      <c r="CR624" s="6"/>
      <c r="CS624" s="1402">
        <f t="shared" si="11"/>
        <v>0</v>
      </c>
      <c r="CT624" s="1402"/>
      <c r="CU624" s="1402"/>
      <c r="CV624" s="1402"/>
      <c r="CW624" s="1402"/>
      <c r="CX624" s="1402">
        <f t="shared" si="12"/>
        <v>0</v>
      </c>
      <c r="CY624" s="1402"/>
      <c r="CZ624" s="1402"/>
      <c r="DA624" s="1402"/>
      <c r="DB624" s="1402"/>
      <c r="DC624" s="1402">
        <f t="shared" si="13"/>
        <v>0</v>
      </c>
      <c r="DD624" s="1402"/>
      <c r="DE624" s="1402"/>
      <c r="DF624" s="1402"/>
      <c r="DG624" s="1402"/>
      <c r="DH624" s="1402">
        <f t="shared" si="14"/>
        <v>0</v>
      </c>
      <c r="DI624" s="1402"/>
      <c r="DJ624" s="1402"/>
      <c r="DK624" s="1402"/>
      <c r="DL624" s="1402"/>
      <c r="DM624" s="1402">
        <f t="shared" si="15"/>
        <v>0</v>
      </c>
      <c r="DN624" s="1402"/>
      <c r="DO624" s="1402"/>
      <c r="DP624" s="1402"/>
      <c r="DQ624" s="1402"/>
      <c r="DR624" s="1402">
        <f t="shared" si="16"/>
        <v>0</v>
      </c>
      <c r="DS624" s="1402"/>
      <c r="DT624" s="1402"/>
      <c r="DU624" s="1402"/>
      <c r="DV624" s="1402"/>
      <c r="DX624" s="1369" t="str">
        <f t="shared" si="17"/>
        <v/>
      </c>
      <c r="DY624" s="1370"/>
      <c r="DZ624" s="1370"/>
      <c r="EA624" s="1370"/>
      <c r="EB624" s="1371"/>
      <c r="EC624" s="1369" t="str">
        <f t="shared" si="18"/>
        <v/>
      </c>
      <c r="ED624" s="1370"/>
      <c r="EE624" s="1370"/>
      <c r="EF624" s="1370"/>
      <c r="EG624" s="1371"/>
      <c r="EH624" s="1369" t="str">
        <f t="shared" si="19"/>
        <v/>
      </c>
      <c r="EI624" s="1370"/>
      <c r="EJ624" s="1370"/>
      <c r="EK624" s="1370"/>
      <c r="EL624" s="1371"/>
      <c r="EM624" s="1369" t="str">
        <f t="shared" si="20"/>
        <v/>
      </c>
      <c r="EN624" s="1370"/>
      <c r="EO624" s="1370"/>
      <c r="EP624" s="1370"/>
      <c r="EQ624" s="1371"/>
      <c r="ER624" s="1369" t="str">
        <f t="shared" si="21"/>
        <v/>
      </c>
      <c r="ES624" s="1370"/>
      <c r="ET624" s="1370"/>
      <c r="EU624" s="1370"/>
      <c r="EV624" s="1371"/>
      <c r="EW624" s="1369" t="str">
        <f t="shared" si="22"/>
        <v/>
      </c>
      <c r="EX624" s="1370"/>
      <c r="EY624" s="1370"/>
      <c r="EZ624" s="1370"/>
      <c r="FA624" s="1371"/>
    </row>
    <row r="625" spans="2:157" ht="13.05" customHeight="1">
      <c r="B625" s="1826"/>
      <c r="C625" s="1826"/>
      <c r="D625" s="1826"/>
      <c r="E625" s="1826"/>
      <c r="F625" s="1826"/>
      <c r="G625" s="1826"/>
      <c r="H625" s="1826"/>
      <c r="I625" s="1826"/>
      <c r="J625" s="1826"/>
      <c r="K625" s="1826"/>
      <c r="L625" s="1826"/>
      <c r="M625" s="1584"/>
      <c r="N625" s="1584"/>
      <c r="O625" s="1584"/>
      <c r="P625" s="1584"/>
      <c r="Q625" s="1584"/>
      <c r="R625" s="1584"/>
      <c r="S625" s="1584"/>
      <c r="T625" s="1584"/>
      <c r="U625" s="1584"/>
      <c r="V625" s="1584"/>
      <c r="W625" s="1583"/>
      <c r="X625" s="1583"/>
      <c r="Y625" s="1583"/>
      <c r="Z625" s="1416"/>
      <c r="AA625" s="1416"/>
      <c r="AB625" s="1417"/>
      <c r="AC625" s="1736"/>
      <c r="AD625" s="1737"/>
      <c r="AE625" s="1738"/>
      <c r="AF625" s="1415"/>
      <c r="AG625" s="1416"/>
      <c r="AH625" s="1416"/>
      <c r="AI625" s="1416"/>
      <c r="AJ625" s="1417"/>
      <c r="AK625" s="1745"/>
      <c r="AL625" s="1746"/>
      <c r="AM625" s="1746"/>
      <c r="AN625" s="1747"/>
      <c r="AO625" s="1584"/>
      <c r="AP625" s="1584"/>
      <c r="AQ625" s="1584"/>
      <c r="AR625" s="1584"/>
      <c r="AS625" s="1584"/>
      <c r="AU625" s="3"/>
      <c r="AZ625" s="3"/>
      <c r="BA625" s="3"/>
      <c r="BB625" s="3"/>
      <c r="BC625" s="3"/>
      <c r="BD625" s="3"/>
      <c r="BE625" s="1369">
        <f t="shared" si="1"/>
        <v>0</v>
      </c>
      <c r="BF625" s="1371"/>
      <c r="BG625" s="1409">
        <f t="shared" si="2"/>
        <v>0</v>
      </c>
      <c r="BH625" s="1410"/>
      <c r="BI625" s="1369">
        <f t="shared" si="3"/>
        <v>0</v>
      </c>
      <c r="BJ625" s="1371"/>
      <c r="BK625" s="1409">
        <f t="shared" si="4"/>
        <v>0</v>
      </c>
      <c r="BL625" s="1410"/>
      <c r="BM625" s="3"/>
      <c r="BN625" s="1406">
        <f t="shared" si="5"/>
        <v>0</v>
      </c>
      <c r="BO625" s="1407"/>
      <c r="BP625" s="1407"/>
      <c r="BQ625" s="1407"/>
      <c r="BR625" s="1408"/>
      <c r="BS625" s="1403">
        <f t="shared" si="6"/>
        <v>0</v>
      </c>
      <c r="BT625" s="1403"/>
      <c r="BU625" s="1403"/>
      <c r="BV625" s="1403"/>
      <c r="BW625" s="1403"/>
      <c r="BX625" s="1403">
        <f t="shared" si="7"/>
        <v>0</v>
      </c>
      <c r="BY625" s="1403"/>
      <c r="BZ625" s="1403"/>
      <c r="CA625" s="1403"/>
      <c r="CB625" s="1403"/>
      <c r="CC625" s="1403">
        <f t="shared" si="8"/>
        <v>0</v>
      </c>
      <c r="CD625" s="1403"/>
      <c r="CE625" s="1403"/>
      <c r="CF625" s="1403"/>
      <c r="CG625" s="1403"/>
      <c r="CH625" s="1403">
        <f t="shared" si="9"/>
        <v>0</v>
      </c>
      <c r="CI625" s="1403"/>
      <c r="CJ625" s="1403"/>
      <c r="CK625" s="1403"/>
      <c r="CL625" s="1403"/>
      <c r="CM625" s="1403">
        <f t="shared" si="10"/>
        <v>0</v>
      </c>
      <c r="CN625" s="1403"/>
      <c r="CO625" s="1403"/>
      <c r="CP625" s="1403"/>
      <c r="CQ625" s="1403"/>
      <c r="CR625" s="6"/>
      <c r="CS625" s="1402">
        <f t="shared" si="11"/>
        <v>0</v>
      </c>
      <c r="CT625" s="1402"/>
      <c r="CU625" s="1402"/>
      <c r="CV625" s="1402"/>
      <c r="CW625" s="1402"/>
      <c r="CX625" s="1402">
        <f t="shared" si="12"/>
        <v>0</v>
      </c>
      <c r="CY625" s="1402"/>
      <c r="CZ625" s="1402"/>
      <c r="DA625" s="1402"/>
      <c r="DB625" s="1402"/>
      <c r="DC625" s="1402">
        <f t="shared" si="13"/>
        <v>0</v>
      </c>
      <c r="DD625" s="1402"/>
      <c r="DE625" s="1402"/>
      <c r="DF625" s="1402"/>
      <c r="DG625" s="1402"/>
      <c r="DH625" s="1402">
        <f t="shared" si="14"/>
        <v>0</v>
      </c>
      <c r="DI625" s="1402"/>
      <c r="DJ625" s="1402"/>
      <c r="DK625" s="1402"/>
      <c r="DL625" s="1402"/>
      <c r="DM625" s="1402">
        <f t="shared" si="15"/>
        <v>0</v>
      </c>
      <c r="DN625" s="1402"/>
      <c r="DO625" s="1402"/>
      <c r="DP625" s="1402"/>
      <c r="DQ625" s="1402"/>
      <c r="DR625" s="1402">
        <f t="shared" si="16"/>
        <v>0</v>
      </c>
      <c r="DS625" s="1402"/>
      <c r="DT625" s="1402"/>
      <c r="DU625" s="1402"/>
      <c r="DV625" s="1402"/>
      <c r="DX625" s="1369" t="str">
        <f t="shared" si="17"/>
        <v/>
      </c>
      <c r="DY625" s="1370"/>
      <c r="DZ625" s="1370"/>
      <c r="EA625" s="1370"/>
      <c r="EB625" s="1371"/>
      <c r="EC625" s="1369" t="str">
        <f t="shared" si="18"/>
        <v/>
      </c>
      <c r="ED625" s="1370"/>
      <c r="EE625" s="1370"/>
      <c r="EF625" s="1370"/>
      <c r="EG625" s="1371"/>
      <c r="EH625" s="1369" t="str">
        <f t="shared" si="19"/>
        <v/>
      </c>
      <c r="EI625" s="1370"/>
      <c r="EJ625" s="1370"/>
      <c r="EK625" s="1370"/>
      <c r="EL625" s="1371"/>
      <c r="EM625" s="1369" t="str">
        <f t="shared" si="20"/>
        <v/>
      </c>
      <c r="EN625" s="1370"/>
      <c r="EO625" s="1370"/>
      <c r="EP625" s="1370"/>
      <c r="EQ625" s="1371"/>
      <c r="ER625" s="1369" t="str">
        <f t="shared" si="21"/>
        <v/>
      </c>
      <c r="ES625" s="1370"/>
      <c r="ET625" s="1370"/>
      <c r="EU625" s="1370"/>
      <c r="EV625" s="1371"/>
      <c r="EW625" s="1369" t="str">
        <f t="shared" si="22"/>
        <v/>
      </c>
      <c r="EX625" s="1370"/>
      <c r="EY625" s="1370"/>
      <c r="EZ625" s="1370"/>
      <c r="FA625" s="1371"/>
    </row>
    <row r="626" spans="2:157" ht="13.05" customHeight="1">
      <c r="B626" s="1826"/>
      <c r="C626" s="1826"/>
      <c r="D626" s="1826"/>
      <c r="E626" s="1826"/>
      <c r="F626" s="1826"/>
      <c r="G626" s="1826"/>
      <c r="H626" s="1826"/>
      <c r="I626" s="1826"/>
      <c r="J626" s="1826"/>
      <c r="K626" s="1826"/>
      <c r="L626" s="1826"/>
      <c r="M626" s="1584"/>
      <c r="N626" s="1584"/>
      <c r="O626" s="1584"/>
      <c r="P626" s="1584"/>
      <c r="Q626" s="1584"/>
      <c r="R626" s="1584"/>
      <c r="S626" s="1584"/>
      <c r="T626" s="1584"/>
      <c r="U626" s="1584"/>
      <c r="V626" s="1584"/>
      <c r="W626" s="1583"/>
      <c r="X626" s="1583"/>
      <c r="Y626" s="1583"/>
      <c r="Z626" s="1419"/>
      <c r="AA626" s="1419"/>
      <c r="AB626" s="1420"/>
      <c r="AC626" s="1739"/>
      <c r="AD626" s="1740"/>
      <c r="AE626" s="1741"/>
      <c r="AF626" s="1418"/>
      <c r="AG626" s="1419"/>
      <c r="AH626" s="1419"/>
      <c r="AI626" s="1419"/>
      <c r="AJ626" s="1420"/>
      <c r="AK626" s="1748"/>
      <c r="AL626" s="1749"/>
      <c r="AM626" s="1749"/>
      <c r="AN626" s="1750"/>
      <c r="AO626" s="1584"/>
      <c r="AP626" s="1584"/>
      <c r="AQ626" s="1584"/>
      <c r="AR626" s="1584"/>
      <c r="AS626" s="1584"/>
      <c r="AT626" s="3"/>
      <c r="AU626" s="3"/>
      <c r="AZ626" s="3"/>
      <c r="BA626" s="3"/>
      <c r="BB626" s="3"/>
      <c r="BC626" s="3"/>
      <c r="BD626" s="3"/>
      <c r="BE626" s="1369">
        <f t="shared" si="1"/>
        <v>0</v>
      </c>
      <c r="BF626" s="1371"/>
      <c r="BG626" s="1409">
        <f t="shared" si="2"/>
        <v>0</v>
      </c>
      <c r="BH626" s="1410"/>
      <c r="BI626" s="1369">
        <f t="shared" si="3"/>
        <v>0</v>
      </c>
      <c r="BJ626" s="1371"/>
      <c r="BK626" s="1409">
        <f t="shared" si="4"/>
        <v>0</v>
      </c>
      <c r="BL626" s="1410"/>
      <c r="BM626" s="3"/>
      <c r="BN626" s="1406">
        <f t="shared" si="5"/>
        <v>0</v>
      </c>
      <c r="BO626" s="1407"/>
      <c r="BP626" s="1407"/>
      <c r="BQ626" s="1407"/>
      <c r="BR626" s="1408"/>
      <c r="BS626" s="1403">
        <f t="shared" si="6"/>
        <v>0</v>
      </c>
      <c r="BT626" s="1403"/>
      <c r="BU626" s="1403"/>
      <c r="BV626" s="1403"/>
      <c r="BW626" s="1403"/>
      <c r="BX626" s="1403">
        <f t="shared" si="7"/>
        <v>0</v>
      </c>
      <c r="BY626" s="1403"/>
      <c r="BZ626" s="1403"/>
      <c r="CA626" s="1403"/>
      <c r="CB626" s="1403"/>
      <c r="CC626" s="1403">
        <f t="shared" si="8"/>
        <v>0</v>
      </c>
      <c r="CD626" s="1403"/>
      <c r="CE626" s="1403"/>
      <c r="CF626" s="1403"/>
      <c r="CG626" s="1403"/>
      <c r="CH626" s="1403">
        <f t="shared" si="9"/>
        <v>0</v>
      </c>
      <c r="CI626" s="1403"/>
      <c r="CJ626" s="1403"/>
      <c r="CK626" s="1403"/>
      <c r="CL626" s="1403"/>
      <c r="CM626" s="1403">
        <f t="shared" si="10"/>
        <v>0</v>
      </c>
      <c r="CN626" s="1403"/>
      <c r="CO626" s="1403"/>
      <c r="CP626" s="1403"/>
      <c r="CQ626" s="1403"/>
      <c r="CR626" s="6"/>
      <c r="CS626" s="1402">
        <f t="shared" si="11"/>
        <v>0</v>
      </c>
      <c r="CT626" s="1402"/>
      <c r="CU626" s="1402"/>
      <c r="CV626" s="1402"/>
      <c r="CW626" s="1402"/>
      <c r="CX626" s="1402">
        <f t="shared" si="12"/>
        <v>0</v>
      </c>
      <c r="CY626" s="1402"/>
      <c r="CZ626" s="1402"/>
      <c r="DA626" s="1402"/>
      <c r="DB626" s="1402"/>
      <c r="DC626" s="1402">
        <f t="shared" si="13"/>
        <v>0</v>
      </c>
      <c r="DD626" s="1402"/>
      <c r="DE626" s="1402"/>
      <c r="DF626" s="1402"/>
      <c r="DG626" s="1402"/>
      <c r="DH626" s="1402">
        <f t="shared" si="14"/>
        <v>0</v>
      </c>
      <c r="DI626" s="1402"/>
      <c r="DJ626" s="1402"/>
      <c r="DK626" s="1402"/>
      <c r="DL626" s="1402"/>
      <c r="DM626" s="1402">
        <f t="shared" si="15"/>
        <v>0</v>
      </c>
      <c r="DN626" s="1402"/>
      <c r="DO626" s="1402"/>
      <c r="DP626" s="1402"/>
      <c r="DQ626" s="1402"/>
      <c r="DR626" s="1402">
        <f t="shared" si="16"/>
        <v>0</v>
      </c>
      <c r="DS626" s="1402"/>
      <c r="DT626" s="1402"/>
      <c r="DU626" s="1402"/>
      <c r="DV626" s="1402"/>
      <c r="DX626" s="1369" t="str">
        <f t="shared" si="17"/>
        <v/>
      </c>
      <c r="DY626" s="1370"/>
      <c r="DZ626" s="1370"/>
      <c r="EA626" s="1370"/>
      <c r="EB626" s="1371"/>
      <c r="EC626" s="1369" t="str">
        <f t="shared" si="18"/>
        <v/>
      </c>
      <c r="ED626" s="1370"/>
      <c r="EE626" s="1370"/>
      <c r="EF626" s="1370"/>
      <c r="EG626" s="1371"/>
      <c r="EH626" s="1369" t="str">
        <f t="shared" si="19"/>
        <v/>
      </c>
      <c r="EI626" s="1370"/>
      <c r="EJ626" s="1370"/>
      <c r="EK626" s="1370"/>
      <c r="EL626" s="1371"/>
      <c r="EM626" s="1369" t="str">
        <f t="shared" si="20"/>
        <v/>
      </c>
      <c r="EN626" s="1370"/>
      <c r="EO626" s="1370"/>
      <c r="EP626" s="1370"/>
      <c r="EQ626" s="1371"/>
      <c r="ER626" s="1369" t="str">
        <f t="shared" si="21"/>
        <v/>
      </c>
      <c r="ES626" s="1370"/>
      <c r="ET626" s="1370"/>
      <c r="EU626" s="1370"/>
      <c r="EV626" s="1371"/>
      <c r="EW626" s="1369" t="str">
        <f t="shared" si="22"/>
        <v/>
      </c>
      <c r="EX626" s="1370"/>
      <c r="EY626" s="1370"/>
      <c r="EZ626" s="1370"/>
      <c r="FA626" s="1371"/>
    </row>
    <row r="627" spans="2:157" ht="13.05" customHeight="1">
      <c r="B627" s="51" t="s">
        <v>112</v>
      </c>
      <c r="C627" s="1585" t="s">
        <v>2727</v>
      </c>
      <c r="D627" s="1585"/>
      <c r="E627" s="1585"/>
      <c r="F627" s="1585"/>
      <c r="G627" s="1585"/>
      <c r="H627" s="1585"/>
      <c r="I627" s="1585"/>
      <c r="J627" s="1585"/>
      <c r="K627" s="1585"/>
      <c r="L627" s="1585"/>
      <c r="M627" s="1400" t="s">
        <v>2429</v>
      </c>
      <c r="N627" s="1400"/>
      <c r="O627" s="1400"/>
      <c r="P627" s="1400"/>
      <c r="Q627" s="1364">
        <v>216</v>
      </c>
      <c r="R627" s="1364"/>
      <c r="S627" s="1365"/>
      <c r="T627" s="1363">
        <v>480</v>
      </c>
      <c r="U627" s="1364"/>
      <c r="V627" s="1365"/>
      <c r="W627" s="1589">
        <v>0.06</v>
      </c>
      <c r="X627" s="1590"/>
      <c r="Y627" s="1591"/>
      <c r="Z627" s="1360" t="s">
        <v>2447</v>
      </c>
      <c r="AA627" s="1361"/>
      <c r="AB627" s="1362"/>
      <c r="AC627" s="1449">
        <v>1</v>
      </c>
      <c r="AD627" s="1450"/>
      <c r="AE627" s="1451"/>
      <c r="AF627" s="1596">
        <v>1069443</v>
      </c>
      <c r="AG627" s="1597"/>
      <c r="AH627" s="1597"/>
      <c r="AI627" s="1597"/>
      <c r="AJ627" s="1598"/>
      <c r="AK627" s="1586"/>
      <c r="AL627" s="1587"/>
      <c r="AM627" s="1587"/>
      <c r="AN627" s="1588"/>
      <c r="AO627" s="1609">
        <v>16197385</v>
      </c>
      <c r="AP627" s="1609"/>
      <c r="AQ627" s="1609"/>
      <c r="AR627" s="1609"/>
      <c r="AS627" s="1609"/>
      <c r="AT627" s="3"/>
      <c r="AU627" s="3"/>
      <c r="AZ627" s="3"/>
      <c r="BA627" s="3"/>
      <c r="BB627" s="3"/>
      <c r="BC627" s="3"/>
      <c r="BD627" s="3"/>
      <c r="BE627" s="1369">
        <f t="shared" si="1"/>
        <v>0</v>
      </c>
      <c r="BF627" s="1371"/>
      <c r="BG627" s="1409">
        <f t="shared" si="2"/>
        <v>0</v>
      </c>
      <c r="BH627" s="1410"/>
      <c r="BI627" s="1369">
        <f t="shared" si="3"/>
        <v>0</v>
      </c>
      <c r="BJ627" s="1371"/>
      <c r="BK627" s="1409">
        <f t="shared" si="4"/>
        <v>0</v>
      </c>
      <c r="BL627" s="1410"/>
      <c r="BM627" s="3"/>
      <c r="BN627" s="1406">
        <f t="shared" si="5"/>
        <v>0</v>
      </c>
      <c r="BO627" s="1407"/>
      <c r="BP627" s="1407"/>
      <c r="BQ627" s="1407"/>
      <c r="BR627" s="1408"/>
      <c r="BS627" s="1403">
        <f t="shared" si="6"/>
        <v>0</v>
      </c>
      <c r="BT627" s="1403"/>
      <c r="BU627" s="1403"/>
      <c r="BV627" s="1403"/>
      <c r="BW627" s="1403"/>
      <c r="BX627" s="1403">
        <f t="shared" si="7"/>
        <v>0</v>
      </c>
      <c r="BY627" s="1403"/>
      <c r="BZ627" s="1403"/>
      <c r="CA627" s="1403"/>
      <c r="CB627" s="1403"/>
      <c r="CC627" s="1403">
        <f t="shared" si="8"/>
        <v>0</v>
      </c>
      <c r="CD627" s="1403"/>
      <c r="CE627" s="1403"/>
      <c r="CF627" s="1403"/>
      <c r="CG627" s="1403"/>
      <c r="CH627" s="1403">
        <f t="shared" si="9"/>
        <v>0</v>
      </c>
      <c r="CI627" s="1403"/>
      <c r="CJ627" s="1403"/>
      <c r="CK627" s="1403"/>
      <c r="CL627" s="1403"/>
      <c r="CM627" s="1403">
        <f t="shared" si="10"/>
        <v>0</v>
      </c>
      <c r="CN627" s="1403"/>
      <c r="CO627" s="1403"/>
      <c r="CP627" s="1403"/>
      <c r="CQ627" s="1403"/>
      <c r="CR627" s="6"/>
      <c r="CS627" s="1402">
        <f t="shared" si="11"/>
        <v>0</v>
      </c>
      <c r="CT627" s="1402"/>
      <c r="CU627" s="1402"/>
      <c r="CV627" s="1402"/>
      <c r="CW627" s="1402"/>
      <c r="CX627" s="1402">
        <f t="shared" si="12"/>
        <v>0</v>
      </c>
      <c r="CY627" s="1402"/>
      <c r="CZ627" s="1402"/>
      <c r="DA627" s="1402"/>
      <c r="DB627" s="1402"/>
      <c r="DC627" s="1402">
        <f t="shared" si="13"/>
        <v>0</v>
      </c>
      <c r="DD627" s="1402"/>
      <c r="DE627" s="1402"/>
      <c r="DF627" s="1402"/>
      <c r="DG627" s="1402"/>
      <c r="DH627" s="1402">
        <f t="shared" si="14"/>
        <v>0</v>
      </c>
      <c r="DI627" s="1402"/>
      <c r="DJ627" s="1402"/>
      <c r="DK627" s="1402"/>
      <c r="DL627" s="1402"/>
      <c r="DM627" s="1402">
        <f t="shared" si="15"/>
        <v>0</v>
      </c>
      <c r="DN627" s="1402"/>
      <c r="DO627" s="1402"/>
      <c r="DP627" s="1402"/>
      <c r="DQ627" s="1402"/>
      <c r="DR627" s="1402">
        <f t="shared" si="16"/>
        <v>0</v>
      </c>
      <c r="DS627" s="1402"/>
      <c r="DT627" s="1402"/>
      <c r="DU627" s="1402"/>
      <c r="DV627" s="1402"/>
      <c r="DX627" s="1369" t="str">
        <f t="shared" si="17"/>
        <v/>
      </c>
      <c r="DY627" s="1370"/>
      <c r="DZ627" s="1370"/>
      <c r="EA627" s="1370"/>
      <c r="EB627" s="1371"/>
      <c r="EC627" s="1369" t="str">
        <f t="shared" si="18"/>
        <v/>
      </c>
      <c r="ED627" s="1370"/>
      <c r="EE627" s="1370"/>
      <c r="EF627" s="1370"/>
      <c r="EG627" s="1371"/>
      <c r="EH627" s="1369" t="str">
        <f t="shared" si="19"/>
        <v/>
      </c>
      <c r="EI627" s="1370"/>
      <c r="EJ627" s="1370"/>
      <c r="EK627" s="1370"/>
      <c r="EL627" s="1371"/>
      <c r="EM627" s="1369" t="str">
        <f t="shared" si="20"/>
        <v/>
      </c>
      <c r="EN627" s="1370"/>
      <c r="EO627" s="1370"/>
      <c r="EP627" s="1370"/>
      <c r="EQ627" s="1371"/>
      <c r="ER627" s="1369" t="str">
        <f t="shared" si="21"/>
        <v/>
      </c>
      <c r="ES627" s="1370"/>
      <c r="ET627" s="1370"/>
      <c r="EU627" s="1370"/>
      <c r="EV627" s="1371"/>
      <c r="EW627" s="1369" t="str">
        <f t="shared" si="22"/>
        <v/>
      </c>
      <c r="EX627" s="1370"/>
      <c r="EY627" s="1370"/>
      <c r="EZ627" s="1370"/>
      <c r="FA627" s="1371"/>
    </row>
    <row r="628" spans="2:157" ht="13.05" customHeight="1">
      <c r="B628" s="52" t="s">
        <v>113</v>
      </c>
      <c r="C628" s="1585" t="s">
        <v>1851</v>
      </c>
      <c r="D628" s="1585"/>
      <c r="E628" s="1585"/>
      <c r="F628" s="1585"/>
      <c r="G628" s="1585"/>
      <c r="H628" s="1585"/>
      <c r="I628" s="1585"/>
      <c r="J628" s="1585"/>
      <c r="K628" s="1585"/>
      <c r="L628" s="1585"/>
      <c r="M628" s="1400" t="s">
        <v>2422</v>
      </c>
      <c r="N628" s="1400"/>
      <c r="O628" s="1400"/>
      <c r="P628" s="1400"/>
      <c r="Q628" s="1363"/>
      <c r="R628" s="1364"/>
      <c r="S628" s="1365"/>
      <c r="T628" s="1363"/>
      <c r="U628" s="1364"/>
      <c r="V628" s="1365"/>
      <c r="W628" s="1589"/>
      <c r="X628" s="1590"/>
      <c r="Y628" s="1591"/>
      <c r="Z628" s="1360" t="s">
        <v>466</v>
      </c>
      <c r="AA628" s="1361"/>
      <c r="AB628" s="1362"/>
      <c r="AC628" s="1449"/>
      <c r="AD628" s="1450"/>
      <c r="AE628" s="1451"/>
      <c r="AF628" s="1596"/>
      <c r="AG628" s="1597"/>
      <c r="AH628" s="1597"/>
      <c r="AI628" s="1597"/>
      <c r="AJ628" s="1598"/>
      <c r="AK628" s="1586"/>
      <c r="AL628" s="1587"/>
      <c r="AM628" s="1587"/>
      <c r="AN628" s="1588"/>
      <c r="AO628" s="1592">
        <v>6366461</v>
      </c>
      <c r="AP628" s="1593"/>
      <c r="AQ628" s="1593"/>
      <c r="AR628" s="1593"/>
      <c r="AS628" s="1594"/>
      <c r="AT628" s="1192" t="str">
        <f>IF(AND(NOT(C627=""),C628="",NOT(C629="")),"!","")</f>
        <v/>
      </c>
      <c r="AU628" s="3"/>
      <c r="AZ628" s="3"/>
      <c r="BA628" s="3"/>
      <c r="BB628" s="3"/>
      <c r="BC628" s="3"/>
      <c r="BD628" s="3"/>
      <c r="BE628" s="1369">
        <f t="shared" si="1"/>
        <v>0</v>
      </c>
      <c r="BF628" s="1371"/>
      <c r="BG628" s="1409">
        <f t="shared" si="2"/>
        <v>0</v>
      </c>
      <c r="BH628" s="1410"/>
      <c r="BI628" s="1369">
        <f t="shared" si="3"/>
        <v>0</v>
      </c>
      <c r="BJ628" s="1371"/>
      <c r="BK628" s="1409">
        <f t="shared" si="4"/>
        <v>0</v>
      </c>
      <c r="BL628" s="1410"/>
      <c r="BM628" s="3"/>
      <c r="BN628" s="1406">
        <f t="shared" si="5"/>
        <v>0</v>
      </c>
      <c r="BO628" s="1407"/>
      <c r="BP628" s="1407"/>
      <c r="BQ628" s="1407"/>
      <c r="BR628" s="1408"/>
      <c r="BS628" s="1403">
        <f t="shared" si="6"/>
        <v>0</v>
      </c>
      <c r="BT628" s="1403"/>
      <c r="BU628" s="1403"/>
      <c r="BV628" s="1403"/>
      <c r="BW628" s="1403"/>
      <c r="BX628" s="1403">
        <f t="shared" si="7"/>
        <v>0</v>
      </c>
      <c r="BY628" s="1403"/>
      <c r="BZ628" s="1403"/>
      <c r="CA628" s="1403"/>
      <c r="CB628" s="1403"/>
      <c r="CC628" s="1403">
        <f t="shared" si="8"/>
        <v>0</v>
      </c>
      <c r="CD628" s="1403"/>
      <c r="CE628" s="1403"/>
      <c r="CF628" s="1403"/>
      <c r="CG628" s="1403"/>
      <c r="CH628" s="1403">
        <f t="shared" si="9"/>
        <v>0</v>
      </c>
      <c r="CI628" s="1403"/>
      <c r="CJ628" s="1403"/>
      <c r="CK628" s="1403"/>
      <c r="CL628" s="1403"/>
      <c r="CM628" s="1403">
        <f t="shared" si="10"/>
        <v>0</v>
      </c>
      <c r="CN628" s="1403"/>
      <c r="CO628" s="1403"/>
      <c r="CP628" s="1403"/>
      <c r="CQ628" s="1403"/>
      <c r="CR628" s="6"/>
      <c r="CS628" s="1402">
        <f t="shared" si="11"/>
        <v>0</v>
      </c>
      <c r="CT628" s="1402"/>
      <c r="CU628" s="1402"/>
      <c r="CV628" s="1402"/>
      <c r="CW628" s="1402"/>
      <c r="CX628" s="1402">
        <f t="shared" si="12"/>
        <v>0</v>
      </c>
      <c r="CY628" s="1402"/>
      <c r="CZ628" s="1402"/>
      <c r="DA628" s="1402"/>
      <c r="DB628" s="1402"/>
      <c r="DC628" s="1402">
        <f t="shared" si="13"/>
        <v>0</v>
      </c>
      <c r="DD628" s="1402"/>
      <c r="DE628" s="1402"/>
      <c r="DF628" s="1402"/>
      <c r="DG628" s="1402"/>
      <c r="DH628" s="1402">
        <f t="shared" si="14"/>
        <v>0</v>
      </c>
      <c r="DI628" s="1402"/>
      <c r="DJ628" s="1402"/>
      <c r="DK628" s="1402"/>
      <c r="DL628" s="1402"/>
      <c r="DM628" s="1402">
        <f t="shared" si="15"/>
        <v>0</v>
      </c>
      <c r="DN628" s="1402"/>
      <c r="DO628" s="1402"/>
      <c r="DP628" s="1402"/>
      <c r="DQ628" s="1402"/>
      <c r="DR628" s="1402">
        <f t="shared" si="16"/>
        <v>0</v>
      </c>
      <c r="DS628" s="1402"/>
      <c r="DT628" s="1402"/>
      <c r="DU628" s="1402"/>
      <c r="DV628" s="1402"/>
      <c r="DX628" s="1369" t="str">
        <f t="shared" si="17"/>
        <v/>
      </c>
      <c r="DY628" s="1370"/>
      <c r="DZ628" s="1370"/>
      <c r="EA628" s="1370"/>
      <c r="EB628" s="1371"/>
      <c r="EC628" s="1369" t="str">
        <f t="shared" si="18"/>
        <v/>
      </c>
      <c r="ED628" s="1370"/>
      <c r="EE628" s="1370"/>
      <c r="EF628" s="1370"/>
      <c r="EG628" s="1371"/>
      <c r="EH628" s="1369" t="str">
        <f t="shared" si="19"/>
        <v/>
      </c>
      <c r="EI628" s="1370"/>
      <c r="EJ628" s="1370"/>
      <c r="EK628" s="1370"/>
      <c r="EL628" s="1371"/>
      <c r="EM628" s="1369" t="str">
        <f t="shared" si="20"/>
        <v/>
      </c>
      <c r="EN628" s="1370"/>
      <c r="EO628" s="1370"/>
      <c r="EP628" s="1370"/>
      <c r="EQ628" s="1371"/>
      <c r="ER628" s="1369" t="str">
        <f t="shared" si="21"/>
        <v/>
      </c>
      <c r="ES628" s="1370"/>
      <c r="ET628" s="1370"/>
      <c r="EU628" s="1370"/>
      <c r="EV628" s="1371"/>
      <c r="EW628" s="1369" t="str">
        <f t="shared" si="22"/>
        <v/>
      </c>
      <c r="EX628" s="1370"/>
      <c r="EY628" s="1370"/>
      <c r="EZ628" s="1370"/>
      <c r="FA628" s="1371"/>
    </row>
    <row r="629" spans="2:157" ht="13.05" customHeight="1">
      <c r="B629" s="52" t="s">
        <v>119</v>
      </c>
      <c r="C629" s="1585"/>
      <c r="D629" s="1585"/>
      <c r="E629" s="1585"/>
      <c r="F629" s="1585"/>
      <c r="G629" s="1585"/>
      <c r="H629" s="1585"/>
      <c r="I629" s="1585"/>
      <c r="J629" s="1585"/>
      <c r="K629" s="1585"/>
      <c r="L629" s="1585"/>
      <c r="M629" s="1400" t="s">
        <v>1290</v>
      </c>
      <c r="N629" s="1400"/>
      <c r="O629" s="1400"/>
      <c r="P629" s="1400"/>
      <c r="Q629" s="1363"/>
      <c r="R629" s="1364"/>
      <c r="S629" s="1365"/>
      <c r="T629" s="1363"/>
      <c r="U629" s="1364"/>
      <c r="V629" s="1365"/>
      <c r="W629" s="1589"/>
      <c r="X629" s="1590"/>
      <c r="Y629" s="1591"/>
      <c r="Z629" s="1360" t="s">
        <v>1290</v>
      </c>
      <c r="AA629" s="1361"/>
      <c r="AB629" s="1362"/>
      <c r="AC629" s="1449"/>
      <c r="AD629" s="1450"/>
      <c r="AE629" s="1451"/>
      <c r="AF629" s="1596"/>
      <c r="AG629" s="1597"/>
      <c r="AH629" s="1597"/>
      <c r="AI629" s="1597"/>
      <c r="AJ629" s="1598"/>
      <c r="AK629" s="1586"/>
      <c r="AL629" s="1587"/>
      <c r="AM629" s="1587"/>
      <c r="AN629" s="1588"/>
      <c r="AO629" s="1592"/>
      <c r="AP629" s="1593"/>
      <c r="AQ629" s="1593"/>
      <c r="AR629" s="1593"/>
      <c r="AS629" s="1594"/>
      <c r="AT629" s="1192" t="str">
        <f t="shared" ref="AT629:AT638" si="23">IF(AND(NOT(C628=""),C629="",NOT(C630="")),"!","")</f>
        <v/>
      </c>
      <c r="AU629" s="3"/>
      <c r="AZ629" s="3"/>
      <c r="BA629" s="3"/>
      <c r="BB629" s="3"/>
      <c r="BC629" s="3"/>
      <c r="BD629" s="3"/>
      <c r="BE629" s="1369">
        <f t="shared" si="1"/>
        <v>0</v>
      </c>
      <c r="BF629" s="1371"/>
      <c r="BG629" s="1409">
        <f t="shared" si="2"/>
        <v>0</v>
      </c>
      <c r="BH629" s="1410"/>
      <c r="BI629" s="1369">
        <f t="shared" si="3"/>
        <v>0</v>
      </c>
      <c r="BJ629" s="1371"/>
      <c r="BK629" s="1409">
        <f t="shared" si="4"/>
        <v>0</v>
      </c>
      <c r="BL629" s="1410"/>
      <c r="BM629" s="3"/>
      <c r="BN629" s="1406">
        <f t="shared" si="5"/>
        <v>0</v>
      </c>
      <c r="BO629" s="1407"/>
      <c r="BP629" s="1407"/>
      <c r="BQ629" s="1407"/>
      <c r="BR629" s="1408"/>
      <c r="BS629" s="1403">
        <f t="shared" si="6"/>
        <v>0</v>
      </c>
      <c r="BT629" s="1403"/>
      <c r="BU629" s="1403"/>
      <c r="BV629" s="1403"/>
      <c r="BW629" s="1403"/>
      <c r="BX629" s="1403">
        <f t="shared" si="7"/>
        <v>0</v>
      </c>
      <c r="BY629" s="1403"/>
      <c r="BZ629" s="1403"/>
      <c r="CA629" s="1403"/>
      <c r="CB629" s="1403"/>
      <c r="CC629" s="1403">
        <f t="shared" si="8"/>
        <v>0</v>
      </c>
      <c r="CD629" s="1403"/>
      <c r="CE629" s="1403"/>
      <c r="CF629" s="1403"/>
      <c r="CG629" s="1403"/>
      <c r="CH629" s="1403">
        <f t="shared" si="9"/>
        <v>0</v>
      </c>
      <c r="CI629" s="1403"/>
      <c r="CJ629" s="1403"/>
      <c r="CK629" s="1403"/>
      <c r="CL629" s="1403"/>
      <c r="CM629" s="1403">
        <f t="shared" si="10"/>
        <v>0</v>
      </c>
      <c r="CN629" s="1403"/>
      <c r="CO629" s="1403"/>
      <c r="CP629" s="1403"/>
      <c r="CQ629" s="1403"/>
      <c r="CR629" s="6"/>
      <c r="CS629" s="1402">
        <f t="shared" si="11"/>
        <v>0</v>
      </c>
      <c r="CT629" s="1402"/>
      <c r="CU629" s="1402"/>
      <c r="CV629" s="1402"/>
      <c r="CW629" s="1402"/>
      <c r="CX629" s="1402">
        <f t="shared" si="12"/>
        <v>0</v>
      </c>
      <c r="CY629" s="1402"/>
      <c r="CZ629" s="1402"/>
      <c r="DA629" s="1402"/>
      <c r="DB629" s="1402"/>
      <c r="DC629" s="1402">
        <f t="shared" si="13"/>
        <v>0</v>
      </c>
      <c r="DD629" s="1402"/>
      <c r="DE629" s="1402"/>
      <c r="DF629" s="1402"/>
      <c r="DG629" s="1402"/>
      <c r="DH629" s="1402">
        <f t="shared" si="14"/>
        <v>0</v>
      </c>
      <c r="DI629" s="1402"/>
      <c r="DJ629" s="1402"/>
      <c r="DK629" s="1402"/>
      <c r="DL629" s="1402"/>
      <c r="DM629" s="1402">
        <f t="shared" si="15"/>
        <v>0</v>
      </c>
      <c r="DN629" s="1402"/>
      <c r="DO629" s="1402"/>
      <c r="DP629" s="1402"/>
      <c r="DQ629" s="1402"/>
      <c r="DR629" s="1402">
        <f t="shared" si="16"/>
        <v>0</v>
      </c>
      <c r="DS629" s="1402"/>
      <c r="DT629" s="1402"/>
      <c r="DU629" s="1402"/>
      <c r="DV629" s="1402"/>
      <c r="DX629" s="1369" t="str">
        <f t="shared" si="17"/>
        <v/>
      </c>
      <c r="DY629" s="1370"/>
      <c r="DZ629" s="1370"/>
      <c r="EA629" s="1370"/>
      <c r="EB629" s="1371"/>
      <c r="EC629" s="1369" t="str">
        <f t="shared" si="18"/>
        <v/>
      </c>
      <c r="ED629" s="1370"/>
      <c r="EE629" s="1370"/>
      <c r="EF629" s="1370"/>
      <c r="EG629" s="1371"/>
      <c r="EH629" s="1369" t="str">
        <f t="shared" si="19"/>
        <v/>
      </c>
      <c r="EI629" s="1370"/>
      <c r="EJ629" s="1370"/>
      <c r="EK629" s="1370"/>
      <c r="EL629" s="1371"/>
      <c r="EM629" s="1369" t="str">
        <f t="shared" si="20"/>
        <v/>
      </c>
      <c r="EN629" s="1370"/>
      <c r="EO629" s="1370"/>
      <c r="EP629" s="1370"/>
      <c r="EQ629" s="1371"/>
      <c r="ER629" s="1369" t="str">
        <f t="shared" si="21"/>
        <v/>
      </c>
      <c r="ES629" s="1370"/>
      <c r="ET629" s="1370"/>
      <c r="EU629" s="1370"/>
      <c r="EV629" s="1371"/>
      <c r="EW629" s="1369" t="str">
        <f t="shared" si="22"/>
        <v/>
      </c>
      <c r="EX629" s="1370"/>
      <c r="EY629" s="1370"/>
      <c r="EZ629" s="1370"/>
      <c r="FA629" s="1371"/>
    </row>
    <row r="630" spans="2:157" ht="13.05" customHeight="1">
      <c r="B630" s="52" t="s">
        <v>589</v>
      </c>
      <c r="C630" s="1359"/>
      <c r="D630" s="1359"/>
      <c r="E630" s="1359"/>
      <c r="F630" s="1359"/>
      <c r="G630" s="1359"/>
      <c r="H630" s="1359"/>
      <c r="I630" s="1359"/>
      <c r="J630" s="1359"/>
      <c r="K630" s="1359"/>
      <c r="L630" s="1359"/>
      <c r="M630" s="1400" t="s">
        <v>1290</v>
      </c>
      <c r="N630" s="1400"/>
      <c r="O630" s="1400"/>
      <c r="P630" s="1400"/>
      <c r="Q630" s="1363"/>
      <c r="R630" s="1364"/>
      <c r="S630" s="1365"/>
      <c r="T630" s="1363"/>
      <c r="U630" s="1364"/>
      <c r="V630" s="1365"/>
      <c r="W630" s="1589"/>
      <c r="X630" s="1590"/>
      <c r="Y630" s="1591"/>
      <c r="Z630" s="1360" t="s">
        <v>1290</v>
      </c>
      <c r="AA630" s="1361"/>
      <c r="AB630" s="1362"/>
      <c r="AC630" s="1449"/>
      <c r="AD630" s="1450"/>
      <c r="AE630" s="1451"/>
      <c r="AF630" s="1596"/>
      <c r="AG630" s="1597"/>
      <c r="AH630" s="1597"/>
      <c r="AI630" s="1597"/>
      <c r="AJ630" s="1598"/>
      <c r="AK630" s="1586"/>
      <c r="AL630" s="1587"/>
      <c r="AM630" s="1587"/>
      <c r="AN630" s="1588"/>
      <c r="AO630" s="1592"/>
      <c r="AP630" s="1593"/>
      <c r="AQ630" s="1593"/>
      <c r="AR630" s="1593"/>
      <c r="AS630" s="1594"/>
      <c r="AT630" s="1192" t="str">
        <f t="shared" si="23"/>
        <v/>
      </c>
      <c r="AU630" s="3"/>
      <c r="AZ630" s="3"/>
      <c r="BA630" s="3"/>
      <c r="BB630" s="3"/>
      <c r="BC630" s="3"/>
      <c r="BD630" s="3"/>
      <c r="BE630" s="1369">
        <f t="shared" si="1"/>
        <v>0</v>
      </c>
      <c r="BF630" s="1371"/>
      <c r="BG630" s="1409">
        <f t="shared" si="2"/>
        <v>0</v>
      </c>
      <c r="BH630" s="1410"/>
      <c r="BI630" s="1369">
        <f t="shared" si="3"/>
        <v>0</v>
      </c>
      <c r="BJ630" s="1371"/>
      <c r="BK630" s="1409">
        <f t="shared" si="4"/>
        <v>0</v>
      </c>
      <c r="BL630" s="1410"/>
      <c r="BM630" s="3"/>
      <c r="BN630" s="1406">
        <f t="shared" si="5"/>
        <v>0</v>
      </c>
      <c r="BO630" s="1407"/>
      <c r="BP630" s="1407"/>
      <c r="BQ630" s="1407"/>
      <c r="BR630" s="1408"/>
      <c r="BS630" s="1403">
        <f t="shared" si="6"/>
        <v>0</v>
      </c>
      <c r="BT630" s="1403"/>
      <c r="BU630" s="1403"/>
      <c r="BV630" s="1403"/>
      <c r="BW630" s="1403"/>
      <c r="BX630" s="1403">
        <f t="shared" si="7"/>
        <v>0</v>
      </c>
      <c r="BY630" s="1403"/>
      <c r="BZ630" s="1403"/>
      <c r="CA630" s="1403"/>
      <c r="CB630" s="1403"/>
      <c r="CC630" s="1403">
        <f t="shared" si="8"/>
        <v>0</v>
      </c>
      <c r="CD630" s="1403"/>
      <c r="CE630" s="1403"/>
      <c r="CF630" s="1403"/>
      <c r="CG630" s="1403"/>
      <c r="CH630" s="1403">
        <f t="shared" si="9"/>
        <v>0</v>
      </c>
      <c r="CI630" s="1403"/>
      <c r="CJ630" s="1403"/>
      <c r="CK630" s="1403"/>
      <c r="CL630" s="1403"/>
      <c r="CM630" s="1403">
        <f t="shared" si="10"/>
        <v>0</v>
      </c>
      <c r="CN630" s="1403"/>
      <c r="CO630" s="1403"/>
      <c r="CP630" s="1403"/>
      <c r="CQ630" s="1403"/>
      <c r="CR630" s="6"/>
      <c r="CS630" s="1402">
        <f t="shared" si="11"/>
        <v>0</v>
      </c>
      <c r="CT630" s="1402"/>
      <c r="CU630" s="1402"/>
      <c r="CV630" s="1402"/>
      <c r="CW630" s="1402"/>
      <c r="CX630" s="1402">
        <f t="shared" si="12"/>
        <v>0</v>
      </c>
      <c r="CY630" s="1402"/>
      <c r="CZ630" s="1402"/>
      <c r="DA630" s="1402"/>
      <c r="DB630" s="1402"/>
      <c r="DC630" s="1402">
        <f t="shared" si="13"/>
        <v>0</v>
      </c>
      <c r="DD630" s="1402"/>
      <c r="DE630" s="1402"/>
      <c r="DF630" s="1402"/>
      <c r="DG630" s="1402"/>
      <c r="DH630" s="1402">
        <f t="shared" si="14"/>
        <v>0</v>
      </c>
      <c r="DI630" s="1402"/>
      <c r="DJ630" s="1402"/>
      <c r="DK630" s="1402"/>
      <c r="DL630" s="1402"/>
      <c r="DM630" s="1402">
        <f t="shared" si="15"/>
        <v>0</v>
      </c>
      <c r="DN630" s="1402"/>
      <c r="DO630" s="1402"/>
      <c r="DP630" s="1402"/>
      <c r="DQ630" s="1402"/>
      <c r="DR630" s="1402">
        <f t="shared" si="16"/>
        <v>0</v>
      </c>
      <c r="DS630" s="1402"/>
      <c r="DT630" s="1402"/>
      <c r="DU630" s="1402"/>
      <c r="DV630" s="1402"/>
      <c r="DX630" s="1369" t="str">
        <f t="shared" si="17"/>
        <v/>
      </c>
      <c r="DY630" s="1370"/>
      <c r="DZ630" s="1370"/>
      <c r="EA630" s="1370"/>
      <c r="EB630" s="1371"/>
      <c r="EC630" s="1369" t="str">
        <f t="shared" si="18"/>
        <v/>
      </c>
      <c r="ED630" s="1370"/>
      <c r="EE630" s="1370"/>
      <c r="EF630" s="1370"/>
      <c r="EG630" s="1371"/>
      <c r="EH630" s="1369" t="str">
        <f t="shared" si="19"/>
        <v/>
      </c>
      <c r="EI630" s="1370"/>
      <c r="EJ630" s="1370"/>
      <c r="EK630" s="1370"/>
      <c r="EL630" s="1371"/>
      <c r="EM630" s="1369" t="str">
        <f t="shared" si="20"/>
        <v/>
      </c>
      <c r="EN630" s="1370"/>
      <c r="EO630" s="1370"/>
      <c r="EP630" s="1370"/>
      <c r="EQ630" s="1371"/>
      <c r="ER630" s="1369" t="str">
        <f t="shared" si="21"/>
        <v/>
      </c>
      <c r="ES630" s="1370"/>
      <c r="ET630" s="1370"/>
      <c r="EU630" s="1370"/>
      <c r="EV630" s="1371"/>
      <c r="EW630" s="1369" t="str">
        <f t="shared" si="22"/>
        <v/>
      </c>
      <c r="EX630" s="1370"/>
      <c r="EY630" s="1370"/>
      <c r="EZ630" s="1370"/>
      <c r="FA630" s="1371"/>
    </row>
    <row r="631" spans="2:157" ht="13.05" customHeight="1">
      <c r="B631" s="52" t="s">
        <v>772</v>
      </c>
      <c r="C631" s="1359"/>
      <c r="D631" s="1359"/>
      <c r="E631" s="1359"/>
      <c r="F631" s="1359"/>
      <c r="G631" s="1359"/>
      <c r="H631" s="1359"/>
      <c r="I631" s="1359"/>
      <c r="J631" s="1359"/>
      <c r="K631" s="1359"/>
      <c r="L631" s="1359"/>
      <c r="M631" s="1400" t="s">
        <v>1290</v>
      </c>
      <c r="N631" s="1400"/>
      <c r="O631" s="1400"/>
      <c r="P631" s="1400"/>
      <c r="Q631" s="1363"/>
      <c r="R631" s="1364"/>
      <c r="S631" s="1365"/>
      <c r="T631" s="1363"/>
      <c r="U631" s="1364"/>
      <c r="V631" s="1365"/>
      <c r="W631" s="1589"/>
      <c r="X631" s="1590"/>
      <c r="Y631" s="1591"/>
      <c r="Z631" s="1360" t="s">
        <v>1290</v>
      </c>
      <c r="AA631" s="1361"/>
      <c r="AB631" s="1362"/>
      <c r="AC631" s="1449"/>
      <c r="AD631" s="1450"/>
      <c r="AE631" s="1451"/>
      <c r="AF631" s="1596"/>
      <c r="AG631" s="1597"/>
      <c r="AH631" s="1597"/>
      <c r="AI631" s="1597"/>
      <c r="AJ631" s="1598"/>
      <c r="AK631" s="1586"/>
      <c r="AL631" s="1587"/>
      <c r="AM631" s="1587"/>
      <c r="AN631" s="1588"/>
      <c r="AO631" s="1592"/>
      <c r="AP631" s="1593"/>
      <c r="AQ631" s="1593"/>
      <c r="AR631" s="1593"/>
      <c r="AS631" s="1594"/>
      <c r="AT631" s="1192" t="str">
        <f t="shared" si="23"/>
        <v/>
      </c>
      <c r="AU631" s="3"/>
      <c r="AZ631" s="3"/>
      <c r="BA631" s="3"/>
      <c r="BB631" s="3"/>
      <c r="BC631" s="3"/>
      <c r="BD631" s="3"/>
      <c r="BE631" s="1369">
        <f t="shared" si="1"/>
        <v>0</v>
      </c>
      <c r="BF631" s="1371"/>
      <c r="BG631" s="1409">
        <f t="shared" si="2"/>
        <v>0</v>
      </c>
      <c r="BH631" s="1410"/>
      <c r="BI631" s="1369">
        <f t="shared" si="3"/>
        <v>0</v>
      </c>
      <c r="BJ631" s="1371"/>
      <c r="BK631" s="1409">
        <f t="shared" si="4"/>
        <v>0</v>
      </c>
      <c r="BL631" s="1410"/>
      <c r="BM631" s="3"/>
      <c r="BN631" s="1406">
        <f t="shared" si="5"/>
        <v>0</v>
      </c>
      <c r="BO631" s="1407"/>
      <c r="BP631" s="1407"/>
      <c r="BQ631" s="1407"/>
      <c r="BR631" s="1408"/>
      <c r="BS631" s="1403">
        <f t="shared" si="6"/>
        <v>0</v>
      </c>
      <c r="BT631" s="1403"/>
      <c r="BU631" s="1403"/>
      <c r="BV631" s="1403"/>
      <c r="BW631" s="1403"/>
      <c r="BX631" s="1403">
        <f t="shared" si="7"/>
        <v>0</v>
      </c>
      <c r="BY631" s="1403"/>
      <c r="BZ631" s="1403"/>
      <c r="CA631" s="1403"/>
      <c r="CB631" s="1403"/>
      <c r="CC631" s="1403">
        <f t="shared" si="8"/>
        <v>0</v>
      </c>
      <c r="CD631" s="1403"/>
      <c r="CE631" s="1403"/>
      <c r="CF631" s="1403"/>
      <c r="CG631" s="1403"/>
      <c r="CH631" s="1403">
        <f t="shared" si="9"/>
        <v>0</v>
      </c>
      <c r="CI631" s="1403"/>
      <c r="CJ631" s="1403"/>
      <c r="CK631" s="1403"/>
      <c r="CL631" s="1403"/>
      <c r="CM631" s="1403">
        <f t="shared" si="10"/>
        <v>0</v>
      </c>
      <c r="CN631" s="1403"/>
      <c r="CO631" s="1403"/>
      <c r="CP631" s="1403"/>
      <c r="CQ631" s="1403"/>
      <c r="CR631" s="6"/>
      <c r="CS631" s="1402">
        <f t="shared" si="11"/>
        <v>0</v>
      </c>
      <c r="CT631" s="1402"/>
      <c r="CU631" s="1402"/>
      <c r="CV631" s="1402"/>
      <c r="CW631" s="1402"/>
      <c r="CX631" s="1402">
        <f t="shared" si="12"/>
        <v>0</v>
      </c>
      <c r="CY631" s="1402"/>
      <c r="CZ631" s="1402"/>
      <c r="DA631" s="1402"/>
      <c r="DB631" s="1402"/>
      <c r="DC631" s="1402">
        <f t="shared" si="13"/>
        <v>0</v>
      </c>
      <c r="DD631" s="1402"/>
      <c r="DE631" s="1402"/>
      <c r="DF631" s="1402"/>
      <c r="DG631" s="1402"/>
      <c r="DH631" s="1402">
        <f t="shared" si="14"/>
        <v>0</v>
      </c>
      <c r="DI631" s="1402"/>
      <c r="DJ631" s="1402"/>
      <c r="DK631" s="1402"/>
      <c r="DL631" s="1402"/>
      <c r="DM631" s="1402">
        <f t="shared" si="15"/>
        <v>0</v>
      </c>
      <c r="DN631" s="1402"/>
      <c r="DO631" s="1402"/>
      <c r="DP631" s="1402"/>
      <c r="DQ631" s="1402"/>
      <c r="DR631" s="1402">
        <f t="shared" si="16"/>
        <v>0</v>
      </c>
      <c r="DS631" s="1402"/>
      <c r="DT631" s="1402"/>
      <c r="DU631" s="1402"/>
      <c r="DV631" s="1402"/>
      <c r="DX631" s="1369" t="str">
        <f t="shared" si="17"/>
        <v/>
      </c>
      <c r="DY631" s="1370"/>
      <c r="DZ631" s="1370"/>
      <c r="EA631" s="1370"/>
      <c r="EB631" s="1371"/>
      <c r="EC631" s="1369" t="str">
        <f t="shared" si="18"/>
        <v/>
      </c>
      <c r="ED631" s="1370"/>
      <c r="EE631" s="1370"/>
      <c r="EF631" s="1370"/>
      <c r="EG631" s="1371"/>
      <c r="EH631" s="1369" t="str">
        <f t="shared" si="19"/>
        <v/>
      </c>
      <c r="EI631" s="1370"/>
      <c r="EJ631" s="1370"/>
      <c r="EK631" s="1370"/>
      <c r="EL631" s="1371"/>
      <c r="EM631" s="1369" t="str">
        <f t="shared" si="20"/>
        <v/>
      </c>
      <c r="EN631" s="1370"/>
      <c r="EO631" s="1370"/>
      <c r="EP631" s="1370"/>
      <c r="EQ631" s="1371"/>
      <c r="ER631" s="1369" t="str">
        <f t="shared" si="21"/>
        <v/>
      </c>
      <c r="ES631" s="1370"/>
      <c r="ET631" s="1370"/>
      <c r="EU631" s="1370"/>
      <c r="EV631" s="1371"/>
      <c r="EW631" s="1369" t="str">
        <f t="shared" si="22"/>
        <v/>
      </c>
      <c r="EX631" s="1370"/>
      <c r="EY631" s="1370"/>
      <c r="EZ631" s="1370"/>
      <c r="FA631" s="1371"/>
    </row>
    <row r="632" spans="2:157" ht="13.05" customHeight="1">
      <c r="B632" s="52" t="s">
        <v>592</v>
      </c>
      <c r="C632" s="1359"/>
      <c r="D632" s="1359"/>
      <c r="E632" s="1359"/>
      <c r="F632" s="1359"/>
      <c r="G632" s="1359"/>
      <c r="H632" s="1359"/>
      <c r="I632" s="1359"/>
      <c r="J632" s="1359"/>
      <c r="K632" s="1359"/>
      <c r="L632" s="1359"/>
      <c r="M632" s="1400" t="s">
        <v>1290</v>
      </c>
      <c r="N632" s="1400"/>
      <c r="O632" s="1400"/>
      <c r="P632" s="1400"/>
      <c r="Q632" s="1363"/>
      <c r="R632" s="1364"/>
      <c r="S632" s="1365"/>
      <c r="T632" s="1363"/>
      <c r="U632" s="1364"/>
      <c r="V632" s="1365"/>
      <c r="W632" s="1589"/>
      <c r="X632" s="1590"/>
      <c r="Y632" s="1591"/>
      <c r="Z632" s="1360" t="s">
        <v>1290</v>
      </c>
      <c r="AA632" s="1361"/>
      <c r="AB632" s="1362"/>
      <c r="AC632" s="1449"/>
      <c r="AD632" s="1450"/>
      <c r="AE632" s="1451"/>
      <c r="AF632" s="1596"/>
      <c r="AG632" s="1597"/>
      <c r="AH632" s="1597"/>
      <c r="AI632" s="1597"/>
      <c r="AJ632" s="1598"/>
      <c r="AK632" s="1586"/>
      <c r="AL632" s="1587"/>
      <c r="AM632" s="1587"/>
      <c r="AN632" s="1588"/>
      <c r="AO632" s="1592"/>
      <c r="AP632" s="1593"/>
      <c r="AQ632" s="1593"/>
      <c r="AR632" s="1593"/>
      <c r="AS632" s="1594"/>
      <c r="AT632" s="1192" t="str">
        <f t="shared" si="23"/>
        <v/>
      </c>
      <c r="AU632" s="3"/>
      <c r="AZ632" s="3"/>
      <c r="BA632" s="3"/>
      <c r="BB632" s="3"/>
      <c r="BC632" s="3"/>
      <c r="BD632" s="3"/>
      <c r="BE632" s="3"/>
      <c r="BF632" s="3"/>
      <c r="BG632" s="1369">
        <f>SUM(BG597:BH631)</f>
        <v>0</v>
      </c>
      <c r="BH632" s="1371"/>
      <c r="BI632" s="3"/>
      <c r="BJ632" s="3"/>
      <c r="BK632" s="1369">
        <f>SUM(BK597:BL631)</f>
        <v>42</v>
      </c>
      <c r="BL632" s="1371"/>
      <c r="BM632" s="3"/>
      <c r="BN632" s="1369">
        <f>SUM(BN597:BR631)</f>
        <v>0</v>
      </c>
      <c r="BO632" s="1370"/>
      <c r="BP632" s="1370"/>
      <c r="BQ632" s="1370"/>
      <c r="BR632" s="1371"/>
      <c r="BS632" s="1401">
        <f>SUM(BS597:BW631)</f>
        <v>42</v>
      </c>
      <c r="BT632" s="1401"/>
      <c r="BU632" s="1401"/>
      <c r="BV632" s="1401"/>
      <c r="BW632" s="1401"/>
      <c r="BX632" s="1401">
        <f>SUM(BX597:CB631)</f>
        <v>48</v>
      </c>
      <c r="BY632" s="1401"/>
      <c r="BZ632" s="1401"/>
      <c r="CA632" s="1401"/>
      <c r="CB632" s="1401"/>
      <c r="CC632" s="1401">
        <f>SUM(CC597:CG631)</f>
        <v>49</v>
      </c>
      <c r="CD632" s="1401"/>
      <c r="CE632" s="1401"/>
      <c r="CF632" s="1401"/>
      <c r="CG632" s="1401"/>
      <c r="CH632" s="1401">
        <f>SUM(CH597:CL631)</f>
        <v>0</v>
      </c>
      <c r="CI632" s="1401"/>
      <c r="CJ632" s="1401"/>
      <c r="CK632" s="1401"/>
      <c r="CL632" s="1401"/>
      <c r="CM632" s="1401">
        <f>SUM(CM597:CQ631)</f>
        <v>0</v>
      </c>
      <c r="CN632" s="1401"/>
      <c r="CO632" s="1401"/>
      <c r="CP632" s="1401"/>
      <c r="CQ632" s="1401"/>
      <c r="CR632" s="385"/>
      <c r="CS632" s="1401">
        <f>SUM(CS597:CW631)</f>
        <v>0</v>
      </c>
      <c r="CT632" s="1401"/>
      <c r="CU632" s="1401"/>
      <c r="CV632" s="1401"/>
      <c r="CW632" s="1401"/>
      <c r="CX632" s="1401">
        <f>SUM(CX597:DB631)</f>
        <v>14</v>
      </c>
      <c r="CY632" s="1401"/>
      <c r="CZ632" s="1401"/>
      <c r="DA632" s="1401"/>
      <c r="DB632" s="1401"/>
      <c r="DC632" s="1401">
        <f>SUM(DC597:DG631)</f>
        <v>14</v>
      </c>
      <c r="DD632" s="1401"/>
      <c r="DE632" s="1401"/>
      <c r="DF632" s="1401"/>
      <c r="DG632" s="1401"/>
      <c r="DH632" s="1401">
        <f>SUM(DH597:DL631)</f>
        <v>14</v>
      </c>
      <c r="DI632" s="1401"/>
      <c r="DJ632" s="1401"/>
      <c r="DK632" s="1401"/>
      <c r="DL632" s="1401"/>
      <c r="DM632" s="1401">
        <f>SUM(DM597:DQ631)</f>
        <v>0</v>
      </c>
      <c r="DN632" s="1401"/>
      <c r="DO632" s="1401"/>
      <c r="DP632" s="1401"/>
      <c r="DQ632" s="1401"/>
      <c r="DR632" s="1401">
        <f>SUM(DR597:DV631)</f>
        <v>0</v>
      </c>
      <c r="DS632" s="1401"/>
      <c r="DT632" s="1401"/>
      <c r="DU632" s="1401"/>
      <c r="DV632" s="1401"/>
      <c r="DX632" s="1401">
        <f>SUM(DX597:EB631)</f>
        <v>0</v>
      </c>
      <c r="DY632" s="1401"/>
      <c r="DZ632" s="1401"/>
      <c r="EA632" s="1401"/>
      <c r="EB632" s="1401"/>
      <c r="EC632" s="1401">
        <f>SUM(EC597:EG631)</f>
        <v>2970</v>
      </c>
      <c r="ED632" s="1401"/>
      <c r="EE632" s="1401"/>
      <c r="EF632" s="1401"/>
      <c r="EG632" s="1401"/>
      <c r="EH632" s="1401">
        <f>SUM(EH597:EL631)</f>
        <v>4169</v>
      </c>
      <c r="EI632" s="1401"/>
      <c r="EJ632" s="1401"/>
      <c r="EK632" s="1401"/>
      <c r="EL632" s="1401"/>
      <c r="EM632" s="1401">
        <f>SUM(EM597:EQ631)</f>
        <v>4791</v>
      </c>
      <c r="EN632" s="1401"/>
      <c r="EO632" s="1401"/>
      <c r="EP632" s="1401"/>
      <c r="EQ632" s="1401"/>
      <c r="ER632" s="1401">
        <f>SUM(ER597:EV631)</f>
        <v>0</v>
      </c>
      <c r="ES632" s="1401"/>
      <c r="ET632" s="1401"/>
      <c r="EU632" s="1401"/>
      <c r="EV632" s="1401"/>
      <c r="EW632" s="1401">
        <f>SUM(EW597:FA631)</f>
        <v>0</v>
      </c>
      <c r="EX632" s="1401"/>
      <c r="EY632" s="1401"/>
      <c r="EZ632" s="1401"/>
      <c r="FA632" s="1401"/>
    </row>
    <row r="633" spans="2:157" ht="13.05" customHeight="1">
      <c r="B633" s="52" t="s">
        <v>463</v>
      </c>
      <c r="C633" s="1359"/>
      <c r="D633" s="1359"/>
      <c r="E633" s="1359"/>
      <c r="F633" s="1359"/>
      <c r="G633" s="1359"/>
      <c r="H633" s="1359"/>
      <c r="I633" s="1359"/>
      <c r="J633" s="1359"/>
      <c r="K633" s="1359"/>
      <c r="L633" s="1359"/>
      <c r="M633" s="1400" t="s">
        <v>1290</v>
      </c>
      <c r="N633" s="1400"/>
      <c r="O633" s="1400"/>
      <c r="P633" s="1400"/>
      <c r="Q633" s="1363"/>
      <c r="R633" s="1364"/>
      <c r="S633" s="1365"/>
      <c r="T633" s="1363"/>
      <c r="U633" s="1364"/>
      <c r="V633" s="1365"/>
      <c r="W633" s="1589"/>
      <c r="X633" s="1590"/>
      <c r="Y633" s="1591"/>
      <c r="Z633" s="1360" t="s">
        <v>1290</v>
      </c>
      <c r="AA633" s="1361"/>
      <c r="AB633" s="1362"/>
      <c r="AC633" s="1449"/>
      <c r="AD633" s="1450"/>
      <c r="AE633" s="1451"/>
      <c r="AF633" s="1596"/>
      <c r="AG633" s="1597"/>
      <c r="AH633" s="1597"/>
      <c r="AI633" s="1597"/>
      <c r="AJ633" s="1598"/>
      <c r="AK633" s="1586"/>
      <c r="AL633" s="1587"/>
      <c r="AM633" s="1587"/>
      <c r="AN633" s="1588"/>
      <c r="AO633" s="1592"/>
      <c r="AP633" s="1593"/>
      <c r="AQ633" s="1593"/>
      <c r="AR633" s="1593"/>
      <c r="AS633" s="159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69">
        <f>BN632+BS632+BX632+CC632+CH632+CM632</f>
        <v>139</v>
      </c>
      <c r="CN633" s="1370"/>
      <c r="CO633" s="1370"/>
      <c r="CP633" s="1370"/>
      <c r="CQ633" s="1371"/>
      <c r="CR633" s="385"/>
      <c r="CS633" s="3"/>
      <c r="CT633" s="3"/>
      <c r="CU633" s="3"/>
      <c r="CV633" s="3"/>
      <c r="CW633" s="3"/>
      <c r="CX633" s="3"/>
      <c r="CY633" s="3"/>
      <c r="CZ633" s="3"/>
      <c r="DA633" s="3"/>
      <c r="DB633" s="3"/>
      <c r="DC633" s="3"/>
      <c r="DD633" s="3"/>
      <c r="DE633" s="3"/>
      <c r="DF633" s="3"/>
    </row>
    <row r="634" spans="2:157" ht="13.05" customHeight="1">
      <c r="B634" s="52" t="s">
        <v>464</v>
      </c>
      <c r="C634" s="1359"/>
      <c r="D634" s="1359"/>
      <c r="E634" s="1359"/>
      <c r="F634" s="1359"/>
      <c r="G634" s="1359"/>
      <c r="H634" s="1359"/>
      <c r="I634" s="1359"/>
      <c r="J634" s="1359"/>
      <c r="K634" s="1359"/>
      <c r="L634" s="1359"/>
      <c r="M634" s="1400" t="s">
        <v>1290</v>
      </c>
      <c r="N634" s="1400"/>
      <c r="O634" s="1400"/>
      <c r="P634" s="1400"/>
      <c r="Q634" s="1363"/>
      <c r="R634" s="1364"/>
      <c r="S634" s="1365"/>
      <c r="T634" s="1363"/>
      <c r="U634" s="1364"/>
      <c r="V634" s="1365"/>
      <c r="W634" s="1589"/>
      <c r="X634" s="1590"/>
      <c r="Y634" s="1591"/>
      <c r="Z634" s="1360" t="s">
        <v>1290</v>
      </c>
      <c r="AA634" s="1361"/>
      <c r="AB634" s="1362"/>
      <c r="AC634" s="1449"/>
      <c r="AD634" s="1450"/>
      <c r="AE634" s="1451"/>
      <c r="AF634" s="1596"/>
      <c r="AG634" s="1597"/>
      <c r="AH634" s="1597"/>
      <c r="AI634" s="1597"/>
      <c r="AJ634" s="1598"/>
      <c r="AK634" s="1586"/>
      <c r="AL634" s="1587"/>
      <c r="AM634" s="1587"/>
      <c r="AN634" s="1588"/>
      <c r="AO634" s="1592"/>
      <c r="AP634" s="1593"/>
      <c r="AQ634" s="1593"/>
      <c r="AR634" s="1593"/>
      <c r="AS634" s="1594"/>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42</v>
      </c>
      <c r="BX634" s="3"/>
      <c r="BY634" s="3"/>
      <c r="BZ634" s="3"/>
      <c r="CA634" s="3"/>
      <c r="CB634" s="895">
        <f>BX632*2</f>
        <v>96</v>
      </c>
      <c r="CC634" s="3"/>
      <c r="CD634" s="3"/>
      <c r="CE634" s="3"/>
      <c r="CF634" s="3"/>
      <c r="CG634" s="895">
        <f>CC632*3</f>
        <v>147</v>
      </c>
      <c r="CH634" s="3"/>
      <c r="CI634" s="3"/>
      <c r="CJ634" s="3"/>
      <c r="CK634" s="3"/>
      <c r="CL634" s="895">
        <f>CH632*4</f>
        <v>0</v>
      </c>
      <c r="CM634" s="3"/>
      <c r="CN634" s="3"/>
      <c r="CO634" s="3"/>
      <c r="CP634" s="3"/>
      <c r="CQ634" s="895">
        <f>CM632*5</f>
        <v>0</v>
      </c>
      <c r="CS634" s="895">
        <f>BR634+BW634+CB634+CG634+CL634+CQ634</f>
        <v>285</v>
      </c>
      <c r="CT634" s="57" t="s">
        <v>2054</v>
      </c>
      <c r="CU634" s="3"/>
      <c r="CV634" s="3"/>
      <c r="CW634" s="3"/>
      <c r="CX634" s="3"/>
      <c r="CY634" s="3"/>
      <c r="CZ634" s="3"/>
      <c r="DA634" s="3"/>
      <c r="DB634" s="3"/>
      <c r="DC634" s="3"/>
      <c r="DD634" s="3"/>
      <c r="DE634" s="3"/>
      <c r="DF634" s="3"/>
    </row>
    <row r="635" spans="2:157" ht="13.05" customHeight="1">
      <c r="B635" s="52" t="s">
        <v>469</v>
      </c>
      <c r="C635" s="1359"/>
      <c r="D635" s="1359"/>
      <c r="E635" s="1359"/>
      <c r="F635" s="1359"/>
      <c r="G635" s="1359"/>
      <c r="H635" s="1359"/>
      <c r="I635" s="1359"/>
      <c r="J635" s="1359"/>
      <c r="K635" s="1359"/>
      <c r="L635" s="1359"/>
      <c r="M635" s="1400" t="s">
        <v>1290</v>
      </c>
      <c r="N635" s="1400"/>
      <c r="O635" s="1400"/>
      <c r="P635" s="1400"/>
      <c r="Q635" s="1363"/>
      <c r="R635" s="1364"/>
      <c r="S635" s="1365"/>
      <c r="T635" s="1363"/>
      <c r="U635" s="1364"/>
      <c r="V635" s="1365"/>
      <c r="W635" s="1589"/>
      <c r="X635" s="1590"/>
      <c r="Y635" s="1591"/>
      <c r="Z635" s="1360" t="s">
        <v>1290</v>
      </c>
      <c r="AA635" s="1361"/>
      <c r="AB635" s="1362"/>
      <c r="AC635" s="1449"/>
      <c r="AD635" s="1450"/>
      <c r="AE635" s="1451"/>
      <c r="AF635" s="1596"/>
      <c r="AG635" s="1597"/>
      <c r="AH635" s="1597"/>
      <c r="AI635" s="1597"/>
      <c r="AJ635" s="1598"/>
      <c r="AK635" s="1586"/>
      <c r="AL635" s="1587"/>
      <c r="AM635" s="1587"/>
      <c r="AN635" s="1588"/>
      <c r="AO635" s="1592"/>
      <c r="AP635" s="1593"/>
      <c r="AQ635" s="1593"/>
      <c r="AR635" s="1593"/>
      <c r="AS635" s="1594"/>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8" t="e">
        <f>DX597*(BN597/$BN$632)</f>
        <v>#VALUE!</v>
      </c>
      <c r="DY635" s="1358"/>
      <c r="DZ635" s="1358"/>
      <c r="EA635" s="1358"/>
      <c r="EB635" s="1358"/>
      <c r="EC635" s="1358">
        <f t="shared" ref="EC635:EC657" si="24">EC597*(BS597/$BS$632)</f>
        <v>173.66666666666666</v>
      </c>
      <c r="ED635" s="1358"/>
      <c r="EE635" s="1358"/>
      <c r="EF635" s="1358"/>
      <c r="EG635" s="1358"/>
      <c r="EH635" s="1358" t="e">
        <f t="shared" ref="EH635:EH657" si="25">EH597*(BX597/$BX$632)</f>
        <v>#VALUE!</v>
      </c>
      <c r="EI635" s="1358"/>
      <c r="EJ635" s="1358"/>
      <c r="EK635" s="1358"/>
      <c r="EL635" s="1358"/>
      <c r="EM635" s="1358" t="e">
        <f t="shared" ref="EM635:EM657" si="26">EM597*(CC597/$CC$632)</f>
        <v>#VALUE!</v>
      </c>
      <c r="EN635" s="1358"/>
      <c r="EO635" s="1358"/>
      <c r="EP635" s="1358"/>
      <c r="EQ635" s="1358"/>
      <c r="ER635" s="1358" t="e">
        <f t="shared" ref="ER635:ER657" si="27">ER597*(CH597/$CH$632)</f>
        <v>#VALUE!</v>
      </c>
      <c r="ES635" s="1358"/>
      <c r="ET635" s="1358"/>
      <c r="EU635" s="1358"/>
      <c r="EV635" s="1358"/>
      <c r="EW635" s="1358" t="e">
        <f t="shared" ref="EW635:EW657" si="28">EW597*(CM597/$CM$632)</f>
        <v>#VALUE!</v>
      </c>
      <c r="EX635" s="1358"/>
      <c r="EY635" s="1358"/>
      <c r="EZ635" s="1358"/>
      <c r="FA635" s="1358"/>
    </row>
    <row r="636" spans="2:157" ht="13.05" customHeight="1">
      <c r="B636" s="52" t="s">
        <v>654</v>
      </c>
      <c r="C636" s="1359"/>
      <c r="D636" s="1359"/>
      <c r="E636" s="1359"/>
      <c r="F636" s="1359"/>
      <c r="G636" s="1359"/>
      <c r="H636" s="1359"/>
      <c r="I636" s="1359"/>
      <c r="J636" s="1359"/>
      <c r="K636" s="1359"/>
      <c r="L636" s="1359"/>
      <c r="M636" s="1400" t="s">
        <v>1290</v>
      </c>
      <c r="N636" s="1400"/>
      <c r="O636" s="1400"/>
      <c r="P636" s="1400"/>
      <c r="Q636" s="1363"/>
      <c r="R636" s="1364"/>
      <c r="S636" s="1365"/>
      <c r="T636" s="1363"/>
      <c r="U636" s="1364"/>
      <c r="V636" s="1365"/>
      <c r="W636" s="1589"/>
      <c r="X636" s="1590"/>
      <c r="Y636" s="1591"/>
      <c r="Z636" s="1360" t="s">
        <v>1290</v>
      </c>
      <c r="AA636" s="1361"/>
      <c r="AB636" s="1362"/>
      <c r="AC636" s="1449"/>
      <c r="AD636" s="1450"/>
      <c r="AE636" s="1451"/>
      <c r="AF636" s="1596"/>
      <c r="AG636" s="1597"/>
      <c r="AH636" s="1597"/>
      <c r="AI636" s="1597"/>
      <c r="AJ636" s="1598"/>
      <c r="AK636" s="1586"/>
      <c r="AL636" s="1587"/>
      <c r="AM636" s="1587"/>
      <c r="AN636" s="1588"/>
      <c r="AO636" s="1592"/>
      <c r="AP636" s="1593"/>
      <c r="AQ636" s="1593"/>
      <c r="AR636" s="1593"/>
      <c r="AS636" s="1594"/>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8" t="e">
        <f t="shared" ref="DX636:DX657" si="29">DX598*(BN598/$BN$632)</f>
        <v>#VALUE!</v>
      </c>
      <c r="DY636" s="1358"/>
      <c r="DZ636" s="1358"/>
      <c r="EA636" s="1358"/>
      <c r="EB636" s="1358"/>
      <c r="EC636" s="1358">
        <f t="shared" si="24"/>
        <v>214.09523809523807</v>
      </c>
      <c r="ED636" s="1358"/>
      <c r="EE636" s="1358"/>
      <c r="EF636" s="1358"/>
      <c r="EG636" s="1358"/>
      <c r="EH636" s="1358" t="e">
        <f t="shared" si="25"/>
        <v>#VALUE!</v>
      </c>
      <c r="EI636" s="1358"/>
      <c r="EJ636" s="1358"/>
      <c r="EK636" s="1358"/>
      <c r="EL636" s="1358"/>
      <c r="EM636" s="1358" t="e">
        <f t="shared" si="26"/>
        <v>#VALUE!</v>
      </c>
      <c r="EN636" s="1358"/>
      <c r="EO636" s="1358"/>
      <c r="EP636" s="1358"/>
      <c r="EQ636" s="1358"/>
      <c r="ER636" s="1358" t="e">
        <f t="shared" si="27"/>
        <v>#VALUE!</v>
      </c>
      <c r="ES636" s="1358"/>
      <c r="ET636" s="1358"/>
      <c r="EU636" s="1358"/>
      <c r="EV636" s="1358"/>
      <c r="EW636" s="1358" t="e">
        <f t="shared" si="28"/>
        <v>#VALUE!</v>
      </c>
      <c r="EX636" s="1358"/>
      <c r="EY636" s="1358"/>
      <c r="EZ636" s="1358"/>
      <c r="FA636" s="1358"/>
    </row>
    <row r="637" spans="2:157" ht="13.05" customHeight="1">
      <c r="B637" s="52" t="s">
        <v>363</v>
      </c>
      <c r="C637" s="1359"/>
      <c r="D637" s="1359"/>
      <c r="E637" s="1359"/>
      <c r="F637" s="1359"/>
      <c r="G637" s="1359"/>
      <c r="H637" s="1359"/>
      <c r="I637" s="1359"/>
      <c r="J637" s="1359"/>
      <c r="K637" s="1359"/>
      <c r="L637" s="1359"/>
      <c r="M637" s="1400" t="s">
        <v>1290</v>
      </c>
      <c r="N637" s="1400"/>
      <c r="O637" s="1400"/>
      <c r="P637" s="1400"/>
      <c r="Q637" s="1363"/>
      <c r="R637" s="1364"/>
      <c r="S637" s="1365"/>
      <c r="T637" s="1363"/>
      <c r="U637" s="1364"/>
      <c r="V637" s="1365"/>
      <c r="W637" s="1589"/>
      <c r="X637" s="1590"/>
      <c r="Y637" s="1591"/>
      <c r="Z637" s="1360" t="s">
        <v>1290</v>
      </c>
      <c r="AA637" s="1361"/>
      <c r="AB637" s="1362"/>
      <c r="AC637" s="1449"/>
      <c r="AD637" s="1450"/>
      <c r="AE637" s="1451"/>
      <c r="AF637" s="1596"/>
      <c r="AG637" s="1597"/>
      <c r="AH637" s="1597"/>
      <c r="AI637" s="1597"/>
      <c r="AJ637" s="1598"/>
      <c r="AK637" s="1586"/>
      <c r="AL637" s="1587"/>
      <c r="AM637" s="1587"/>
      <c r="AN637" s="1588"/>
      <c r="AO637" s="1592"/>
      <c r="AP637" s="1593"/>
      <c r="AQ637" s="1593"/>
      <c r="AR637" s="1593"/>
      <c r="AS637" s="1594"/>
      <c r="AT637" s="1192" t="str">
        <f t="shared" si="23"/>
        <v/>
      </c>
      <c r="AV637" s="3"/>
      <c r="AW637" s="3"/>
      <c r="AX637" s="3"/>
      <c r="AY637" s="3"/>
      <c r="AZ637" s="34"/>
      <c r="BA637" s="3" t="s">
        <v>2447</v>
      </c>
      <c r="BB637" s="34"/>
      <c r="BC637" s="34"/>
      <c r="BD637" s="34"/>
      <c r="BE637" s="34"/>
      <c r="BF637" s="34"/>
      <c r="BG637" s="34"/>
      <c r="BH637" s="34"/>
      <c r="BI637" s="34"/>
      <c r="BJ637" s="34"/>
      <c r="BK637" s="34"/>
      <c r="BL637" s="34"/>
      <c r="BM637" s="34"/>
      <c r="BN637" s="1406">
        <f>IF(J773="SRO/Studio",O773,0)</f>
        <v>0</v>
      </c>
      <c r="BO637" s="1407"/>
      <c r="BP637" s="1407"/>
      <c r="BQ637" s="1407"/>
      <c r="BR637" s="1408"/>
      <c r="BS637" s="1403">
        <f>IF(J773="1 Bedroom",O773,0)</f>
        <v>0</v>
      </c>
      <c r="BT637" s="1403"/>
      <c r="BU637" s="1403"/>
      <c r="BV637" s="1403"/>
      <c r="BW637" s="1403"/>
      <c r="BX637" s="1403">
        <f>IF(J773="2 Bedrooms",O773,0)</f>
        <v>0</v>
      </c>
      <c r="BY637" s="1403"/>
      <c r="BZ637" s="1403"/>
      <c r="CA637" s="1403"/>
      <c r="CB637" s="1403"/>
      <c r="CC637" s="1403">
        <f>IF(J773="3 Bedrooms",O773,0)</f>
        <v>1</v>
      </c>
      <c r="CD637" s="1403"/>
      <c r="CE637" s="1403"/>
      <c r="CF637" s="1403"/>
      <c r="CG637" s="1403"/>
      <c r="CH637" s="1403">
        <f>IF(J773="4 Bedrooms",O773,0)</f>
        <v>0</v>
      </c>
      <c r="CI637" s="1403"/>
      <c r="CJ637" s="1403"/>
      <c r="CK637" s="1403"/>
      <c r="CL637" s="1403"/>
      <c r="CM637" s="1403">
        <f>IF(J773="5 Bedrooms",O773,0)</f>
        <v>0</v>
      </c>
      <c r="CN637" s="1403"/>
      <c r="CO637" s="1403"/>
      <c r="CP637" s="1403"/>
      <c r="CQ637" s="1403"/>
      <c r="CR637" s="6"/>
      <c r="CS637" s="3"/>
      <c r="CT637" s="3"/>
      <c r="CU637" s="3"/>
      <c r="CV637" s="3"/>
      <c r="CW637" s="3"/>
      <c r="CX637" s="3"/>
      <c r="CY637" s="3"/>
      <c r="CZ637" s="3"/>
      <c r="DA637" s="3"/>
      <c r="DB637" s="3"/>
      <c r="DC637" s="3"/>
      <c r="DD637" s="3"/>
      <c r="DE637" s="3"/>
      <c r="DF637" s="3"/>
      <c r="DX637" s="1358" t="e">
        <f t="shared" si="29"/>
        <v>#VALUE!</v>
      </c>
      <c r="DY637" s="1358"/>
      <c r="DZ637" s="1358"/>
      <c r="EA637" s="1358"/>
      <c r="EB637" s="1358"/>
      <c r="EC637" s="1358">
        <f t="shared" si="24"/>
        <v>630.95238095238096</v>
      </c>
      <c r="ED637" s="1358"/>
      <c r="EE637" s="1358"/>
      <c r="EF637" s="1358"/>
      <c r="EG637" s="1358"/>
      <c r="EH637" s="1358" t="e">
        <f t="shared" si="25"/>
        <v>#VALUE!</v>
      </c>
      <c r="EI637" s="1358"/>
      <c r="EJ637" s="1358"/>
      <c r="EK637" s="1358"/>
      <c r="EL637" s="1358"/>
      <c r="EM637" s="1358" t="e">
        <f t="shared" si="26"/>
        <v>#VALUE!</v>
      </c>
      <c r="EN637" s="1358"/>
      <c r="EO637" s="1358"/>
      <c r="EP637" s="1358"/>
      <c r="EQ637" s="1358"/>
      <c r="ER637" s="1358" t="e">
        <f t="shared" si="27"/>
        <v>#VALUE!</v>
      </c>
      <c r="ES637" s="1358"/>
      <c r="ET637" s="1358"/>
      <c r="EU637" s="1358"/>
      <c r="EV637" s="1358"/>
      <c r="EW637" s="1358" t="e">
        <f t="shared" si="28"/>
        <v>#VALUE!</v>
      </c>
      <c r="EX637" s="1358"/>
      <c r="EY637" s="1358"/>
      <c r="EZ637" s="1358"/>
      <c r="FA637" s="1358"/>
    </row>
    <row r="638" spans="2:157" ht="13.05" customHeight="1">
      <c r="B638" s="52" t="s">
        <v>364</v>
      </c>
      <c r="C638" s="1359"/>
      <c r="D638" s="1359"/>
      <c r="E638" s="1359"/>
      <c r="F638" s="1359"/>
      <c r="G638" s="1359"/>
      <c r="H638" s="1359"/>
      <c r="I638" s="1359"/>
      <c r="J638" s="1359"/>
      <c r="K638" s="1359"/>
      <c r="L638" s="1359"/>
      <c r="M638" s="1400" t="s">
        <v>1290</v>
      </c>
      <c r="N638" s="1400"/>
      <c r="O638" s="1400"/>
      <c r="P638" s="1400"/>
      <c r="Q638" s="1363"/>
      <c r="R638" s="1364"/>
      <c r="S638" s="1365"/>
      <c r="T638" s="1363"/>
      <c r="U638" s="1364"/>
      <c r="V638" s="1365"/>
      <c r="W638" s="1589"/>
      <c r="X638" s="1590"/>
      <c r="Y638" s="1591"/>
      <c r="Z638" s="1360" t="s">
        <v>1290</v>
      </c>
      <c r="AA638" s="1361"/>
      <c r="AB638" s="1362"/>
      <c r="AC638" s="1449"/>
      <c r="AD638" s="1450"/>
      <c r="AE638" s="1451"/>
      <c r="AF638" s="1596"/>
      <c r="AG638" s="1597"/>
      <c r="AH638" s="1597"/>
      <c r="AI638" s="1597"/>
      <c r="AJ638" s="1598"/>
      <c r="AK638" s="1586"/>
      <c r="AL638" s="1587"/>
      <c r="AM638" s="1587"/>
      <c r="AN638" s="1588"/>
      <c r="AO638" s="1592"/>
      <c r="AP638" s="1593"/>
      <c r="AQ638" s="1593"/>
      <c r="AR638" s="1593"/>
      <c r="AS638" s="1594"/>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06">
        <f>IF(J774="SRO/Studio",O774,0)</f>
        <v>0</v>
      </c>
      <c r="BO638" s="1407"/>
      <c r="BP638" s="1407"/>
      <c r="BQ638" s="1407"/>
      <c r="BR638" s="1408"/>
      <c r="BS638" s="1403">
        <f>IF(J774="1 Bedroom",O774,0)</f>
        <v>0</v>
      </c>
      <c r="BT638" s="1403"/>
      <c r="BU638" s="1403"/>
      <c r="BV638" s="1403"/>
      <c r="BW638" s="1403"/>
      <c r="BX638" s="1403">
        <f>IF(J774="2 Bedrooms",O774,0)</f>
        <v>0</v>
      </c>
      <c r="BY638" s="1403"/>
      <c r="BZ638" s="1403"/>
      <c r="CA638" s="1403"/>
      <c r="CB638" s="1403"/>
      <c r="CC638" s="1403">
        <f>IF(J774="3 Bedrooms",O774,0)</f>
        <v>0</v>
      </c>
      <c r="CD638" s="1403"/>
      <c r="CE638" s="1403"/>
      <c r="CF638" s="1403"/>
      <c r="CG638" s="1403"/>
      <c r="CH638" s="1403">
        <f>IF(J774="4 Bedrooms",O774,0)</f>
        <v>0</v>
      </c>
      <c r="CI638" s="1403"/>
      <c r="CJ638" s="1403"/>
      <c r="CK638" s="1403"/>
      <c r="CL638" s="1403"/>
      <c r="CM638" s="1403">
        <f>IF(J774="5 Bedrooms",O774,0)</f>
        <v>0</v>
      </c>
      <c r="CN638" s="1403"/>
      <c r="CO638" s="1403"/>
      <c r="CP638" s="1403"/>
      <c r="CQ638" s="1403"/>
      <c r="CR638" s="6"/>
      <c r="CS638" s="3"/>
      <c r="CT638" s="3"/>
      <c r="CU638" s="3"/>
      <c r="CV638" s="3"/>
      <c r="CW638" s="3"/>
      <c r="CX638" s="3"/>
      <c r="CY638" s="3"/>
      <c r="CZ638" s="3"/>
      <c r="DA638" s="3"/>
      <c r="DB638" s="3"/>
      <c r="DC638" s="3"/>
      <c r="DD638" s="3"/>
      <c r="DE638" s="3"/>
      <c r="DF638" s="3"/>
      <c r="DX638" s="1358" t="e">
        <f t="shared" si="29"/>
        <v>#VALUE!</v>
      </c>
      <c r="DY638" s="1358"/>
      <c r="DZ638" s="1358"/>
      <c r="EA638" s="1358"/>
      <c r="EB638" s="1358"/>
      <c r="EC638" s="1358" t="e">
        <f t="shared" si="24"/>
        <v>#VALUE!</v>
      </c>
      <c r="ED638" s="1358"/>
      <c r="EE638" s="1358"/>
      <c r="EF638" s="1358"/>
      <c r="EG638" s="1358"/>
      <c r="EH638" s="1358">
        <f t="shared" si="25"/>
        <v>129.375</v>
      </c>
      <c r="EI638" s="1358"/>
      <c r="EJ638" s="1358"/>
      <c r="EK638" s="1358"/>
      <c r="EL638" s="1358"/>
      <c r="EM638" s="1358" t="e">
        <f t="shared" si="26"/>
        <v>#VALUE!</v>
      </c>
      <c r="EN638" s="1358"/>
      <c r="EO638" s="1358"/>
      <c r="EP638" s="1358"/>
      <c r="EQ638" s="1358"/>
      <c r="ER638" s="1358" t="e">
        <f t="shared" si="27"/>
        <v>#VALUE!</v>
      </c>
      <c r="ES638" s="1358"/>
      <c r="ET638" s="1358"/>
      <c r="EU638" s="1358"/>
      <c r="EV638" s="1358"/>
      <c r="EW638" s="1358" t="e">
        <f t="shared" si="28"/>
        <v>#VALUE!</v>
      </c>
      <c r="EX638" s="1358"/>
      <c r="EY638" s="1358"/>
      <c r="EZ638" s="1358"/>
      <c r="FA638" s="1358"/>
    </row>
    <row r="639" spans="2:157" ht="13.05" customHeight="1">
      <c r="B639" s="1615" t="s">
        <v>128</v>
      </c>
      <c r="C639" s="1616"/>
      <c r="D639" s="1616"/>
      <c r="E639" s="1616"/>
      <c r="F639" s="1616"/>
      <c r="G639" s="1616"/>
      <c r="H639" s="1616"/>
      <c r="I639" s="1616"/>
      <c r="J639" s="1616"/>
      <c r="K639" s="1616"/>
      <c r="L639" s="1616"/>
      <c r="M639" s="1616"/>
      <c r="N639" s="1616"/>
      <c r="O639" s="1616"/>
      <c r="P639" s="1616"/>
      <c r="Q639" s="1616"/>
      <c r="R639" s="1616"/>
      <c r="S639" s="1616"/>
      <c r="T639" s="1616"/>
      <c r="U639" s="1616"/>
      <c r="V639" s="1616"/>
      <c r="W639" s="1616"/>
      <c r="X639" s="1616"/>
      <c r="Y639" s="1616"/>
      <c r="Z639" s="1616"/>
      <c r="AA639" s="1616"/>
      <c r="AB639" s="1616"/>
      <c r="AC639" s="1616"/>
      <c r="AD639" s="1616"/>
      <c r="AE639" s="1616"/>
      <c r="AF639" s="1616"/>
      <c r="AG639" s="1616"/>
      <c r="AH639" s="1616"/>
      <c r="AI639" s="1616"/>
      <c r="AJ639" s="1616"/>
      <c r="AK639" s="1616"/>
      <c r="AL639" s="1616"/>
      <c r="AM639" s="1616"/>
      <c r="AN639" s="1617"/>
      <c r="AO639" s="1606">
        <f>SUM(AO627:AR638)</f>
        <v>22563846</v>
      </c>
      <c r="AP639" s="1607"/>
      <c r="AQ639" s="1607"/>
      <c r="AR639" s="1607"/>
      <c r="AS639" s="1608"/>
      <c r="AV639" s="3"/>
      <c r="AW639" s="3"/>
      <c r="AX639" s="3"/>
      <c r="AY639" s="3"/>
      <c r="AZ639" s="34"/>
      <c r="BA639" s="34"/>
      <c r="BB639" s="34"/>
      <c r="BC639" s="34"/>
      <c r="BD639" s="34"/>
      <c r="BE639" s="34"/>
      <c r="BF639" s="34"/>
      <c r="BG639" s="34"/>
      <c r="BH639" s="34"/>
      <c r="BI639" s="34"/>
      <c r="BJ639" s="34"/>
      <c r="BK639" s="34"/>
      <c r="BL639" s="34"/>
      <c r="BM639" s="34"/>
      <c r="BN639" s="1406">
        <f>IF(J775="SRO/Studio",O775,0)</f>
        <v>0</v>
      </c>
      <c r="BO639" s="1407"/>
      <c r="BP639" s="1407"/>
      <c r="BQ639" s="1407"/>
      <c r="BR639" s="1408"/>
      <c r="BS639" s="1403">
        <f>IF(J775="1 Bedroom",O775,0)</f>
        <v>0</v>
      </c>
      <c r="BT639" s="1403"/>
      <c r="BU639" s="1403"/>
      <c r="BV639" s="1403"/>
      <c r="BW639" s="1403"/>
      <c r="BX639" s="1403">
        <f>IF(J775="2 Bedrooms",O775,0)</f>
        <v>0</v>
      </c>
      <c r="BY639" s="1403"/>
      <c r="BZ639" s="1403"/>
      <c r="CA639" s="1403"/>
      <c r="CB639" s="1403"/>
      <c r="CC639" s="1403">
        <f>IF(J775="3 Bedrooms",O775,0)</f>
        <v>0</v>
      </c>
      <c r="CD639" s="1403"/>
      <c r="CE639" s="1403"/>
      <c r="CF639" s="1403"/>
      <c r="CG639" s="1403"/>
      <c r="CH639" s="1403">
        <f>IF(J775="4 Bedrooms",O775,0)</f>
        <v>0</v>
      </c>
      <c r="CI639" s="1403"/>
      <c r="CJ639" s="1403"/>
      <c r="CK639" s="1403"/>
      <c r="CL639" s="1403"/>
      <c r="CM639" s="1403">
        <f>IF(J775="5 Bedrooms",O775,0)</f>
        <v>0</v>
      </c>
      <c r="CN639" s="1403"/>
      <c r="CO639" s="1403"/>
      <c r="CP639" s="1403"/>
      <c r="CQ639" s="1403"/>
      <c r="CR639" s="1047"/>
      <c r="CV639" s="3"/>
      <c r="CW639" s="3"/>
      <c r="CX639" s="3"/>
      <c r="CY639" s="3"/>
      <c r="CZ639" s="3"/>
      <c r="DA639" s="3"/>
      <c r="DB639" s="3"/>
      <c r="DC639" s="3"/>
      <c r="DD639" s="3"/>
      <c r="DE639" s="3"/>
      <c r="DF639" s="3"/>
      <c r="DX639" s="1358" t="e">
        <f t="shared" si="29"/>
        <v>#VALUE!</v>
      </c>
      <c r="DY639" s="1358"/>
      <c r="DZ639" s="1358"/>
      <c r="EA639" s="1358"/>
      <c r="EB639" s="1358"/>
      <c r="EC639" s="1358" t="e">
        <f t="shared" si="24"/>
        <v>#VALUE!</v>
      </c>
      <c r="ED639" s="1358"/>
      <c r="EE639" s="1358"/>
      <c r="EF639" s="1358"/>
      <c r="EG639" s="1358"/>
      <c r="EH639" s="1358">
        <f t="shared" si="25"/>
        <v>51.583333333333329</v>
      </c>
      <c r="EI639" s="1358"/>
      <c r="EJ639" s="1358"/>
      <c r="EK639" s="1358"/>
      <c r="EL639" s="1358"/>
      <c r="EM639" s="1358" t="e">
        <f t="shared" si="26"/>
        <v>#VALUE!</v>
      </c>
      <c r="EN639" s="1358"/>
      <c r="EO639" s="1358"/>
      <c r="EP639" s="1358"/>
      <c r="EQ639" s="1358"/>
      <c r="ER639" s="1358" t="e">
        <f t="shared" si="27"/>
        <v>#VALUE!</v>
      </c>
      <c r="ES639" s="1358"/>
      <c r="ET639" s="1358"/>
      <c r="EU639" s="1358"/>
      <c r="EV639" s="1358"/>
      <c r="EW639" s="1358" t="e">
        <f t="shared" si="28"/>
        <v>#VALUE!</v>
      </c>
      <c r="EX639" s="1358"/>
      <c r="EY639" s="1358"/>
      <c r="EZ639" s="1358"/>
      <c r="FA639" s="1358"/>
    </row>
    <row r="640" spans="2:157" ht="13.05" customHeight="1">
      <c r="B640" s="1615" t="s">
        <v>268</v>
      </c>
      <c r="C640" s="1616"/>
      <c r="D640" s="1616"/>
      <c r="E640" s="1616"/>
      <c r="F640" s="1616"/>
      <c r="G640" s="1616"/>
      <c r="H640" s="1616"/>
      <c r="I640" s="1616"/>
      <c r="J640" s="1616"/>
      <c r="K640" s="1616"/>
      <c r="L640" s="1616"/>
      <c r="M640" s="1616"/>
      <c r="N640" s="1616"/>
      <c r="O640" s="1616"/>
      <c r="P640" s="1616"/>
      <c r="Q640" s="1616"/>
      <c r="R640" s="1616"/>
      <c r="S640" s="1616"/>
      <c r="T640" s="1616"/>
      <c r="U640" s="1616"/>
      <c r="V640" s="1616"/>
      <c r="W640" s="1616"/>
      <c r="X640" s="1616"/>
      <c r="Y640" s="1616"/>
      <c r="Z640" s="1616"/>
      <c r="AA640" s="1616"/>
      <c r="AB640" s="1616"/>
      <c r="AC640" s="1616"/>
      <c r="AD640" s="1616"/>
      <c r="AE640" s="1616"/>
      <c r="AF640" s="1616"/>
      <c r="AG640" s="1616"/>
      <c r="AH640" s="1616"/>
      <c r="AI640" s="1616"/>
      <c r="AJ640" s="1616"/>
      <c r="AK640" s="1616"/>
      <c r="AL640" s="1616"/>
      <c r="AM640" s="1616"/>
      <c r="AN640" s="1617"/>
      <c r="AO640" s="1592">
        <f>32108046+19143250</f>
        <v>51251296</v>
      </c>
      <c r="AP640" s="1593"/>
      <c r="AQ640" s="1593"/>
      <c r="AR640" s="1593"/>
      <c r="AS640" s="1594"/>
      <c r="AV640" s="3"/>
      <c r="AW640" s="3"/>
      <c r="AX640" s="3"/>
      <c r="AY640" s="3"/>
      <c r="AZ640" s="34"/>
      <c r="BA640" s="34"/>
      <c r="BB640" s="34"/>
      <c r="BC640" s="34"/>
      <c r="BD640" s="34"/>
      <c r="BE640" s="34"/>
      <c r="BF640" s="34"/>
      <c r="BG640" s="34"/>
      <c r="BH640" s="34"/>
      <c r="BI640" s="34"/>
      <c r="BJ640" s="34"/>
      <c r="BK640" s="34"/>
      <c r="BL640" s="34"/>
      <c r="BM640" s="34"/>
      <c r="BN640" s="1406">
        <f>IF(J776="SRO/Studio",O776,0)</f>
        <v>0</v>
      </c>
      <c r="BO640" s="1407"/>
      <c r="BP640" s="1407"/>
      <c r="BQ640" s="1407"/>
      <c r="BR640" s="1408"/>
      <c r="BS640" s="1403">
        <f>IF(J776="1 Bedroom",O776,0)</f>
        <v>0</v>
      </c>
      <c r="BT640" s="1403"/>
      <c r="BU640" s="1403"/>
      <c r="BV640" s="1403"/>
      <c r="BW640" s="1403"/>
      <c r="BX640" s="1403">
        <f>IF(J776="2 Bedrooms",O776,0)</f>
        <v>0</v>
      </c>
      <c r="BY640" s="1403"/>
      <c r="BZ640" s="1403"/>
      <c r="CA640" s="1403"/>
      <c r="CB640" s="1403"/>
      <c r="CC640" s="1403">
        <f>IF(J776="3 Bedrooms",O776,0)</f>
        <v>0</v>
      </c>
      <c r="CD640" s="1403"/>
      <c r="CE640" s="1403"/>
      <c r="CF640" s="1403"/>
      <c r="CG640" s="1403"/>
      <c r="CH640" s="1403">
        <f>IF(J776="4 Bedrooms",O776,0)</f>
        <v>0</v>
      </c>
      <c r="CI640" s="1403"/>
      <c r="CJ640" s="1403"/>
      <c r="CK640" s="1403"/>
      <c r="CL640" s="1403"/>
      <c r="CM640" s="1403">
        <f>IF(J776="5 Bedrooms",O776,0)</f>
        <v>0</v>
      </c>
      <c r="CN640" s="1403"/>
      <c r="CO640" s="1403"/>
      <c r="CP640" s="1403"/>
      <c r="CQ640" s="1403"/>
      <c r="CV640" s="3"/>
      <c r="CW640" s="3"/>
      <c r="CX640" s="3"/>
      <c r="CY640" s="3"/>
      <c r="CZ640" s="3"/>
      <c r="DA640" s="3"/>
      <c r="DB640" s="3"/>
      <c r="DC640" s="3"/>
      <c r="DD640" s="3"/>
      <c r="DE640" s="3"/>
      <c r="DF640" s="3"/>
      <c r="DX640" s="1358" t="e">
        <f t="shared" si="29"/>
        <v>#VALUE!</v>
      </c>
      <c r="DY640" s="1358"/>
      <c r="DZ640" s="1358"/>
      <c r="EA640" s="1358"/>
      <c r="EB640" s="1358"/>
      <c r="EC640" s="1358" t="e">
        <f t="shared" si="24"/>
        <v>#VALUE!</v>
      </c>
      <c r="ED640" s="1358"/>
      <c r="EE640" s="1358"/>
      <c r="EF640" s="1358"/>
      <c r="EG640" s="1358"/>
      <c r="EH640" s="1358">
        <f t="shared" si="25"/>
        <v>224</v>
      </c>
      <c r="EI640" s="1358"/>
      <c r="EJ640" s="1358"/>
      <c r="EK640" s="1358"/>
      <c r="EL640" s="1358"/>
      <c r="EM640" s="1358" t="e">
        <f t="shared" si="26"/>
        <v>#VALUE!</v>
      </c>
      <c r="EN640" s="1358"/>
      <c r="EO640" s="1358"/>
      <c r="EP640" s="1358"/>
      <c r="EQ640" s="1358"/>
      <c r="ER640" s="1358" t="e">
        <f t="shared" si="27"/>
        <v>#VALUE!</v>
      </c>
      <c r="ES640" s="1358"/>
      <c r="ET640" s="1358"/>
      <c r="EU640" s="1358"/>
      <c r="EV640" s="1358"/>
      <c r="EW640" s="1358" t="e">
        <f t="shared" si="28"/>
        <v>#VALUE!</v>
      </c>
      <c r="EX640" s="1358"/>
      <c r="EY640" s="1358"/>
      <c r="EZ640" s="1358"/>
      <c r="FA640" s="1358"/>
    </row>
    <row r="641" spans="1:157" ht="13.05" customHeight="1">
      <c r="B641" s="1827" t="s">
        <v>269</v>
      </c>
      <c r="C641" s="1731"/>
      <c r="D641" s="1731"/>
      <c r="E641" s="1731"/>
      <c r="F641" s="1731"/>
      <c r="G641" s="1731"/>
      <c r="H641" s="1731"/>
      <c r="I641" s="1731"/>
      <c r="J641" s="1731"/>
      <c r="K641" s="1731"/>
      <c r="L641" s="1731"/>
      <c r="M641" s="1731"/>
      <c r="N641" s="1731"/>
      <c r="O641" s="1731"/>
      <c r="P641" s="1731"/>
      <c r="Q641" s="1731"/>
      <c r="R641" s="1731"/>
      <c r="S641" s="1731"/>
      <c r="T641" s="1731"/>
      <c r="U641" s="1731"/>
      <c r="V641" s="1731"/>
      <c r="W641" s="1731"/>
      <c r="X641" s="1731"/>
      <c r="Y641" s="1731"/>
      <c r="Z641" s="1731"/>
      <c r="AA641" s="1731"/>
      <c r="AB641" s="1731"/>
      <c r="AC641" s="1731"/>
      <c r="AD641" s="1731"/>
      <c r="AE641" s="1731"/>
      <c r="AF641" s="1731"/>
      <c r="AG641" s="1731"/>
      <c r="AH641" s="1731"/>
      <c r="AI641" s="1731"/>
      <c r="AJ641" s="1731"/>
      <c r="AK641" s="1731"/>
      <c r="AL641" s="1731"/>
      <c r="AM641" s="1731"/>
      <c r="AN641" s="1828"/>
      <c r="AO641" s="1606">
        <f>AO639+AO640</f>
        <v>73815142</v>
      </c>
      <c r="AP641" s="1607"/>
      <c r="AQ641" s="1607"/>
      <c r="AR641" s="1607"/>
      <c r="AS641" s="1608"/>
      <c r="AV641" s="3"/>
      <c r="AW641" s="3"/>
      <c r="AX641" s="3"/>
      <c r="AY641" s="3"/>
      <c r="AZ641" s="34"/>
      <c r="BA641" s="34"/>
      <c r="BB641" s="34"/>
      <c r="BC641" s="34"/>
      <c r="BD641" s="34"/>
      <c r="BE641" s="34"/>
      <c r="BF641" s="34"/>
      <c r="BG641" s="34"/>
      <c r="BH641" s="34"/>
      <c r="BI641" s="34"/>
      <c r="BJ641" s="34"/>
      <c r="BK641" s="34"/>
      <c r="BL641" s="34"/>
      <c r="BM641" s="34"/>
      <c r="BN641" s="1409">
        <f>SUM(BN637:BR640)</f>
        <v>0</v>
      </c>
      <c r="BO641" s="1709"/>
      <c r="BP641" s="1709"/>
      <c r="BQ641" s="1709"/>
      <c r="BR641" s="1410"/>
      <c r="BS641" s="1703">
        <f>SUM(BS637:BW640)</f>
        <v>0</v>
      </c>
      <c r="BT641" s="1704"/>
      <c r="BU641" s="1704"/>
      <c r="BV641" s="1704"/>
      <c r="BW641" s="1705"/>
      <c r="BX641" s="1703">
        <f>SUM(BX637:CB640)</f>
        <v>0</v>
      </c>
      <c r="BY641" s="1704"/>
      <c r="BZ641" s="1704"/>
      <c r="CA641" s="1704"/>
      <c r="CB641" s="1705"/>
      <c r="CC641" s="1703">
        <f>SUM(CC637:CG640)</f>
        <v>1</v>
      </c>
      <c r="CD641" s="1704"/>
      <c r="CE641" s="1704"/>
      <c r="CF641" s="1704"/>
      <c r="CG641" s="1705"/>
      <c r="CH641" s="1703">
        <f>SUM(CH637:CL640)</f>
        <v>0</v>
      </c>
      <c r="CI641" s="1704"/>
      <c r="CJ641" s="1704"/>
      <c r="CK641" s="1704"/>
      <c r="CL641" s="1705"/>
      <c r="CM641" s="1703">
        <f>SUM(CM637:CQ640)</f>
        <v>0</v>
      </c>
      <c r="CN641" s="1704"/>
      <c r="CO641" s="1704"/>
      <c r="CP641" s="1704"/>
      <c r="CQ641" s="1705"/>
      <c r="CS641" s="895">
        <f>BN641+BS641+BX641+CC641+CH641+CM641</f>
        <v>1</v>
      </c>
      <c r="CT641" s="57" t="s">
        <v>2051</v>
      </c>
      <c r="CU641" s="3"/>
      <c r="CV641" s="3"/>
      <c r="CW641" s="3"/>
      <c r="CX641" s="3"/>
      <c r="CY641" s="3"/>
      <c r="CZ641" s="3"/>
      <c r="DA641" s="3"/>
      <c r="DB641" s="3"/>
      <c r="DC641" s="3"/>
      <c r="DD641" s="3"/>
      <c r="DE641" s="3"/>
      <c r="DF641" s="3"/>
      <c r="DX641" s="1358" t="e">
        <f t="shared" si="29"/>
        <v>#VALUE!</v>
      </c>
      <c r="DY641" s="1358"/>
      <c r="DZ641" s="1358"/>
      <c r="EA641" s="1358"/>
      <c r="EB641" s="1358"/>
      <c r="EC641" s="1358" t="e">
        <f t="shared" si="24"/>
        <v>#VALUE!</v>
      </c>
      <c r="ED641" s="1358"/>
      <c r="EE641" s="1358"/>
      <c r="EF641" s="1358"/>
      <c r="EG641" s="1358"/>
      <c r="EH641" s="1358">
        <f t="shared" si="25"/>
        <v>858.54166666666663</v>
      </c>
      <c r="EI641" s="1358"/>
      <c r="EJ641" s="1358"/>
      <c r="EK641" s="1358"/>
      <c r="EL641" s="1358"/>
      <c r="EM641" s="1358" t="e">
        <f t="shared" si="26"/>
        <v>#VALUE!</v>
      </c>
      <c r="EN641" s="1358"/>
      <c r="EO641" s="1358"/>
      <c r="EP641" s="1358"/>
      <c r="EQ641" s="1358"/>
      <c r="ER641" s="1358" t="e">
        <f t="shared" si="27"/>
        <v>#VALUE!</v>
      </c>
      <c r="ES641" s="1358"/>
      <c r="ET641" s="1358"/>
      <c r="EU641" s="1358"/>
      <c r="EV641" s="1358"/>
      <c r="EW641" s="1358" t="e">
        <f t="shared" si="28"/>
        <v>#VALUE!</v>
      </c>
      <c r="EX641" s="1358"/>
      <c r="EY641" s="1358"/>
      <c r="EZ641" s="1358"/>
      <c r="FA641" s="1358"/>
    </row>
    <row r="642" spans="1:157" ht="13.0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2053</v>
      </c>
      <c r="CU642" s="3"/>
      <c r="CV642" s="3"/>
      <c r="CW642" s="3"/>
      <c r="CX642" s="3"/>
      <c r="CY642" s="3"/>
      <c r="CZ642" s="3"/>
      <c r="DA642" s="3"/>
      <c r="DB642" s="3"/>
      <c r="DC642" s="3"/>
      <c r="DD642" s="3"/>
      <c r="DE642" s="3"/>
      <c r="DF642" s="3"/>
      <c r="DX642" s="1358" t="e">
        <f t="shared" si="29"/>
        <v>#VALUE!</v>
      </c>
      <c r="DY642" s="1358"/>
      <c r="DZ642" s="1358"/>
      <c r="EA642" s="1358"/>
      <c r="EB642" s="1358"/>
      <c r="EC642" s="1358" t="e">
        <f t="shared" si="24"/>
        <v>#VALUE!</v>
      </c>
      <c r="ED642" s="1358"/>
      <c r="EE642" s="1358"/>
      <c r="EF642" s="1358"/>
      <c r="EG642" s="1358"/>
      <c r="EH642" s="1358" t="e">
        <f t="shared" si="25"/>
        <v>#VALUE!</v>
      </c>
      <c r="EI642" s="1358"/>
      <c r="EJ642" s="1358"/>
      <c r="EK642" s="1358"/>
      <c r="EL642" s="1358"/>
      <c r="EM642" s="1358">
        <f t="shared" si="26"/>
        <v>145.10204081632654</v>
      </c>
      <c r="EN642" s="1358"/>
      <c r="EO642" s="1358"/>
      <c r="EP642" s="1358"/>
      <c r="EQ642" s="1358"/>
      <c r="ER642" s="1358" t="e">
        <f t="shared" si="27"/>
        <v>#VALUE!</v>
      </c>
      <c r="ES642" s="1358"/>
      <c r="ET642" s="1358"/>
      <c r="EU642" s="1358"/>
      <c r="EV642" s="1358"/>
      <c r="EW642" s="1358" t="e">
        <f t="shared" si="28"/>
        <v>#VALUE!</v>
      </c>
      <c r="EX642" s="1358"/>
      <c r="EY642" s="1358"/>
      <c r="EZ642" s="1358"/>
      <c r="FA642" s="1358"/>
    </row>
    <row r="643" spans="1:157" ht="13.05" customHeight="1">
      <c r="A643" s="55" t="s">
        <v>112</v>
      </c>
      <c r="B643" t="s">
        <v>471</v>
      </c>
      <c r="G643" s="1373" t="str">
        <f>C627</f>
        <v>Citibank Permanent Loan</v>
      </c>
      <c r="H643" s="1373"/>
      <c r="I643" s="1373"/>
      <c r="J643" s="1373"/>
      <c r="K643" s="1373"/>
      <c r="L643" s="1373"/>
      <c r="M643" s="1373"/>
      <c r="N643" s="1373"/>
      <c r="O643" s="1373"/>
      <c r="P643" s="1373"/>
      <c r="Q643" s="1373"/>
      <c r="R643" s="1373"/>
      <c r="S643" s="8"/>
      <c r="T643" s="55" t="s">
        <v>113</v>
      </c>
      <c r="U643" t="s">
        <v>471</v>
      </c>
      <c r="Z643" s="1373" t="str">
        <f>C628</f>
        <v>Deferred Developer Fee</v>
      </c>
      <c r="AA643" s="1373"/>
      <c r="AB643" s="1373"/>
      <c r="AC643" s="1373"/>
      <c r="AD643" s="1373"/>
      <c r="AE643" s="1373"/>
      <c r="AF643" s="1373"/>
      <c r="AG643" s="1373"/>
      <c r="AH643" s="1373"/>
      <c r="AI643" s="1373"/>
      <c r="AJ643" s="1373"/>
      <c r="AK643" s="137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8" t="e">
        <f t="shared" si="29"/>
        <v>#VALUE!</v>
      </c>
      <c r="DY643" s="1358"/>
      <c r="DZ643" s="1358"/>
      <c r="EA643" s="1358"/>
      <c r="EB643" s="1358"/>
      <c r="EC643" s="1358" t="e">
        <f t="shared" si="24"/>
        <v>#VALUE!</v>
      </c>
      <c r="ED643" s="1358"/>
      <c r="EE643" s="1358"/>
      <c r="EF643" s="1358"/>
      <c r="EG643" s="1358"/>
      <c r="EH643" s="1358" t="e">
        <f t="shared" si="25"/>
        <v>#VALUE!</v>
      </c>
      <c r="EI643" s="1358"/>
      <c r="EJ643" s="1358"/>
      <c r="EK643" s="1358"/>
      <c r="EL643" s="1358"/>
      <c r="EM643" s="1358">
        <f t="shared" si="26"/>
        <v>57.795918367346935</v>
      </c>
      <c r="EN643" s="1358"/>
      <c r="EO643" s="1358"/>
      <c r="EP643" s="1358"/>
      <c r="EQ643" s="1358"/>
      <c r="ER643" s="1358" t="e">
        <f t="shared" si="27"/>
        <v>#VALUE!</v>
      </c>
      <c r="ES643" s="1358"/>
      <c r="ET643" s="1358"/>
      <c r="EU643" s="1358"/>
      <c r="EV643" s="1358"/>
      <c r="EW643" s="1358" t="e">
        <f t="shared" si="28"/>
        <v>#VALUE!</v>
      </c>
      <c r="EX643" s="1358"/>
      <c r="EY643" s="1358"/>
      <c r="EZ643" s="1358"/>
      <c r="FA643" s="1358"/>
    </row>
    <row r="644" spans="1:157" ht="13.05" customHeight="1">
      <c r="A644" s="22"/>
      <c r="B644" t="s">
        <v>85</v>
      </c>
      <c r="G644" s="1404" t="s">
        <v>2728</v>
      </c>
      <c r="H644" s="1405"/>
      <c r="I644" s="1405"/>
      <c r="J644" s="1405"/>
      <c r="K644" s="1405"/>
      <c r="L644" s="1405"/>
      <c r="M644" s="1405"/>
      <c r="N644" s="1405"/>
      <c r="O644" s="1405"/>
      <c r="P644" s="1405"/>
      <c r="Q644" s="1405"/>
      <c r="R644" s="1405"/>
      <c r="S644" s="8"/>
      <c r="T644" s="22"/>
      <c r="U644" t="s">
        <v>85</v>
      </c>
      <c r="Z644" s="1267" t="s">
        <v>2735</v>
      </c>
      <c r="AA644" s="1267"/>
      <c r="AB644" s="1267"/>
      <c r="AC644" s="1267"/>
      <c r="AD644" s="1267"/>
      <c r="AE644" s="1267"/>
      <c r="AF644" s="1267"/>
      <c r="AG644" s="1267"/>
      <c r="AH644" s="1267"/>
      <c r="AI644" s="1267"/>
      <c r="AJ644" s="1267"/>
      <c r="AK644" s="126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58" t="e">
        <f t="shared" si="29"/>
        <v>#VALUE!</v>
      </c>
      <c r="DY644" s="1358"/>
      <c r="DZ644" s="1358"/>
      <c r="EA644" s="1358"/>
      <c r="EB644" s="1358"/>
      <c r="EC644" s="1358" t="e">
        <f t="shared" si="24"/>
        <v>#VALUE!</v>
      </c>
      <c r="ED644" s="1358"/>
      <c r="EE644" s="1358"/>
      <c r="EF644" s="1358"/>
      <c r="EG644" s="1358"/>
      <c r="EH644" s="1358" t="e">
        <f t="shared" si="25"/>
        <v>#VALUE!</v>
      </c>
      <c r="EI644" s="1358"/>
      <c r="EJ644" s="1358"/>
      <c r="EK644" s="1358"/>
      <c r="EL644" s="1358"/>
      <c r="EM644" s="1358">
        <f t="shared" si="26"/>
        <v>252.57142857142856</v>
      </c>
      <c r="EN644" s="1358"/>
      <c r="EO644" s="1358"/>
      <c r="EP644" s="1358"/>
      <c r="EQ644" s="1358"/>
      <c r="ER644" s="1358" t="e">
        <f t="shared" si="27"/>
        <v>#VALUE!</v>
      </c>
      <c r="ES644" s="1358"/>
      <c r="ET644" s="1358"/>
      <c r="EU644" s="1358"/>
      <c r="EV644" s="1358"/>
      <c r="EW644" s="1358" t="e">
        <f t="shared" si="28"/>
        <v>#VALUE!</v>
      </c>
      <c r="EX644" s="1358"/>
      <c r="EY644" s="1358"/>
      <c r="EZ644" s="1358"/>
      <c r="FA644" s="1358"/>
    </row>
    <row r="645" spans="1:157" ht="13.05" customHeight="1">
      <c r="A645" s="22"/>
      <c r="B645" t="s">
        <v>588</v>
      </c>
      <c r="G645" s="1404" t="s">
        <v>502</v>
      </c>
      <c r="H645" s="1405"/>
      <c r="I645" s="1405"/>
      <c r="J645" s="1405"/>
      <c r="K645" s="1405"/>
      <c r="L645" s="1405"/>
      <c r="M645" s="1405"/>
      <c r="N645" s="1405"/>
      <c r="O645" s="1405"/>
      <c r="P645" s="1405"/>
      <c r="Q645" s="1405"/>
      <c r="R645" s="1405"/>
      <c r="T645" s="22"/>
      <c r="U645" t="s">
        <v>588</v>
      </c>
      <c r="Z645" s="269" t="s">
        <v>2736</v>
      </c>
      <c r="AA645" s="269"/>
      <c r="AB645" s="269"/>
      <c r="AC645" s="269"/>
      <c r="AD645" s="269"/>
      <c r="AE645" s="269"/>
      <c r="AF645" s="269"/>
      <c r="AG645" s="269"/>
      <c r="AH645" s="269"/>
      <c r="AI645" s="269"/>
      <c r="AJ645" s="269"/>
      <c r="AK645" s="269"/>
      <c r="AV645" s="3"/>
      <c r="AW645" s="3"/>
      <c r="AX645" s="3"/>
      <c r="AY645" s="3"/>
      <c r="AZ645" s="3"/>
      <c r="BA645" s="3"/>
      <c r="BB645" s="3"/>
      <c r="BC645" s="3"/>
      <c r="BD645" s="3"/>
      <c r="BE645" s="3"/>
      <c r="BF645" s="3"/>
      <c r="BG645" s="3"/>
      <c r="BH645" s="3"/>
      <c r="BI645" s="3"/>
      <c r="BJ645" s="3"/>
      <c r="BK645" s="3"/>
      <c r="BL645" s="3"/>
      <c r="BM645" s="3"/>
      <c r="BN645" s="1406">
        <f t="shared" ref="BN645:BN654" si="30">IF(J787="SRO/Studio",O787,0)</f>
        <v>0</v>
      </c>
      <c r="BO645" s="1407"/>
      <c r="BP645" s="1407"/>
      <c r="BQ645" s="1407"/>
      <c r="BR645" s="1408"/>
      <c r="BS645" s="1403">
        <f t="shared" ref="BS645:BS654" si="31">IF(J787="1 Bedroom",O787,0)</f>
        <v>0</v>
      </c>
      <c r="BT645" s="1403"/>
      <c r="BU645" s="1403"/>
      <c r="BV645" s="1403"/>
      <c r="BW645" s="1403"/>
      <c r="BX645" s="1403">
        <f t="shared" ref="BX645:BX654" si="32">IF(J787="2 Bedrooms",O787,0)</f>
        <v>0</v>
      </c>
      <c r="BY645" s="1403"/>
      <c r="BZ645" s="1403"/>
      <c r="CA645" s="1403"/>
      <c r="CB645" s="1403"/>
      <c r="CC645" s="1403">
        <f t="shared" ref="CC645:CC654" si="33">IF(J787="3 Bedrooms",O787,0)</f>
        <v>0</v>
      </c>
      <c r="CD645" s="1403"/>
      <c r="CE645" s="1403"/>
      <c r="CF645" s="1403"/>
      <c r="CG645" s="1403"/>
      <c r="CH645" s="1403">
        <f t="shared" ref="CH645:CH654" si="34">IF(J787="4 Bedrooms",O787,0)</f>
        <v>0</v>
      </c>
      <c r="CI645" s="1403"/>
      <c r="CJ645" s="1403"/>
      <c r="CK645" s="1403"/>
      <c r="CL645" s="1403"/>
      <c r="CM645" s="1403">
        <f t="shared" ref="CM645:CM654" si="35">IF(J787="5 Bedrooms",O787,0)</f>
        <v>0</v>
      </c>
      <c r="CN645" s="1403"/>
      <c r="CO645" s="1403"/>
      <c r="CP645" s="1403"/>
      <c r="CQ645" s="1403"/>
      <c r="CR645" s="6"/>
      <c r="CS645" s="1406">
        <f t="shared" ref="CS645:CS654" si="36">IF(AND(BN645&gt;=1,AH787&gt;=0.1,AH787&lt;=1),O787,0)</f>
        <v>0</v>
      </c>
      <c r="CT645" s="1407"/>
      <c r="CU645" s="1407"/>
      <c r="CV645" s="1407"/>
      <c r="CW645" s="1408"/>
      <c r="CX645" s="1406">
        <f t="shared" ref="CX645:CX654" si="37">IF(AND(BS645&gt;=1,AH787&gt;=0.1,AH787&lt;=1),O787,0)</f>
        <v>0</v>
      </c>
      <c r="CY645" s="1407"/>
      <c r="CZ645" s="1407"/>
      <c r="DA645" s="1407"/>
      <c r="DB645" s="1408"/>
      <c r="DC645" s="1406">
        <f t="shared" ref="DC645:DC654" si="38">IF(AND(BX645&gt;=1,AH787&gt;=0.1,AH787&lt;=1),O787,0)</f>
        <v>0</v>
      </c>
      <c r="DD645" s="1407"/>
      <c r="DE645" s="1407"/>
      <c r="DF645" s="1407"/>
      <c r="DG645" s="1408"/>
      <c r="DH645" s="1406">
        <f t="shared" ref="DH645:DH654" si="39">IF(AND(CC645&gt;=1,AH787&gt;=0.1,AH787&lt;=1),O787,0)</f>
        <v>0</v>
      </c>
      <c r="DI645" s="1407"/>
      <c r="DJ645" s="1407"/>
      <c r="DK645" s="1407"/>
      <c r="DL645" s="1408"/>
      <c r="DM645" s="1406">
        <f t="shared" ref="DM645:DM654" si="40">IF(AND(CH645&gt;=1,AH787&gt;=0.1,AH787&lt;=1),O787,0)</f>
        <v>0</v>
      </c>
      <c r="DN645" s="1407"/>
      <c r="DO645" s="1407"/>
      <c r="DP645" s="1407"/>
      <c r="DQ645" s="1408"/>
      <c r="DR645" s="1406">
        <f t="shared" ref="DR645:DR654" si="41">IF(AND(CM645&gt;=1,AH787&gt;=0.1,AH787&lt;=1),O787,0)</f>
        <v>0</v>
      </c>
      <c r="DS645" s="1407"/>
      <c r="DT645" s="1407"/>
      <c r="DU645" s="1407"/>
      <c r="DV645" s="1408"/>
      <c r="DX645" s="1358" t="e">
        <f t="shared" si="29"/>
        <v>#VALUE!</v>
      </c>
      <c r="DY645" s="1358"/>
      <c r="DZ645" s="1358"/>
      <c r="EA645" s="1358"/>
      <c r="EB645" s="1358"/>
      <c r="EC645" s="1358" t="e">
        <f t="shared" si="24"/>
        <v>#VALUE!</v>
      </c>
      <c r="ED645" s="1358"/>
      <c r="EE645" s="1358"/>
      <c r="EF645" s="1358"/>
      <c r="EG645" s="1358"/>
      <c r="EH645" s="1358" t="e">
        <f t="shared" si="25"/>
        <v>#VALUE!</v>
      </c>
      <c r="EI645" s="1358"/>
      <c r="EJ645" s="1358"/>
      <c r="EK645" s="1358"/>
      <c r="EL645" s="1358"/>
      <c r="EM645" s="1358">
        <f t="shared" si="26"/>
        <v>1005.612244897959</v>
      </c>
      <c r="EN645" s="1358"/>
      <c r="EO645" s="1358"/>
      <c r="EP645" s="1358"/>
      <c r="EQ645" s="1358"/>
      <c r="ER645" s="1358" t="e">
        <f t="shared" si="27"/>
        <v>#VALUE!</v>
      </c>
      <c r="ES645" s="1358"/>
      <c r="ET645" s="1358"/>
      <c r="EU645" s="1358"/>
      <c r="EV645" s="1358"/>
      <c r="EW645" s="1358" t="e">
        <f t="shared" si="28"/>
        <v>#VALUE!</v>
      </c>
      <c r="EX645" s="1358"/>
      <c r="EY645" s="1358"/>
      <c r="EZ645" s="1358"/>
      <c r="FA645" s="1358"/>
    </row>
    <row r="646" spans="1:157" ht="13.05" customHeight="1">
      <c r="A646" s="22"/>
      <c r="B646" t="s">
        <v>17</v>
      </c>
      <c r="G646" s="1404" t="s">
        <v>2729</v>
      </c>
      <c r="H646" s="1405"/>
      <c r="I646" s="1405"/>
      <c r="J646" s="1405"/>
      <c r="K646" s="1405"/>
      <c r="L646" s="1405"/>
      <c r="M646" s="1405"/>
      <c r="N646" s="1405"/>
      <c r="O646" s="1405"/>
      <c r="P646" s="1405"/>
      <c r="Q646" s="1405"/>
      <c r="R646" s="1405"/>
      <c r="S646" s="8"/>
      <c r="T646" s="22"/>
      <c r="U646" t="s">
        <v>17</v>
      </c>
      <c r="Z646" s="269" t="s">
        <v>2651</v>
      </c>
      <c r="AA646" s="269"/>
      <c r="AB646" s="269"/>
      <c r="AC646" s="269"/>
      <c r="AD646" s="269"/>
      <c r="AE646" s="269"/>
      <c r="AF646" s="269"/>
      <c r="AG646" s="269"/>
      <c r="AH646" s="269"/>
      <c r="AI646" s="269"/>
      <c r="AJ646" s="269"/>
      <c r="AK646" s="269"/>
      <c r="AZ646" s="3"/>
      <c r="BA646" s="3"/>
      <c r="BB646" s="3"/>
      <c r="BC646" s="3"/>
      <c r="BD646" s="3"/>
      <c r="BE646" s="3"/>
      <c r="BF646" s="3"/>
      <c r="BG646" s="3"/>
      <c r="BH646" s="3"/>
      <c r="BI646" s="3"/>
      <c r="BJ646" s="3"/>
      <c r="BK646" s="3"/>
      <c r="BL646" s="3"/>
      <c r="BM646" s="3"/>
      <c r="BN646" s="1406">
        <f t="shared" si="30"/>
        <v>0</v>
      </c>
      <c r="BO646" s="1407"/>
      <c r="BP646" s="1407"/>
      <c r="BQ646" s="1407"/>
      <c r="BR646" s="1408"/>
      <c r="BS646" s="1403">
        <f t="shared" si="31"/>
        <v>0</v>
      </c>
      <c r="BT646" s="1403"/>
      <c r="BU646" s="1403"/>
      <c r="BV646" s="1403"/>
      <c r="BW646" s="1403"/>
      <c r="BX646" s="1403">
        <f t="shared" si="32"/>
        <v>0</v>
      </c>
      <c r="BY646" s="1403"/>
      <c r="BZ646" s="1403"/>
      <c r="CA646" s="1403"/>
      <c r="CB646" s="1403"/>
      <c r="CC646" s="1403">
        <f t="shared" si="33"/>
        <v>0</v>
      </c>
      <c r="CD646" s="1403"/>
      <c r="CE646" s="1403"/>
      <c r="CF646" s="1403"/>
      <c r="CG646" s="1403"/>
      <c r="CH646" s="1403">
        <f t="shared" si="34"/>
        <v>0</v>
      </c>
      <c r="CI646" s="1403"/>
      <c r="CJ646" s="1403"/>
      <c r="CK646" s="1403"/>
      <c r="CL646" s="1403"/>
      <c r="CM646" s="1403">
        <f t="shared" si="35"/>
        <v>0</v>
      </c>
      <c r="CN646" s="1403"/>
      <c r="CO646" s="1403"/>
      <c r="CP646" s="1403"/>
      <c r="CQ646" s="1403"/>
      <c r="CR646" s="6"/>
      <c r="CS646" s="1406">
        <f t="shared" si="36"/>
        <v>0</v>
      </c>
      <c r="CT646" s="1407"/>
      <c r="CU646" s="1407"/>
      <c r="CV646" s="1407"/>
      <c r="CW646" s="1408"/>
      <c r="CX646" s="1406">
        <f t="shared" si="37"/>
        <v>0</v>
      </c>
      <c r="CY646" s="1407"/>
      <c r="CZ646" s="1407"/>
      <c r="DA646" s="1407"/>
      <c r="DB646" s="1408"/>
      <c r="DC646" s="1406">
        <f t="shared" si="38"/>
        <v>0</v>
      </c>
      <c r="DD646" s="1407"/>
      <c r="DE646" s="1407"/>
      <c r="DF646" s="1407"/>
      <c r="DG646" s="1408"/>
      <c r="DH646" s="1406">
        <f t="shared" si="39"/>
        <v>0</v>
      </c>
      <c r="DI646" s="1407"/>
      <c r="DJ646" s="1407"/>
      <c r="DK646" s="1407"/>
      <c r="DL646" s="1408"/>
      <c r="DM646" s="1406">
        <f t="shared" si="40"/>
        <v>0</v>
      </c>
      <c r="DN646" s="1407"/>
      <c r="DO646" s="1407"/>
      <c r="DP646" s="1407"/>
      <c r="DQ646" s="1408"/>
      <c r="DR646" s="1406">
        <f t="shared" si="41"/>
        <v>0</v>
      </c>
      <c r="DS646" s="1407"/>
      <c r="DT646" s="1407"/>
      <c r="DU646" s="1407"/>
      <c r="DV646" s="1408"/>
      <c r="DX646" s="1358" t="e">
        <f t="shared" si="29"/>
        <v>#VALUE!</v>
      </c>
      <c r="DY646" s="1358"/>
      <c r="DZ646" s="1358"/>
      <c r="EA646" s="1358"/>
      <c r="EB646" s="1358"/>
      <c r="EC646" s="1358" t="e">
        <f t="shared" si="24"/>
        <v>#VALUE!</v>
      </c>
      <c r="ED646" s="1358"/>
      <c r="EE646" s="1358"/>
      <c r="EF646" s="1358"/>
      <c r="EG646" s="1358"/>
      <c r="EH646" s="1358" t="e">
        <f t="shared" si="25"/>
        <v>#VALUE!</v>
      </c>
      <c r="EI646" s="1358"/>
      <c r="EJ646" s="1358"/>
      <c r="EK646" s="1358"/>
      <c r="EL646" s="1358"/>
      <c r="EM646" s="1358" t="e">
        <f t="shared" si="26"/>
        <v>#VALUE!</v>
      </c>
      <c r="EN646" s="1358"/>
      <c r="EO646" s="1358"/>
      <c r="EP646" s="1358"/>
      <c r="EQ646" s="1358"/>
      <c r="ER646" s="1358" t="e">
        <f t="shared" si="27"/>
        <v>#VALUE!</v>
      </c>
      <c r="ES646" s="1358"/>
      <c r="ET646" s="1358"/>
      <c r="EU646" s="1358"/>
      <c r="EV646" s="1358"/>
      <c r="EW646" s="1358" t="e">
        <f t="shared" si="28"/>
        <v>#VALUE!</v>
      </c>
      <c r="EX646" s="1358"/>
      <c r="EY646" s="1358"/>
      <c r="EZ646" s="1358"/>
      <c r="FA646" s="1358"/>
    </row>
    <row r="647" spans="1:157" ht="13.05" customHeight="1">
      <c r="A647" s="22"/>
      <c r="B647" t="s">
        <v>317</v>
      </c>
      <c r="G647" s="1421" t="s">
        <v>2730</v>
      </c>
      <c r="H647" s="1421"/>
      <c r="I647" s="1421"/>
      <c r="J647" s="1421"/>
      <c r="K647" s="1421"/>
      <c r="L647" s="1421"/>
      <c r="O647" s="33" t="s">
        <v>207</v>
      </c>
      <c r="P647" s="1372"/>
      <c r="Q647" s="1372"/>
      <c r="R647" s="1372"/>
      <c r="S647" s="10"/>
      <c r="T647" s="22"/>
      <c r="U647" t="s">
        <v>317</v>
      </c>
      <c r="Z647" s="1421" t="s">
        <v>2738</v>
      </c>
      <c r="AA647" s="1393"/>
      <c r="AB647" s="1393"/>
      <c r="AC647" s="1393"/>
      <c r="AD647" s="1393"/>
      <c r="AE647" s="1393"/>
      <c r="AH647" s="33" t="s">
        <v>207</v>
      </c>
      <c r="AI647" s="1372"/>
      <c r="AJ647" s="1372"/>
      <c r="AK647" s="1372"/>
      <c r="AZ647" s="34"/>
      <c r="BA647" s="34"/>
      <c r="BB647" s="34"/>
      <c r="BC647" s="34"/>
      <c r="BD647" s="34"/>
      <c r="BE647" s="34"/>
      <c r="BF647" s="34"/>
      <c r="BG647" s="34"/>
      <c r="BH647" s="34"/>
      <c r="BI647" s="34"/>
      <c r="BJ647" s="34"/>
      <c r="BK647" s="34"/>
      <c r="BL647" s="34"/>
      <c r="BM647" s="34"/>
      <c r="BN647" s="1406">
        <f t="shared" si="30"/>
        <v>0</v>
      </c>
      <c r="BO647" s="1407"/>
      <c r="BP647" s="1407"/>
      <c r="BQ647" s="1407"/>
      <c r="BR647" s="1408"/>
      <c r="BS647" s="1403">
        <f t="shared" si="31"/>
        <v>0</v>
      </c>
      <c r="BT647" s="1403"/>
      <c r="BU647" s="1403"/>
      <c r="BV647" s="1403"/>
      <c r="BW647" s="1403"/>
      <c r="BX647" s="1403">
        <f t="shared" si="32"/>
        <v>0</v>
      </c>
      <c r="BY647" s="1403"/>
      <c r="BZ647" s="1403"/>
      <c r="CA647" s="1403"/>
      <c r="CB647" s="1403"/>
      <c r="CC647" s="1403">
        <f t="shared" si="33"/>
        <v>0</v>
      </c>
      <c r="CD647" s="1403"/>
      <c r="CE647" s="1403"/>
      <c r="CF647" s="1403"/>
      <c r="CG647" s="1403"/>
      <c r="CH647" s="1403">
        <f t="shared" si="34"/>
        <v>0</v>
      </c>
      <c r="CI647" s="1403"/>
      <c r="CJ647" s="1403"/>
      <c r="CK647" s="1403"/>
      <c r="CL647" s="1403"/>
      <c r="CM647" s="1403">
        <f t="shared" si="35"/>
        <v>0</v>
      </c>
      <c r="CN647" s="1403"/>
      <c r="CO647" s="1403"/>
      <c r="CP647" s="1403"/>
      <c r="CQ647" s="1403"/>
      <c r="CR647" s="6"/>
      <c r="CS647" s="1406">
        <f t="shared" si="36"/>
        <v>0</v>
      </c>
      <c r="CT647" s="1407"/>
      <c r="CU647" s="1407"/>
      <c r="CV647" s="1407"/>
      <c r="CW647" s="1408"/>
      <c r="CX647" s="1406">
        <f t="shared" si="37"/>
        <v>0</v>
      </c>
      <c r="CY647" s="1407"/>
      <c r="CZ647" s="1407"/>
      <c r="DA647" s="1407"/>
      <c r="DB647" s="1408"/>
      <c r="DC647" s="1406">
        <f t="shared" si="38"/>
        <v>0</v>
      </c>
      <c r="DD647" s="1407"/>
      <c r="DE647" s="1407"/>
      <c r="DF647" s="1407"/>
      <c r="DG647" s="1408"/>
      <c r="DH647" s="1406">
        <f t="shared" si="39"/>
        <v>0</v>
      </c>
      <c r="DI647" s="1407"/>
      <c r="DJ647" s="1407"/>
      <c r="DK647" s="1407"/>
      <c r="DL647" s="1408"/>
      <c r="DM647" s="1406">
        <f t="shared" si="40"/>
        <v>0</v>
      </c>
      <c r="DN647" s="1407"/>
      <c r="DO647" s="1407"/>
      <c r="DP647" s="1407"/>
      <c r="DQ647" s="1408"/>
      <c r="DR647" s="1406">
        <f t="shared" si="41"/>
        <v>0</v>
      </c>
      <c r="DS647" s="1407"/>
      <c r="DT647" s="1407"/>
      <c r="DU647" s="1407"/>
      <c r="DV647" s="1408"/>
      <c r="DX647" s="1358" t="e">
        <f t="shared" si="29"/>
        <v>#VALUE!</v>
      </c>
      <c r="DY647" s="1358"/>
      <c r="DZ647" s="1358"/>
      <c r="EA647" s="1358"/>
      <c r="EB647" s="1358"/>
      <c r="EC647" s="1358" t="e">
        <f t="shared" si="24"/>
        <v>#VALUE!</v>
      </c>
      <c r="ED647" s="1358"/>
      <c r="EE647" s="1358"/>
      <c r="EF647" s="1358"/>
      <c r="EG647" s="1358"/>
      <c r="EH647" s="1358" t="e">
        <f t="shared" si="25"/>
        <v>#VALUE!</v>
      </c>
      <c r="EI647" s="1358"/>
      <c r="EJ647" s="1358"/>
      <c r="EK647" s="1358"/>
      <c r="EL647" s="1358"/>
      <c r="EM647" s="1358" t="e">
        <f t="shared" si="26"/>
        <v>#VALUE!</v>
      </c>
      <c r="EN647" s="1358"/>
      <c r="EO647" s="1358"/>
      <c r="EP647" s="1358"/>
      <c r="EQ647" s="1358"/>
      <c r="ER647" s="1358" t="e">
        <f t="shared" si="27"/>
        <v>#VALUE!</v>
      </c>
      <c r="ES647" s="1358"/>
      <c r="ET647" s="1358"/>
      <c r="EU647" s="1358"/>
      <c r="EV647" s="1358"/>
      <c r="EW647" s="1358" t="e">
        <f t="shared" si="28"/>
        <v>#VALUE!</v>
      </c>
      <c r="EX647" s="1358"/>
      <c r="EY647" s="1358"/>
      <c r="EZ647" s="1358"/>
      <c r="FA647" s="1358"/>
    </row>
    <row r="648" spans="1:157" ht="13.05" customHeight="1">
      <c r="A648" s="22"/>
      <c r="B648" t="s">
        <v>18</v>
      </c>
      <c r="H648" s="1405" t="s">
        <v>2739</v>
      </c>
      <c r="I648" s="1405"/>
      <c r="J648" s="1405"/>
      <c r="K648" s="1405"/>
      <c r="L648" s="1405"/>
      <c r="M648" s="1405"/>
      <c r="N648" s="1405"/>
      <c r="O648" s="1405"/>
      <c r="P648" s="1405"/>
      <c r="Q648" s="1405"/>
      <c r="R648" s="1405"/>
      <c r="S648" s="8"/>
      <c r="T648" s="22"/>
      <c r="U648" t="s">
        <v>18</v>
      </c>
      <c r="AA648" s="1405" t="s">
        <v>2739</v>
      </c>
      <c r="AB648" s="1405"/>
      <c r="AC648" s="1405"/>
      <c r="AD648" s="1405"/>
      <c r="AE648" s="1405"/>
      <c r="AF648" s="1405"/>
      <c r="AG648" s="1405"/>
      <c r="AH648" s="1405"/>
      <c r="AI648" s="1405"/>
      <c r="AJ648" s="1405"/>
      <c r="AK648" s="1405"/>
      <c r="AZ648" s="34"/>
      <c r="BA648" s="34"/>
      <c r="BB648" s="34"/>
      <c r="BC648" s="34"/>
      <c r="BD648" s="34"/>
      <c r="BE648" s="34"/>
      <c r="BF648" s="34"/>
      <c r="BG648" s="34"/>
      <c r="BH648" s="34"/>
      <c r="BI648" s="34"/>
      <c r="BJ648" s="34"/>
      <c r="BK648" s="34"/>
      <c r="BL648" s="34"/>
      <c r="BM648" s="34"/>
      <c r="BN648" s="1406">
        <f t="shared" si="30"/>
        <v>0</v>
      </c>
      <c r="BO648" s="1407"/>
      <c r="BP648" s="1407"/>
      <c r="BQ648" s="1407"/>
      <c r="BR648" s="1408"/>
      <c r="BS648" s="1403">
        <f t="shared" si="31"/>
        <v>0</v>
      </c>
      <c r="BT648" s="1403"/>
      <c r="BU648" s="1403"/>
      <c r="BV648" s="1403"/>
      <c r="BW648" s="1403"/>
      <c r="BX648" s="1403">
        <f t="shared" si="32"/>
        <v>0</v>
      </c>
      <c r="BY648" s="1403"/>
      <c r="BZ648" s="1403"/>
      <c r="CA648" s="1403"/>
      <c r="CB648" s="1403"/>
      <c r="CC648" s="1403">
        <f t="shared" si="33"/>
        <v>0</v>
      </c>
      <c r="CD648" s="1403"/>
      <c r="CE648" s="1403"/>
      <c r="CF648" s="1403"/>
      <c r="CG648" s="1403"/>
      <c r="CH648" s="1403">
        <f t="shared" si="34"/>
        <v>0</v>
      </c>
      <c r="CI648" s="1403"/>
      <c r="CJ648" s="1403"/>
      <c r="CK648" s="1403"/>
      <c r="CL648" s="1403"/>
      <c r="CM648" s="1403">
        <f t="shared" si="35"/>
        <v>0</v>
      </c>
      <c r="CN648" s="1403"/>
      <c r="CO648" s="1403"/>
      <c r="CP648" s="1403"/>
      <c r="CQ648" s="1403"/>
      <c r="CR648" s="6"/>
      <c r="CS648" s="1406">
        <f t="shared" si="36"/>
        <v>0</v>
      </c>
      <c r="CT648" s="1407"/>
      <c r="CU648" s="1407"/>
      <c r="CV648" s="1407"/>
      <c r="CW648" s="1408"/>
      <c r="CX648" s="1406">
        <f t="shared" si="37"/>
        <v>0</v>
      </c>
      <c r="CY648" s="1407"/>
      <c r="CZ648" s="1407"/>
      <c r="DA648" s="1407"/>
      <c r="DB648" s="1408"/>
      <c r="DC648" s="1406">
        <f t="shared" si="38"/>
        <v>0</v>
      </c>
      <c r="DD648" s="1407"/>
      <c r="DE648" s="1407"/>
      <c r="DF648" s="1407"/>
      <c r="DG648" s="1408"/>
      <c r="DH648" s="1406">
        <f t="shared" si="39"/>
        <v>0</v>
      </c>
      <c r="DI648" s="1407"/>
      <c r="DJ648" s="1407"/>
      <c r="DK648" s="1407"/>
      <c r="DL648" s="1408"/>
      <c r="DM648" s="1406">
        <f t="shared" si="40"/>
        <v>0</v>
      </c>
      <c r="DN648" s="1407"/>
      <c r="DO648" s="1407"/>
      <c r="DP648" s="1407"/>
      <c r="DQ648" s="1408"/>
      <c r="DR648" s="1406">
        <f t="shared" si="41"/>
        <v>0</v>
      </c>
      <c r="DS648" s="1407"/>
      <c r="DT648" s="1407"/>
      <c r="DU648" s="1407"/>
      <c r="DV648" s="1408"/>
      <c r="DX648" s="1358" t="e">
        <f t="shared" si="29"/>
        <v>#VALUE!</v>
      </c>
      <c r="DY648" s="1358"/>
      <c r="DZ648" s="1358"/>
      <c r="EA648" s="1358"/>
      <c r="EB648" s="1358"/>
      <c r="EC648" s="1358" t="e">
        <f t="shared" si="24"/>
        <v>#VALUE!</v>
      </c>
      <c r="ED648" s="1358"/>
      <c r="EE648" s="1358"/>
      <c r="EF648" s="1358"/>
      <c r="EG648" s="1358"/>
      <c r="EH648" s="1358" t="e">
        <f t="shared" si="25"/>
        <v>#VALUE!</v>
      </c>
      <c r="EI648" s="1358"/>
      <c r="EJ648" s="1358"/>
      <c r="EK648" s="1358"/>
      <c r="EL648" s="1358"/>
      <c r="EM648" s="1358" t="e">
        <f t="shared" si="26"/>
        <v>#VALUE!</v>
      </c>
      <c r="EN648" s="1358"/>
      <c r="EO648" s="1358"/>
      <c r="EP648" s="1358"/>
      <c r="EQ648" s="1358"/>
      <c r="ER648" s="1358" t="e">
        <f t="shared" si="27"/>
        <v>#VALUE!</v>
      </c>
      <c r="ES648" s="1358"/>
      <c r="ET648" s="1358"/>
      <c r="EU648" s="1358"/>
      <c r="EV648" s="1358"/>
      <c r="EW648" s="1358" t="e">
        <f t="shared" si="28"/>
        <v>#VALUE!</v>
      </c>
      <c r="EX648" s="1358"/>
      <c r="EY648" s="1358"/>
      <c r="EZ648" s="1358"/>
      <c r="FA648" s="1358"/>
    </row>
    <row r="649" spans="1:157" ht="13.05" customHeight="1">
      <c r="A649" s="22"/>
      <c r="B649" t="s">
        <v>20</v>
      </c>
      <c r="N649" s="1461" t="s">
        <v>553</v>
      </c>
      <c r="O649" s="1461"/>
      <c r="T649" s="22"/>
      <c r="U649" t="s">
        <v>20</v>
      </c>
      <c r="AG649" s="1461" t="s">
        <v>553</v>
      </c>
      <c r="AH649" s="1461"/>
      <c r="AZ649" s="34"/>
      <c r="BA649" s="34"/>
      <c r="BB649" s="34"/>
      <c r="BC649" s="34"/>
      <c r="BD649" s="34"/>
      <c r="BE649" s="34"/>
      <c r="BF649" s="34"/>
      <c r="BG649" s="34"/>
      <c r="BH649" s="34"/>
      <c r="BI649" s="34"/>
      <c r="BJ649" s="34"/>
      <c r="BK649" s="34"/>
      <c r="BL649" s="34"/>
      <c r="BM649" s="34"/>
      <c r="BN649" s="1406">
        <f t="shared" si="30"/>
        <v>0</v>
      </c>
      <c r="BO649" s="1407"/>
      <c r="BP649" s="1407"/>
      <c r="BQ649" s="1407"/>
      <c r="BR649" s="1408"/>
      <c r="BS649" s="1403">
        <f t="shared" si="31"/>
        <v>0</v>
      </c>
      <c r="BT649" s="1403"/>
      <c r="BU649" s="1403"/>
      <c r="BV649" s="1403"/>
      <c r="BW649" s="1403"/>
      <c r="BX649" s="1403">
        <f t="shared" si="32"/>
        <v>0</v>
      </c>
      <c r="BY649" s="1403"/>
      <c r="BZ649" s="1403"/>
      <c r="CA649" s="1403"/>
      <c r="CB649" s="1403"/>
      <c r="CC649" s="1403">
        <f t="shared" si="33"/>
        <v>0</v>
      </c>
      <c r="CD649" s="1403"/>
      <c r="CE649" s="1403"/>
      <c r="CF649" s="1403"/>
      <c r="CG649" s="1403"/>
      <c r="CH649" s="1403">
        <f t="shared" si="34"/>
        <v>0</v>
      </c>
      <c r="CI649" s="1403"/>
      <c r="CJ649" s="1403"/>
      <c r="CK649" s="1403"/>
      <c r="CL649" s="1403"/>
      <c r="CM649" s="1403">
        <f t="shared" si="35"/>
        <v>0</v>
      </c>
      <c r="CN649" s="1403"/>
      <c r="CO649" s="1403"/>
      <c r="CP649" s="1403"/>
      <c r="CQ649" s="1403"/>
      <c r="CR649" s="6"/>
      <c r="CS649" s="1406">
        <f t="shared" si="36"/>
        <v>0</v>
      </c>
      <c r="CT649" s="1407"/>
      <c r="CU649" s="1407"/>
      <c r="CV649" s="1407"/>
      <c r="CW649" s="1408"/>
      <c r="CX649" s="1406">
        <f t="shared" si="37"/>
        <v>0</v>
      </c>
      <c r="CY649" s="1407"/>
      <c r="CZ649" s="1407"/>
      <c r="DA649" s="1407"/>
      <c r="DB649" s="1408"/>
      <c r="DC649" s="1406">
        <f t="shared" si="38"/>
        <v>0</v>
      </c>
      <c r="DD649" s="1407"/>
      <c r="DE649" s="1407"/>
      <c r="DF649" s="1407"/>
      <c r="DG649" s="1408"/>
      <c r="DH649" s="1406">
        <f t="shared" si="39"/>
        <v>0</v>
      </c>
      <c r="DI649" s="1407"/>
      <c r="DJ649" s="1407"/>
      <c r="DK649" s="1407"/>
      <c r="DL649" s="1408"/>
      <c r="DM649" s="1406">
        <f t="shared" si="40"/>
        <v>0</v>
      </c>
      <c r="DN649" s="1407"/>
      <c r="DO649" s="1407"/>
      <c r="DP649" s="1407"/>
      <c r="DQ649" s="1408"/>
      <c r="DR649" s="1406">
        <f t="shared" si="41"/>
        <v>0</v>
      </c>
      <c r="DS649" s="1407"/>
      <c r="DT649" s="1407"/>
      <c r="DU649" s="1407"/>
      <c r="DV649" s="1408"/>
      <c r="DX649" s="1358" t="e">
        <f t="shared" si="29"/>
        <v>#VALUE!</v>
      </c>
      <c r="DY649" s="1358"/>
      <c r="DZ649" s="1358"/>
      <c r="EA649" s="1358"/>
      <c r="EB649" s="1358"/>
      <c r="EC649" s="1358" t="e">
        <f t="shared" si="24"/>
        <v>#VALUE!</v>
      </c>
      <c r="ED649" s="1358"/>
      <c r="EE649" s="1358"/>
      <c r="EF649" s="1358"/>
      <c r="EG649" s="1358"/>
      <c r="EH649" s="1358" t="e">
        <f t="shared" si="25"/>
        <v>#VALUE!</v>
      </c>
      <c r="EI649" s="1358"/>
      <c r="EJ649" s="1358"/>
      <c r="EK649" s="1358"/>
      <c r="EL649" s="1358"/>
      <c r="EM649" s="1358" t="e">
        <f t="shared" si="26"/>
        <v>#VALUE!</v>
      </c>
      <c r="EN649" s="1358"/>
      <c r="EO649" s="1358"/>
      <c r="EP649" s="1358"/>
      <c r="EQ649" s="1358"/>
      <c r="ER649" s="1358" t="e">
        <f t="shared" si="27"/>
        <v>#VALUE!</v>
      </c>
      <c r="ES649" s="1358"/>
      <c r="ET649" s="1358"/>
      <c r="EU649" s="1358"/>
      <c r="EV649" s="1358"/>
      <c r="EW649" s="1358" t="e">
        <f t="shared" si="28"/>
        <v>#VALUE!</v>
      </c>
      <c r="EX649" s="1358"/>
      <c r="EY649" s="1358"/>
      <c r="EZ649" s="1358"/>
      <c r="FA649" s="1358"/>
    </row>
    <row r="650" spans="1:157" ht="13.05" customHeight="1">
      <c r="A650" s="22"/>
      <c r="T650" s="22"/>
      <c r="AZ650" s="34"/>
      <c r="BA650" s="34"/>
      <c r="BB650" s="34"/>
      <c r="BC650" s="34"/>
      <c r="BD650" s="34"/>
      <c r="BE650" s="34"/>
      <c r="BF650" s="34"/>
      <c r="BG650" s="34"/>
      <c r="BH650" s="34"/>
      <c r="BI650" s="34"/>
      <c r="BJ650" s="34"/>
      <c r="BK650" s="34"/>
      <c r="BL650" s="34"/>
      <c r="BM650" s="34"/>
      <c r="BN650" s="1406">
        <f t="shared" si="30"/>
        <v>0</v>
      </c>
      <c r="BO650" s="1407"/>
      <c r="BP650" s="1407"/>
      <c r="BQ650" s="1407"/>
      <c r="BR650" s="1408"/>
      <c r="BS650" s="1403">
        <f t="shared" si="31"/>
        <v>0</v>
      </c>
      <c r="BT650" s="1403"/>
      <c r="BU650" s="1403"/>
      <c r="BV650" s="1403"/>
      <c r="BW650" s="1403"/>
      <c r="BX650" s="1403">
        <f t="shared" si="32"/>
        <v>0</v>
      </c>
      <c r="BY650" s="1403"/>
      <c r="BZ650" s="1403"/>
      <c r="CA650" s="1403"/>
      <c r="CB650" s="1403"/>
      <c r="CC650" s="1403">
        <f t="shared" si="33"/>
        <v>0</v>
      </c>
      <c r="CD650" s="1403"/>
      <c r="CE650" s="1403"/>
      <c r="CF650" s="1403"/>
      <c r="CG650" s="1403"/>
      <c r="CH650" s="1403">
        <f t="shared" si="34"/>
        <v>0</v>
      </c>
      <c r="CI650" s="1403"/>
      <c r="CJ650" s="1403"/>
      <c r="CK650" s="1403"/>
      <c r="CL650" s="1403"/>
      <c r="CM650" s="1403">
        <f t="shared" si="35"/>
        <v>0</v>
      </c>
      <c r="CN650" s="1403"/>
      <c r="CO650" s="1403"/>
      <c r="CP650" s="1403"/>
      <c r="CQ650" s="1403"/>
      <c r="CR650" s="6"/>
      <c r="CS650" s="1406">
        <f t="shared" si="36"/>
        <v>0</v>
      </c>
      <c r="CT650" s="1407"/>
      <c r="CU650" s="1407"/>
      <c r="CV650" s="1407"/>
      <c r="CW650" s="1408"/>
      <c r="CX650" s="1406">
        <f t="shared" si="37"/>
        <v>0</v>
      </c>
      <c r="CY650" s="1407"/>
      <c r="CZ650" s="1407"/>
      <c r="DA650" s="1407"/>
      <c r="DB650" s="1408"/>
      <c r="DC650" s="1406">
        <f t="shared" si="38"/>
        <v>0</v>
      </c>
      <c r="DD650" s="1407"/>
      <c r="DE650" s="1407"/>
      <c r="DF650" s="1407"/>
      <c r="DG650" s="1408"/>
      <c r="DH650" s="1406">
        <f t="shared" si="39"/>
        <v>0</v>
      </c>
      <c r="DI650" s="1407"/>
      <c r="DJ650" s="1407"/>
      <c r="DK650" s="1407"/>
      <c r="DL650" s="1408"/>
      <c r="DM650" s="1406">
        <f t="shared" si="40"/>
        <v>0</v>
      </c>
      <c r="DN650" s="1407"/>
      <c r="DO650" s="1407"/>
      <c r="DP650" s="1407"/>
      <c r="DQ650" s="1408"/>
      <c r="DR650" s="1406">
        <f t="shared" si="41"/>
        <v>0</v>
      </c>
      <c r="DS650" s="1407"/>
      <c r="DT650" s="1407"/>
      <c r="DU650" s="1407"/>
      <c r="DV650" s="1408"/>
      <c r="DX650" s="1358" t="e">
        <f t="shared" si="29"/>
        <v>#VALUE!</v>
      </c>
      <c r="DY650" s="1358"/>
      <c r="DZ650" s="1358"/>
      <c r="EA650" s="1358"/>
      <c r="EB650" s="1358"/>
      <c r="EC650" s="1358" t="e">
        <f t="shared" si="24"/>
        <v>#VALUE!</v>
      </c>
      <c r="ED650" s="1358"/>
      <c r="EE650" s="1358"/>
      <c r="EF650" s="1358"/>
      <c r="EG650" s="1358"/>
      <c r="EH650" s="1358" t="e">
        <f t="shared" si="25"/>
        <v>#VALUE!</v>
      </c>
      <c r="EI650" s="1358"/>
      <c r="EJ650" s="1358"/>
      <c r="EK650" s="1358"/>
      <c r="EL650" s="1358"/>
      <c r="EM650" s="1358" t="e">
        <f t="shared" si="26"/>
        <v>#VALUE!</v>
      </c>
      <c r="EN650" s="1358"/>
      <c r="EO650" s="1358"/>
      <c r="EP650" s="1358"/>
      <c r="EQ650" s="1358"/>
      <c r="ER650" s="1358" t="e">
        <f t="shared" si="27"/>
        <v>#VALUE!</v>
      </c>
      <c r="ES650" s="1358"/>
      <c r="ET650" s="1358"/>
      <c r="EU650" s="1358"/>
      <c r="EV650" s="1358"/>
      <c r="EW650" s="1358" t="e">
        <f t="shared" si="28"/>
        <v>#VALUE!</v>
      </c>
      <c r="EX650" s="1358"/>
      <c r="EY650" s="1358"/>
      <c r="EZ650" s="1358"/>
      <c r="FA650" s="1358"/>
    </row>
    <row r="651" spans="1:157" ht="13.05" customHeight="1">
      <c r="A651" s="55" t="s">
        <v>119</v>
      </c>
      <c r="B651" t="s">
        <v>471</v>
      </c>
      <c r="G651" s="1373">
        <f>C629</f>
        <v>0</v>
      </c>
      <c r="H651" s="1373"/>
      <c r="I651" s="1373"/>
      <c r="J651" s="1373"/>
      <c r="K651" s="1373"/>
      <c r="L651" s="1373"/>
      <c r="M651" s="1373"/>
      <c r="N651" s="1373"/>
      <c r="O651" s="1373"/>
      <c r="P651" s="1373"/>
      <c r="Q651" s="1373"/>
      <c r="R651" s="1373"/>
      <c r="T651" s="55" t="s">
        <v>589</v>
      </c>
      <c r="U651" t="s">
        <v>471</v>
      </c>
      <c r="Z651" s="1373">
        <f>C630</f>
        <v>0</v>
      </c>
      <c r="AA651" s="1373"/>
      <c r="AB651" s="1373"/>
      <c r="AC651" s="1373"/>
      <c r="AD651" s="1373"/>
      <c r="AE651" s="1373"/>
      <c r="AF651" s="1373"/>
      <c r="AG651" s="1373"/>
      <c r="AH651" s="1373"/>
      <c r="AI651" s="1373"/>
      <c r="AJ651" s="1373"/>
      <c r="AK651" s="1373"/>
      <c r="AZ651" s="34"/>
      <c r="BA651" s="34"/>
      <c r="BB651" s="34"/>
      <c r="BC651" s="34"/>
      <c r="BD651" s="34"/>
      <c r="BE651" s="34"/>
      <c r="BF651" s="34"/>
      <c r="BG651" s="34"/>
      <c r="BH651" s="34"/>
      <c r="BI651" s="34"/>
      <c r="BJ651" s="34"/>
      <c r="BK651" s="34"/>
      <c r="BL651" s="34"/>
      <c r="BM651" s="34"/>
      <c r="BN651" s="1406">
        <f t="shared" si="30"/>
        <v>0</v>
      </c>
      <c r="BO651" s="1407"/>
      <c r="BP651" s="1407"/>
      <c r="BQ651" s="1407"/>
      <c r="BR651" s="1408"/>
      <c r="BS651" s="1403">
        <f t="shared" si="31"/>
        <v>0</v>
      </c>
      <c r="BT651" s="1403"/>
      <c r="BU651" s="1403"/>
      <c r="BV651" s="1403"/>
      <c r="BW651" s="1403"/>
      <c r="BX651" s="1403">
        <f t="shared" si="32"/>
        <v>0</v>
      </c>
      <c r="BY651" s="1403"/>
      <c r="BZ651" s="1403"/>
      <c r="CA651" s="1403"/>
      <c r="CB651" s="1403"/>
      <c r="CC651" s="1403">
        <f t="shared" si="33"/>
        <v>0</v>
      </c>
      <c r="CD651" s="1403"/>
      <c r="CE651" s="1403"/>
      <c r="CF651" s="1403"/>
      <c r="CG651" s="1403"/>
      <c r="CH651" s="1403">
        <f t="shared" si="34"/>
        <v>0</v>
      </c>
      <c r="CI651" s="1403"/>
      <c r="CJ651" s="1403"/>
      <c r="CK651" s="1403"/>
      <c r="CL651" s="1403"/>
      <c r="CM651" s="1403">
        <f t="shared" si="35"/>
        <v>0</v>
      </c>
      <c r="CN651" s="1403"/>
      <c r="CO651" s="1403"/>
      <c r="CP651" s="1403"/>
      <c r="CQ651" s="1403"/>
      <c r="CR651" s="6"/>
      <c r="CS651" s="1406">
        <f t="shared" si="36"/>
        <v>0</v>
      </c>
      <c r="CT651" s="1407"/>
      <c r="CU651" s="1407"/>
      <c r="CV651" s="1407"/>
      <c r="CW651" s="1408"/>
      <c r="CX651" s="1406">
        <f t="shared" si="37"/>
        <v>0</v>
      </c>
      <c r="CY651" s="1407"/>
      <c r="CZ651" s="1407"/>
      <c r="DA651" s="1407"/>
      <c r="DB651" s="1408"/>
      <c r="DC651" s="1406">
        <f t="shared" si="38"/>
        <v>0</v>
      </c>
      <c r="DD651" s="1407"/>
      <c r="DE651" s="1407"/>
      <c r="DF651" s="1407"/>
      <c r="DG651" s="1408"/>
      <c r="DH651" s="1406">
        <f t="shared" si="39"/>
        <v>0</v>
      </c>
      <c r="DI651" s="1407"/>
      <c r="DJ651" s="1407"/>
      <c r="DK651" s="1407"/>
      <c r="DL651" s="1408"/>
      <c r="DM651" s="1406">
        <f t="shared" si="40"/>
        <v>0</v>
      </c>
      <c r="DN651" s="1407"/>
      <c r="DO651" s="1407"/>
      <c r="DP651" s="1407"/>
      <c r="DQ651" s="1408"/>
      <c r="DR651" s="1406">
        <f t="shared" si="41"/>
        <v>0</v>
      </c>
      <c r="DS651" s="1407"/>
      <c r="DT651" s="1407"/>
      <c r="DU651" s="1407"/>
      <c r="DV651" s="1408"/>
      <c r="DX651" s="1358" t="e">
        <f t="shared" si="29"/>
        <v>#VALUE!</v>
      </c>
      <c r="DY651" s="1358"/>
      <c r="DZ651" s="1358"/>
      <c r="EA651" s="1358"/>
      <c r="EB651" s="1358"/>
      <c r="EC651" s="1358" t="e">
        <f t="shared" si="24"/>
        <v>#VALUE!</v>
      </c>
      <c r="ED651" s="1358"/>
      <c r="EE651" s="1358"/>
      <c r="EF651" s="1358"/>
      <c r="EG651" s="1358"/>
      <c r="EH651" s="1358" t="e">
        <f t="shared" si="25"/>
        <v>#VALUE!</v>
      </c>
      <c r="EI651" s="1358"/>
      <c r="EJ651" s="1358"/>
      <c r="EK651" s="1358"/>
      <c r="EL651" s="1358"/>
      <c r="EM651" s="1358" t="e">
        <f t="shared" si="26"/>
        <v>#VALUE!</v>
      </c>
      <c r="EN651" s="1358"/>
      <c r="EO651" s="1358"/>
      <c r="EP651" s="1358"/>
      <c r="EQ651" s="1358"/>
      <c r="ER651" s="1358" t="e">
        <f t="shared" si="27"/>
        <v>#VALUE!</v>
      </c>
      <c r="ES651" s="1358"/>
      <c r="ET651" s="1358"/>
      <c r="EU651" s="1358"/>
      <c r="EV651" s="1358"/>
      <c r="EW651" s="1358" t="e">
        <f t="shared" si="28"/>
        <v>#VALUE!</v>
      </c>
      <c r="EX651" s="1358"/>
      <c r="EY651" s="1358"/>
      <c r="EZ651" s="1358"/>
      <c r="FA651" s="1358"/>
    </row>
    <row r="652" spans="1:157" ht="13.05" customHeight="1">
      <c r="A652" s="22"/>
      <c r="B652" t="s">
        <v>85</v>
      </c>
      <c r="G652" s="1405"/>
      <c r="H652" s="1405"/>
      <c r="I652" s="1405"/>
      <c r="J652" s="1405"/>
      <c r="K652" s="1405"/>
      <c r="L652" s="1405"/>
      <c r="M652" s="1405"/>
      <c r="N652" s="1405"/>
      <c r="O652" s="1405"/>
      <c r="P652" s="1405"/>
      <c r="Q652" s="1405"/>
      <c r="R652" s="1405"/>
      <c r="T652" s="22"/>
      <c r="U652" t="s">
        <v>85</v>
      </c>
      <c r="Z652" s="1405"/>
      <c r="AA652" s="1405"/>
      <c r="AB652" s="1405"/>
      <c r="AC652" s="1405"/>
      <c r="AD652" s="1405"/>
      <c r="AE652" s="1405"/>
      <c r="AF652" s="1405"/>
      <c r="AG652" s="1405"/>
      <c r="AH652" s="1405"/>
      <c r="AI652" s="1405"/>
      <c r="AJ652" s="1405"/>
      <c r="AK652" s="1405"/>
      <c r="AZ652" s="34"/>
      <c r="BA652" s="34"/>
      <c r="BB652" s="34"/>
      <c r="BC652" s="34"/>
      <c r="BD652" s="34"/>
      <c r="BE652" s="34"/>
      <c r="BF652" s="34"/>
      <c r="BG652" s="34"/>
      <c r="BH652" s="34"/>
      <c r="BI652" s="34"/>
      <c r="BJ652" s="34"/>
      <c r="BK652" s="34"/>
      <c r="BL652" s="34"/>
      <c r="BM652" s="34"/>
      <c r="BN652" s="1406">
        <f t="shared" si="30"/>
        <v>0</v>
      </c>
      <c r="BO652" s="1407"/>
      <c r="BP652" s="1407"/>
      <c r="BQ652" s="1407"/>
      <c r="BR652" s="1408"/>
      <c r="BS652" s="1403">
        <f t="shared" si="31"/>
        <v>0</v>
      </c>
      <c r="BT652" s="1403"/>
      <c r="BU652" s="1403"/>
      <c r="BV652" s="1403"/>
      <c r="BW652" s="1403"/>
      <c r="BX652" s="1403">
        <f t="shared" si="32"/>
        <v>0</v>
      </c>
      <c r="BY652" s="1403"/>
      <c r="BZ652" s="1403"/>
      <c r="CA652" s="1403"/>
      <c r="CB652" s="1403"/>
      <c r="CC652" s="1403">
        <f t="shared" si="33"/>
        <v>0</v>
      </c>
      <c r="CD652" s="1403"/>
      <c r="CE652" s="1403"/>
      <c r="CF652" s="1403"/>
      <c r="CG652" s="1403"/>
      <c r="CH652" s="1403">
        <f t="shared" si="34"/>
        <v>0</v>
      </c>
      <c r="CI652" s="1403"/>
      <c r="CJ652" s="1403"/>
      <c r="CK652" s="1403"/>
      <c r="CL652" s="1403"/>
      <c r="CM652" s="1403">
        <f t="shared" si="35"/>
        <v>0</v>
      </c>
      <c r="CN652" s="1403"/>
      <c r="CO652" s="1403"/>
      <c r="CP652" s="1403"/>
      <c r="CQ652" s="1403"/>
      <c r="CR652" s="6"/>
      <c r="CS652" s="1406">
        <f t="shared" si="36"/>
        <v>0</v>
      </c>
      <c r="CT652" s="1407"/>
      <c r="CU652" s="1407"/>
      <c r="CV652" s="1407"/>
      <c r="CW652" s="1408"/>
      <c r="CX652" s="1406">
        <f t="shared" si="37"/>
        <v>0</v>
      </c>
      <c r="CY652" s="1407"/>
      <c r="CZ652" s="1407"/>
      <c r="DA652" s="1407"/>
      <c r="DB652" s="1408"/>
      <c r="DC652" s="1406">
        <f t="shared" si="38"/>
        <v>0</v>
      </c>
      <c r="DD652" s="1407"/>
      <c r="DE652" s="1407"/>
      <c r="DF652" s="1407"/>
      <c r="DG652" s="1408"/>
      <c r="DH652" s="1406">
        <f t="shared" si="39"/>
        <v>0</v>
      </c>
      <c r="DI652" s="1407"/>
      <c r="DJ652" s="1407"/>
      <c r="DK652" s="1407"/>
      <c r="DL652" s="1408"/>
      <c r="DM652" s="1406">
        <f t="shared" si="40"/>
        <v>0</v>
      </c>
      <c r="DN652" s="1407"/>
      <c r="DO652" s="1407"/>
      <c r="DP652" s="1407"/>
      <c r="DQ652" s="1408"/>
      <c r="DR652" s="1406">
        <f t="shared" si="41"/>
        <v>0</v>
      </c>
      <c r="DS652" s="1407"/>
      <c r="DT652" s="1407"/>
      <c r="DU652" s="1407"/>
      <c r="DV652" s="1408"/>
      <c r="DX652" s="1358" t="e">
        <f t="shared" si="29"/>
        <v>#VALUE!</v>
      </c>
      <c r="DY652" s="1358"/>
      <c r="DZ652" s="1358"/>
      <c r="EA652" s="1358"/>
      <c r="EB652" s="1358"/>
      <c r="EC652" s="1358" t="e">
        <f t="shared" si="24"/>
        <v>#VALUE!</v>
      </c>
      <c r="ED652" s="1358"/>
      <c r="EE652" s="1358"/>
      <c r="EF652" s="1358"/>
      <c r="EG652" s="1358"/>
      <c r="EH652" s="1358" t="e">
        <f t="shared" si="25"/>
        <v>#VALUE!</v>
      </c>
      <c r="EI652" s="1358"/>
      <c r="EJ652" s="1358"/>
      <c r="EK652" s="1358"/>
      <c r="EL652" s="1358"/>
      <c r="EM652" s="1358" t="e">
        <f t="shared" si="26"/>
        <v>#VALUE!</v>
      </c>
      <c r="EN652" s="1358"/>
      <c r="EO652" s="1358"/>
      <c r="EP652" s="1358"/>
      <c r="EQ652" s="1358"/>
      <c r="ER652" s="1358" t="e">
        <f t="shared" si="27"/>
        <v>#VALUE!</v>
      </c>
      <c r="ES652" s="1358"/>
      <c r="ET652" s="1358"/>
      <c r="EU652" s="1358"/>
      <c r="EV652" s="1358"/>
      <c r="EW652" s="1358" t="e">
        <f t="shared" si="28"/>
        <v>#VALUE!</v>
      </c>
      <c r="EX652" s="1358"/>
      <c r="EY652" s="1358"/>
      <c r="EZ652" s="1358"/>
      <c r="FA652" s="1358"/>
    </row>
    <row r="653" spans="1:157" ht="13.05" customHeight="1">
      <c r="A653" s="22"/>
      <c r="B653" t="s">
        <v>588</v>
      </c>
      <c r="G653" s="1374"/>
      <c r="H653" s="1374"/>
      <c r="I653" s="1374"/>
      <c r="J653" s="1374"/>
      <c r="K653" s="1374"/>
      <c r="L653" s="1374"/>
      <c r="M653" s="1374"/>
      <c r="N653" s="1374"/>
      <c r="O653" s="1374"/>
      <c r="P653" s="1374"/>
      <c r="Q653" s="1374"/>
      <c r="R653" s="1374"/>
      <c r="T653" s="22"/>
      <c r="U653" t="s">
        <v>588</v>
      </c>
      <c r="Z653" s="1374"/>
      <c r="AA653" s="1374"/>
      <c r="AB653" s="1374"/>
      <c r="AC653" s="1374"/>
      <c r="AD653" s="1374"/>
      <c r="AE653" s="1374"/>
      <c r="AF653" s="1374"/>
      <c r="AG653" s="1374"/>
      <c r="AH653" s="1374"/>
      <c r="AI653" s="1374"/>
      <c r="AJ653" s="1374"/>
      <c r="AK653" s="1374"/>
      <c r="AZ653" s="34"/>
      <c r="BA653" s="34"/>
      <c r="BB653" s="34"/>
      <c r="BC653" s="34"/>
      <c r="BD653" s="34"/>
      <c r="BE653" s="34"/>
      <c r="BF653" s="34"/>
      <c r="BG653" s="34"/>
      <c r="BH653" s="34"/>
      <c r="BI653" s="34"/>
      <c r="BJ653" s="34"/>
      <c r="BK653" s="34"/>
      <c r="BL653" s="34"/>
      <c r="BM653" s="34"/>
      <c r="BN653" s="1406">
        <f t="shared" si="30"/>
        <v>0</v>
      </c>
      <c r="BO653" s="1407"/>
      <c r="BP653" s="1407"/>
      <c r="BQ653" s="1407"/>
      <c r="BR653" s="1408"/>
      <c r="BS653" s="1403">
        <f t="shared" si="31"/>
        <v>0</v>
      </c>
      <c r="BT653" s="1403"/>
      <c r="BU653" s="1403"/>
      <c r="BV653" s="1403"/>
      <c r="BW653" s="1403"/>
      <c r="BX653" s="1403">
        <f t="shared" si="32"/>
        <v>0</v>
      </c>
      <c r="BY653" s="1403"/>
      <c r="BZ653" s="1403"/>
      <c r="CA653" s="1403"/>
      <c r="CB653" s="1403"/>
      <c r="CC653" s="1403">
        <f t="shared" si="33"/>
        <v>0</v>
      </c>
      <c r="CD653" s="1403"/>
      <c r="CE653" s="1403"/>
      <c r="CF653" s="1403"/>
      <c r="CG653" s="1403"/>
      <c r="CH653" s="1403">
        <f t="shared" si="34"/>
        <v>0</v>
      </c>
      <c r="CI653" s="1403"/>
      <c r="CJ653" s="1403"/>
      <c r="CK653" s="1403"/>
      <c r="CL653" s="1403"/>
      <c r="CM653" s="1403">
        <f t="shared" si="35"/>
        <v>0</v>
      </c>
      <c r="CN653" s="1403"/>
      <c r="CO653" s="1403"/>
      <c r="CP653" s="1403"/>
      <c r="CQ653" s="1403"/>
      <c r="CR653" s="6"/>
      <c r="CS653" s="1406">
        <f t="shared" si="36"/>
        <v>0</v>
      </c>
      <c r="CT653" s="1407"/>
      <c r="CU653" s="1407"/>
      <c r="CV653" s="1407"/>
      <c r="CW653" s="1408"/>
      <c r="CX653" s="1406">
        <f t="shared" si="37"/>
        <v>0</v>
      </c>
      <c r="CY653" s="1407"/>
      <c r="CZ653" s="1407"/>
      <c r="DA653" s="1407"/>
      <c r="DB653" s="1408"/>
      <c r="DC653" s="1406">
        <f t="shared" si="38"/>
        <v>0</v>
      </c>
      <c r="DD653" s="1407"/>
      <c r="DE653" s="1407"/>
      <c r="DF653" s="1407"/>
      <c r="DG653" s="1408"/>
      <c r="DH653" s="1406">
        <f t="shared" si="39"/>
        <v>0</v>
      </c>
      <c r="DI653" s="1407"/>
      <c r="DJ653" s="1407"/>
      <c r="DK653" s="1407"/>
      <c r="DL653" s="1408"/>
      <c r="DM653" s="1406">
        <f t="shared" si="40"/>
        <v>0</v>
      </c>
      <c r="DN653" s="1407"/>
      <c r="DO653" s="1407"/>
      <c r="DP653" s="1407"/>
      <c r="DQ653" s="1408"/>
      <c r="DR653" s="1406">
        <f t="shared" si="41"/>
        <v>0</v>
      </c>
      <c r="DS653" s="1407"/>
      <c r="DT653" s="1407"/>
      <c r="DU653" s="1407"/>
      <c r="DV653" s="1408"/>
      <c r="DX653" s="1358" t="e">
        <f t="shared" si="29"/>
        <v>#VALUE!</v>
      </c>
      <c r="DY653" s="1358"/>
      <c r="DZ653" s="1358"/>
      <c r="EA653" s="1358"/>
      <c r="EB653" s="1358"/>
      <c r="EC653" s="1358" t="e">
        <f t="shared" si="24"/>
        <v>#VALUE!</v>
      </c>
      <c r="ED653" s="1358"/>
      <c r="EE653" s="1358"/>
      <c r="EF653" s="1358"/>
      <c r="EG653" s="1358"/>
      <c r="EH653" s="1358" t="e">
        <f t="shared" si="25"/>
        <v>#VALUE!</v>
      </c>
      <c r="EI653" s="1358"/>
      <c r="EJ653" s="1358"/>
      <c r="EK653" s="1358"/>
      <c r="EL653" s="1358"/>
      <c r="EM653" s="1358" t="e">
        <f t="shared" si="26"/>
        <v>#VALUE!</v>
      </c>
      <c r="EN653" s="1358"/>
      <c r="EO653" s="1358"/>
      <c r="EP653" s="1358"/>
      <c r="EQ653" s="1358"/>
      <c r="ER653" s="1358" t="e">
        <f t="shared" si="27"/>
        <v>#VALUE!</v>
      </c>
      <c r="ES653" s="1358"/>
      <c r="ET653" s="1358"/>
      <c r="EU653" s="1358"/>
      <c r="EV653" s="1358"/>
      <c r="EW653" s="1358" t="e">
        <f t="shared" si="28"/>
        <v>#VALUE!</v>
      </c>
      <c r="EX653" s="1358"/>
      <c r="EY653" s="1358"/>
      <c r="EZ653" s="1358"/>
      <c r="FA653" s="1358"/>
    </row>
    <row r="654" spans="1:157" ht="13.05" customHeight="1">
      <c r="A654" s="22"/>
      <c r="B654" t="s">
        <v>17</v>
      </c>
      <c r="G654" s="1374"/>
      <c r="H654" s="1374"/>
      <c r="I654" s="1374"/>
      <c r="J654" s="1374"/>
      <c r="K654" s="1374"/>
      <c r="L654" s="1374"/>
      <c r="M654" s="1374"/>
      <c r="N654" s="1374"/>
      <c r="O654" s="1374"/>
      <c r="P654" s="1374"/>
      <c r="Q654" s="1374"/>
      <c r="R654" s="1374"/>
      <c r="T654" s="22"/>
      <c r="U654" t="s">
        <v>17</v>
      </c>
      <c r="Z654" s="1374"/>
      <c r="AA654" s="1374"/>
      <c r="AB654" s="1374"/>
      <c r="AC654" s="1374"/>
      <c r="AD654" s="1374"/>
      <c r="AE654" s="1374"/>
      <c r="AF654" s="1374"/>
      <c r="AG654" s="1374"/>
      <c r="AH654" s="1374"/>
      <c r="AI654" s="1374"/>
      <c r="AJ654" s="1374"/>
      <c r="AK654" s="1374"/>
      <c r="AZ654" s="34"/>
      <c r="BA654" s="34"/>
      <c r="BB654" s="34"/>
      <c r="BC654" s="34"/>
      <c r="BD654" s="34"/>
      <c r="BE654" s="34"/>
      <c r="BF654" s="34"/>
      <c r="BG654" s="34"/>
      <c r="BH654" s="34"/>
      <c r="BI654" s="34"/>
      <c r="BJ654" s="34"/>
      <c r="BK654" s="34"/>
      <c r="BL654" s="34"/>
      <c r="BM654" s="34"/>
      <c r="BN654" s="1406">
        <f t="shared" si="30"/>
        <v>0</v>
      </c>
      <c r="BO654" s="1407"/>
      <c r="BP654" s="1407"/>
      <c r="BQ654" s="1407"/>
      <c r="BR654" s="1408"/>
      <c r="BS654" s="1403">
        <f t="shared" si="31"/>
        <v>0</v>
      </c>
      <c r="BT654" s="1403"/>
      <c r="BU654" s="1403"/>
      <c r="BV654" s="1403"/>
      <c r="BW654" s="1403"/>
      <c r="BX654" s="1403">
        <f t="shared" si="32"/>
        <v>0</v>
      </c>
      <c r="BY654" s="1403"/>
      <c r="BZ654" s="1403"/>
      <c r="CA654" s="1403"/>
      <c r="CB654" s="1403"/>
      <c r="CC654" s="1403">
        <f t="shared" si="33"/>
        <v>0</v>
      </c>
      <c r="CD654" s="1403"/>
      <c r="CE654" s="1403"/>
      <c r="CF654" s="1403"/>
      <c r="CG654" s="1403"/>
      <c r="CH654" s="1403">
        <f t="shared" si="34"/>
        <v>0</v>
      </c>
      <c r="CI654" s="1403"/>
      <c r="CJ654" s="1403"/>
      <c r="CK654" s="1403"/>
      <c r="CL654" s="1403"/>
      <c r="CM654" s="1403">
        <f t="shared" si="35"/>
        <v>0</v>
      </c>
      <c r="CN654" s="1403"/>
      <c r="CO654" s="1403"/>
      <c r="CP654" s="1403"/>
      <c r="CQ654" s="1403"/>
      <c r="CR654" s="6"/>
      <c r="CS654" s="1406">
        <f t="shared" si="36"/>
        <v>0</v>
      </c>
      <c r="CT654" s="1407"/>
      <c r="CU654" s="1407"/>
      <c r="CV654" s="1407"/>
      <c r="CW654" s="1408"/>
      <c r="CX654" s="1406">
        <f t="shared" si="37"/>
        <v>0</v>
      </c>
      <c r="CY654" s="1407"/>
      <c r="CZ654" s="1407"/>
      <c r="DA654" s="1407"/>
      <c r="DB654" s="1408"/>
      <c r="DC654" s="1406">
        <f t="shared" si="38"/>
        <v>0</v>
      </c>
      <c r="DD654" s="1407"/>
      <c r="DE654" s="1407"/>
      <c r="DF654" s="1407"/>
      <c r="DG654" s="1408"/>
      <c r="DH654" s="1406">
        <f t="shared" si="39"/>
        <v>0</v>
      </c>
      <c r="DI654" s="1407"/>
      <c r="DJ654" s="1407"/>
      <c r="DK654" s="1407"/>
      <c r="DL654" s="1408"/>
      <c r="DM654" s="1406">
        <f t="shared" si="40"/>
        <v>0</v>
      </c>
      <c r="DN654" s="1407"/>
      <c r="DO654" s="1407"/>
      <c r="DP654" s="1407"/>
      <c r="DQ654" s="1408"/>
      <c r="DR654" s="1406">
        <f t="shared" si="41"/>
        <v>0</v>
      </c>
      <c r="DS654" s="1407"/>
      <c r="DT654" s="1407"/>
      <c r="DU654" s="1407"/>
      <c r="DV654" s="1408"/>
      <c r="DX654" s="1358" t="e">
        <f t="shared" si="29"/>
        <v>#VALUE!</v>
      </c>
      <c r="DY654" s="1358"/>
      <c r="DZ654" s="1358"/>
      <c r="EA654" s="1358"/>
      <c r="EB654" s="1358"/>
      <c r="EC654" s="1358" t="e">
        <f t="shared" si="24"/>
        <v>#VALUE!</v>
      </c>
      <c r="ED654" s="1358"/>
      <c r="EE654" s="1358"/>
      <c r="EF654" s="1358"/>
      <c r="EG654" s="1358"/>
      <c r="EH654" s="1358" t="e">
        <f t="shared" si="25"/>
        <v>#VALUE!</v>
      </c>
      <c r="EI654" s="1358"/>
      <c r="EJ654" s="1358"/>
      <c r="EK654" s="1358"/>
      <c r="EL654" s="1358"/>
      <c r="EM654" s="1358" t="e">
        <f t="shared" si="26"/>
        <v>#VALUE!</v>
      </c>
      <c r="EN654" s="1358"/>
      <c r="EO654" s="1358"/>
      <c r="EP654" s="1358"/>
      <c r="EQ654" s="1358"/>
      <c r="ER654" s="1358" t="e">
        <f t="shared" si="27"/>
        <v>#VALUE!</v>
      </c>
      <c r="ES654" s="1358"/>
      <c r="ET654" s="1358"/>
      <c r="EU654" s="1358"/>
      <c r="EV654" s="1358"/>
      <c r="EW654" s="1358" t="e">
        <f t="shared" si="28"/>
        <v>#VALUE!</v>
      </c>
      <c r="EX654" s="1358"/>
      <c r="EY654" s="1358"/>
      <c r="EZ654" s="1358"/>
      <c r="FA654" s="1358"/>
    </row>
    <row r="655" spans="1:157" ht="13.05" customHeight="1">
      <c r="A655" s="22"/>
      <c r="B655" t="s">
        <v>317</v>
      </c>
      <c r="G655" s="1393"/>
      <c r="H655" s="1393"/>
      <c r="I655" s="1393"/>
      <c r="J655" s="1393"/>
      <c r="K655" s="1393"/>
      <c r="L655" s="1393"/>
      <c r="O655" s="33" t="s">
        <v>207</v>
      </c>
      <c r="P655" s="1372"/>
      <c r="Q655" s="1372"/>
      <c r="R655" s="1372"/>
      <c r="T655" s="22"/>
      <c r="U655" t="s">
        <v>317</v>
      </c>
      <c r="Z655" s="1393"/>
      <c r="AA655" s="1393"/>
      <c r="AB655" s="1393"/>
      <c r="AC655" s="1393"/>
      <c r="AD655" s="1393"/>
      <c r="AE655" s="1393"/>
      <c r="AH655" s="33" t="s">
        <v>207</v>
      </c>
      <c r="AI655" s="1372"/>
      <c r="AJ655" s="1372"/>
      <c r="AK655" s="1372"/>
      <c r="AZ655" s="34"/>
      <c r="BA655" s="34"/>
      <c r="BB655" s="34"/>
      <c r="BC655" s="34"/>
      <c r="BD655" s="34"/>
      <c r="BE655" s="34"/>
      <c r="BF655" s="34"/>
      <c r="BG655" s="34"/>
      <c r="BH655" s="34"/>
      <c r="BI655" s="34"/>
      <c r="BJ655" s="34"/>
      <c r="BK655" s="34"/>
      <c r="BL655" s="34"/>
      <c r="BM655" s="34"/>
      <c r="BN655" s="1409">
        <f>SUM(BN645:BR654)</f>
        <v>0</v>
      </c>
      <c r="BO655" s="1709"/>
      <c r="BP655" s="1709"/>
      <c r="BQ655" s="1709"/>
      <c r="BR655" s="1410"/>
      <c r="BS655" s="1703">
        <f>SUM(BS645:BW654)</f>
        <v>0</v>
      </c>
      <c r="BT655" s="1704"/>
      <c r="BU655" s="1704"/>
      <c r="BV655" s="1704"/>
      <c r="BW655" s="1705"/>
      <c r="BX655" s="1703">
        <f>SUM(BX645:CB654)</f>
        <v>0</v>
      </c>
      <c r="BY655" s="1704"/>
      <c r="BZ655" s="1704"/>
      <c r="CA655" s="1704"/>
      <c r="CB655" s="1705"/>
      <c r="CC655" s="1703">
        <f>SUM(CC645:CG654)</f>
        <v>0</v>
      </c>
      <c r="CD655" s="1704"/>
      <c r="CE655" s="1704"/>
      <c r="CF655" s="1704"/>
      <c r="CG655" s="1705"/>
      <c r="CH655" s="1703">
        <f>SUM(CH645:CL654)</f>
        <v>0</v>
      </c>
      <c r="CI655" s="1704"/>
      <c r="CJ655" s="1704"/>
      <c r="CK655" s="1704"/>
      <c r="CL655" s="1705"/>
      <c r="CM655" s="1703">
        <f>SUM(CM645:CQ654)</f>
        <v>0</v>
      </c>
      <c r="CN655" s="1704"/>
      <c r="CO655" s="1704"/>
      <c r="CP655" s="1704"/>
      <c r="CQ655" s="1705"/>
      <c r="CR655" s="1047"/>
      <c r="CS655" s="1726">
        <f>SUM(CS645:CW654)</f>
        <v>0</v>
      </c>
      <c r="CT655" s="1726"/>
      <c r="CU655" s="1726"/>
      <c r="CV655" s="1726"/>
      <c r="CW655" s="1726"/>
      <c r="CX655" s="1726">
        <f>SUM(CX645:DB654)</f>
        <v>0</v>
      </c>
      <c r="CY655" s="1726"/>
      <c r="CZ655" s="1726"/>
      <c r="DA655" s="1726"/>
      <c r="DB655" s="1726"/>
      <c r="DC655" s="1726">
        <f>SUM(DC645:DG654)</f>
        <v>0</v>
      </c>
      <c r="DD655" s="1726"/>
      <c r="DE655" s="1726"/>
      <c r="DF655" s="1726"/>
      <c r="DG655" s="1726"/>
      <c r="DH655" s="1726">
        <f>SUM(DH645:DL654)</f>
        <v>0</v>
      </c>
      <c r="DI655" s="1726"/>
      <c r="DJ655" s="1726"/>
      <c r="DK655" s="1726"/>
      <c r="DL655" s="1726"/>
      <c r="DM655" s="1726">
        <f>SUM(DM645:DQ654)</f>
        <v>0</v>
      </c>
      <c r="DN655" s="1726"/>
      <c r="DO655" s="1726"/>
      <c r="DP655" s="1726"/>
      <c r="DQ655" s="1726"/>
      <c r="DR655" s="1726">
        <f>SUM(DR645:DV654)</f>
        <v>0</v>
      </c>
      <c r="DS655" s="1726"/>
      <c r="DT655" s="1726"/>
      <c r="DU655" s="1726"/>
      <c r="DV655" s="1726"/>
      <c r="DX655" s="1358" t="e">
        <f t="shared" si="29"/>
        <v>#VALUE!</v>
      </c>
      <c r="DY655" s="1358"/>
      <c r="DZ655" s="1358"/>
      <c r="EA655" s="1358"/>
      <c r="EB655" s="1358"/>
      <c r="EC655" s="1358" t="e">
        <f t="shared" si="24"/>
        <v>#VALUE!</v>
      </c>
      <c r="ED655" s="1358"/>
      <c r="EE655" s="1358"/>
      <c r="EF655" s="1358"/>
      <c r="EG655" s="1358"/>
      <c r="EH655" s="1358" t="e">
        <f t="shared" si="25"/>
        <v>#VALUE!</v>
      </c>
      <c r="EI655" s="1358"/>
      <c r="EJ655" s="1358"/>
      <c r="EK655" s="1358"/>
      <c r="EL655" s="1358"/>
      <c r="EM655" s="1358" t="e">
        <f t="shared" si="26"/>
        <v>#VALUE!</v>
      </c>
      <c r="EN655" s="1358"/>
      <c r="EO655" s="1358"/>
      <c r="EP655" s="1358"/>
      <c r="EQ655" s="1358"/>
      <c r="ER655" s="1358" t="e">
        <f t="shared" si="27"/>
        <v>#VALUE!</v>
      </c>
      <c r="ES655" s="1358"/>
      <c r="ET655" s="1358"/>
      <c r="EU655" s="1358"/>
      <c r="EV655" s="1358"/>
      <c r="EW655" s="1358" t="e">
        <f t="shared" si="28"/>
        <v>#VALUE!</v>
      </c>
      <c r="EX655" s="1358"/>
      <c r="EY655" s="1358"/>
      <c r="EZ655" s="1358"/>
      <c r="FA655" s="1358"/>
    </row>
    <row r="656" spans="1:157" ht="13.05" customHeight="1">
      <c r="A656" s="22"/>
      <c r="B656" t="s">
        <v>18</v>
      </c>
      <c r="H656" s="1405"/>
      <c r="I656" s="1405"/>
      <c r="J656" s="1405"/>
      <c r="K656" s="1405"/>
      <c r="L656" s="1405"/>
      <c r="M656" s="1405"/>
      <c r="N656" s="1405"/>
      <c r="O656" s="1405"/>
      <c r="P656" s="1405"/>
      <c r="Q656" s="1405"/>
      <c r="R656" s="1405"/>
      <c r="T656" s="22"/>
      <c r="U656" t="s">
        <v>18</v>
      </c>
      <c r="AA656" s="1405"/>
      <c r="AB656" s="1405"/>
      <c r="AC656" s="1405"/>
      <c r="AD656" s="1405"/>
      <c r="AE656" s="1405"/>
      <c r="AF656" s="1405"/>
      <c r="AG656" s="1405"/>
      <c r="AH656" s="1405"/>
      <c r="AI656" s="1405"/>
      <c r="AJ656" s="1405"/>
      <c r="AK656" s="140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8" t="e">
        <f t="shared" si="29"/>
        <v>#VALUE!</v>
      </c>
      <c r="DY656" s="1358"/>
      <c r="DZ656" s="1358"/>
      <c r="EA656" s="1358"/>
      <c r="EB656" s="1358"/>
      <c r="EC656" s="1358" t="e">
        <f t="shared" si="24"/>
        <v>#VALUE!</v>
      </c>
      <c r="ED656" s="1358"/>
      <c r="EE656" s="1358"/>
      <c r="EF656" s="1358"/>
      <c r="EG656" s="1358"/>
      <c r="EH656" s="1358" t="e">
        <f t="shared" si="25"/>
        <v>#VALUE!</v>
      </c>
      <c r="EI656" s="1358"/>
      <c r="EJ656" s="1358"/>
      <c r="EK656" s="1358"/>
      <c r="EL656" s="1358"/>
      <c r="EM656" s="1358" t="e">
        <f t="shared" si="26"/>
        <v>#VALUE!</v>
      </c>
      <c r="EN656" s="1358"/>
      <c r="EO656" s="1358"/>
      <c r="EP656" s="1358"/>
      <c r="EQ656" s="1358"/>
      <c r="ER656" s="1358" t="e">
        <f t="shared" si="27"/>
        <v>#VALUE!</v>
      </c>
      <c r="ES656" s="1358"/>
      <c r="ET656" s="1358"/>
      <c r="EU656" s="1358"/>
      <c r="EV656" s="1358"/>
      <c r="EW656" s="1358" t="e">
        <f t="shared" si="28"/>
        <v>#VALUE!</v>
      </c>
      <c r="EX656" s="1358"/>
      <c r="EY656" s="1358"/>
      <c r="EZ656" s="1358"/>
      <c r="FA656" s="1358"/>
    </row>
    <row r="657" spans="1:157" ht="13.05" customHeight="1">
      <c r="A657" s="22"/>
      <c r="B657" t="s">
        <v>20</v>
      </c>
      <c r="N657" s="1461" t="s">
        <v>677</v>
      </c>
      <c r="O657" s="1461"/>
      <c r="T657" s="22"/>
      <c r="U657" t="s">
        <v>20</v>
      </c>
      <c r="AG657" s="1461" t="s">
        <v>677</v>
      </c>
      <c r="AH657" s="1461"/>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58">
        <f>SUM(CS655:DV655)</f>
        <v>0</v>
      </c>
      <c r="DS657" s="1358"/>
      <c r="DT657" s="1358"/>
      <c r="DU657" s="1358"/>
      <c r="DV657" s="1358"/>
      <c r="DX657" s="1358" t="e">
        <f t="shared" si="29"/>
        <v>#VALUE!</v>
      </c>
      <c r="DY657" s="1358"/>
      <c r="DZ657" s="1358"/>
      <c r="EA657" s="1358"/>
      <c r="EB657" s="1358"/>
      <c r="EC657" s="1358" t="e">
        <f t="shared" si="24"/>
        <v>#VALUE!</v>
      </c>
      <c r="ED657" s="1358"/>
      <c r="EE657" s="1358"/>
      <c r="EF657" s="1358"/>
      <c r="EG657" s="1358"/>
      <c r="EH657" s="1358" t="e">
        <f t="shared" si="25"/>
        <v>#VALUE!</v>
      </c>
      <c r="EI657" s="1358"/>
      <c r="EJ657" s="1358"/>
      <c r="EK657" s="1358"/>
      <c r="EL657" s="1358"/>
      <c r="EM657" s="1358" t="e">
        <f t="shared" si="26"/>
        <v>#VALUE!</v>
      </c>
      <c r="EN657" s="1358"/>
      <c r="EO657" s="1358"/>
      <c r="EP657" s="1358"/>
      <c r="EQ657" s="1358"/>
      <c r="ER657" s="1358" t="e">
        <f t="shared" si="27"/>
        <v>#VALUE!</v>
      </c>
      <c r="ES657" s="1358"/>
      <c r="ET657" s="1358"/>
      <c r="EU657" s="1358"/>
      <c r="EV657" s="1358"/>
      <c r="EW657" s="1358" t="e">
        <f t="shared" si="28"/>
        <v>#VALUE!</v>
      </c>
      <c r="EX657" s="1358"/>
      <c r="EY657" s="1358"/>
      <c r="EZ657" s="1358"/>
      <c r="FA657" s="1358"/>
    </row>
    <row r="658" spans="1:157" ht="13.0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58" t="e">
        <f t="shared" ref="DX658:DX667" si="42">DX620*(BN620/$BN$632)</f>
        <v>#VALUE!</v>
      </c>
      <c r="DY658" s="1358"/>
      <c r="DZ658" s="1358"/>
      <c r="EA658" s="1358"/>
      <c r="EB658" s="1358"/>
      <c r="EC658" s="1358" t="e">
        <f t="shared" ref="EC658:EC667" si="43">EC620*(BS620/$BS$632)</f>
        <v>#VALUE!</v>
      </c>
      <c r="ED658" s="1358"/>
      <c r="EE658" s="1358"/>
      <c r="EF658" s="1358"/>
      <c r="EG658" s="1358"/>
      <c r="EH658" s="1358" t="e">
        <f t="shared" ref="EH658:EH667" si="44">EH620*(BX620/$BX$632)</f>
        <v>#VALUE!</v>
      </c>
      <c r="EI658" s="1358"/>
      <c r="EJ658" s="1358"/>
      <c r="EK658" s="1358"/>
      <c r="EL658" s="1358"/>
      <c r="EM658" s="1358" t="e">
        <f t="shared" ref="EM658:EM667" si="45">EM620*(CC620/$CC$632)</f>
        <v>#VALUE!</v>
      </c>
      <c r="EN658" s="1358"/>
      <c r="EO658" s="1358"/>
      <c r="EP658" s="1358"/>
      <c r="EQ658" s="1358"/>
      <c r="ER658" s="1358" t="e">
        <f t="shared" ref="ER658:ER667" si="46">ER620*(CH620/$CH$632)</f>
        <v>#VALUE!</v>
      </c>
      <c r="ES658" s="1358"/>
      <c r="ET658" s="1358"/>
      <c r="EU658" s="1358"/>
      <c r="EV658" s="1358"/>
      <c r="EW658" s="1358" t="e">
        <f t="shared" ref="EW658:EW667" si="47">EW620*(CM620/$CM$632)</f>
        <v>#VALUE!</v>
      </c>
      <c r="EX658" s="1358"/>
      <c r="EY658" s="1358"/>
      <c r="EZ658" s="1358"/>
      <c r="FA658" s="1358"/>
    </row>
    <row r="659" spans="1:157" ht="13.05" customHeight="1">
      <c r="A659" s="55" t="s">
        <v>772</v>
      </c>
      <c r="B659" t="s">
        <v>471</v>
      </c>
      <c r="G659" s="1373">
        <f>C631</f>
        <v>0</v>
      </c>
      <c r="H659" s="1373"/>
      <c r="I659" s="1373"/>
      <c r="J659" s="1373"/>
      <c r="K659" s="1373"/>
      <c r="L659" s="1373"/>
      <c r="M659" s="1373"/>
      <c r="N659" s="1373"/>
      <c r="O659" s="1373"/>
      <c r="P659" s="1373"/>
      <c r="Q659" s="1373"/>
      <c r="R659" s="1373"/>
      <c r="T659" s="55" t="s">
        <v>592</v>
      </c>
      <c r="U659" t="s">
        <v>471</v>
      </c>
      <c r="Z659" s="1373">
        <f>C632</f>
        <v>0</v>
      </c>
      <c r="AA659" s="1373"/>
      <c r="AB659" s="1373"/>
      <c r="AC659" s="1373"/>
      <c r="AD659" s="1373"/>
      <c r="AE659" s="1373"/>
      <c r="AF659" s="1373"/>
      <c r="AG659" s="1373"/>
      <c r="AH659" s="1373"/>
      <c r="AI659" s="1373"/>
      <c r="AJ659" s="1373"/>
      <c r="AK659" s="137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8" t="e">
        <f t="shared" si="42"/>
        <v>#VALUE!</v>
      </c>
      <c r="DY659" s="1358"/>
      <c r="DZ659" s="1358"/>
      <c r="EA659" s="1358"/>
      <c r="EB659" s="1358"/>
      <c r="EC659" s="1358" t="e">
        <f t="shared" si="43"/>
        <v>#VALUE!</v>
      </c>
      <c r="ED659" s="1358"/>
      <c r="EE659" s="1358"/>
      <c r="EF659" s="1358"/>
      <c r="EG659" s="1358"/>
      <c r="EH659" s="1358" t="e">
        <f t="shared" si="44"/>
        <v>#VALUE!</v>
      </c>
      <c r="EI659" s="1358"/>
      <c r="EJ659" s="1358"/>
      <c r="EK659" s="1358"/>
      <c r="EL659" s="1358"/>
      <c r="EM659" s="1358" t="e">
        <f t="shared" si="45"/>
        <v>#VALUE!</v>
      </c>
      <c r="EN659" s="1358"/>
      <c r="EO659" s="1358"/>
      <c r="EP659" s="1358"/>
      <c r="EQ659" s="1358"/>
      <c r="ER659" s="1358" t="e">
        <f t="shared" si="46"/>
        <v>#VALUE!</v>
      </c>
      <c r="ES659" s="1358"/>
      <c r="ET659" s="1358"/>
      <c r="EU659" s="1358"/>
      <c r="EV659" s="1358"/>
      <c r="EW659" s="1358" t="e">
        <f t="shared" si="47"/>
        <v>#VALUE!</v>
      </c>
      <c r="EX659" s="1358"/>
      <c r="EY659" s="1358"/>
      <c r="EZ659" s="1358"/>
      <c r="FA659" s="1358"/>
    </row>
    <row r="660" spans="1:157" ht="13.05" customHeight="1">
      <c r="A660" s="22"/>
      <c r="B660" t="s">
        <v>85</v>
      </c>
      <c r="G660" s="1405"/>
      <c r="H660" s="1405"/>
      <c r="I660" s="1405"/>
      <c r="J660" s="1405"/>
      <c r="K660" s="1405"/>
      <c r="L660" s="1405"/>
      <c r="M660" s="1405"/>
      <c r="N660" s="1405"/>
      <c r="O660" s="1405"/>
      <c r="P660" s="1405"/>
      <c r="Q660" s="1405"/>
      <c r="R660" s="1405"/>
      <c r="T660" s="22"/>
      <c r="U660" t="s">
        <v>85</v>
      </c>
      <c r="Z660" s="1405"/>
      <c r="AA660" s="1405"/>
      <c r="AB660" s="1405"/>
      <c r="AC660" s="1405"/>
      <c r="AD660" s="1405"/>
      <c r="AE660" s="1405"/>
      <c r="AF660" s="1405"/>
      <c r="AG660" s="1405"/>
      <c r="AH660" s="1405"/>
      <c r="AI660" s="1405"/>
      <c r="AJ660" s="1405"/>
      <c r="AK660" s="1405"/>
      <c r="AZ660" s="34"/>
      <c r="BA660" s="34"/>
      <c r="BB660" s="34"/>
      <c r="BC660" s="34"/>
      <c r="BD660" s="34"/>
      <c r="BE660" s="34"/>
      <c r="BF660" s="34"/>
      <c r="BG660" s="34"/>
      <c r="BH660" s="34"/>
      <c r="BI660" s="34"/>
      <c r="BJ660" s="34"/>
      <c r="BK660" s="34"/>
      <c r="BL660" s="34"/>
      <c r="BM660" s="34"/>
      <c r="BN660" s="1703">
        <f>BN632+BN641+BN655</f>
        <v>0</v>
      </c>
      <c r="BO660" s="1704"/>
      <c r="BP660" s="1704"/>
      <c r="BQ660" s="1704"/>
      <c r="BR660" s="1705"/>
      <c r="BS660" s="1703">
        <f>BS632+BS641+BS655</f>
        <v>42</v>
      </c>
      <c r="BT660" s="1704"/>
      <c r="BU660" s="1704"/>
      <c r="BV660" s="1704"/>
      <c r="BW660" s="1705"/>
      <c r="BX660" s="1703">
        <f>BX632+BX641+BX655</f>
        <v>48</v>
      </c>
      <c r="BY660" s="1704"/>
      <c r="BZ660" s="1704"/>
      <c r="CA660" s="1704"/>
      <c r="CB660" s="1705"/>
      <c r="CC660" s="1703">
        <f>CC632+CC641+CC655</f>
        <v>50</v>
      </c>
      <c r="CD660" s="1704"/>
      <c r="CE660" s="1704"/>
      <c r="CF660" s="1704"/>
      <c r="CG660" s="1705"/>
      <c r="CH660" s="1703">
        <f>CH632+CH641+CH655</f>
        <v>0</v>
      </c>
      <c r="CI660" s="1704"/>
      <c r="CJ660" s="1704"/>
      <c r="CK660" s="1704"/>
      <c r="CL660" s="1705"/>
      <c r="CM660" s="1369">
        <f>CM655+CM641+CM632</f>
        <v>0</v>
      </c>
      <c r="CN660" s="1370"/>
      <c r="CO660" s="1370"/>
      <c r="CP660" s="1370"/>
      <c r="CQ660" s="1371"/>
      <c r="CR660" s="3"/>
      <c r="CS660" s="895">
        <f>CS634+CS658</f>
        <v>285</v>
      </c>
      <c r="CT660" s="57" t="s">
        <v>2055</v>
      </c>
      <c r="CU660" s="3"/>
      <c r="CV660" s="3"/>
      <c r="CW660" s="3"/>
      <c r="CX660" s="3"/>
      <c r="CY660" s="3"/>
      <c r="CZ660" s="3"/>
      <c r="DA660" s="3"/>
      <c r="DB660" s="3"/>
      <c r="DC660" s="3"/>
      <c r="DD660" s="3"/>
      <c r="DE660" s="3"/>
      <c r="DF660" s="3"/>
      <c r="DX660" s="1358" t="e">
        <f t="shared" si="42"/>
        <v>#VALUE!</v>
      </c>
      <c r="DY660" s="1358"/>
      <c r="DZ660" s="1358"/>
      <c r="EA660" s="1358"/>
      <c r="EB660" s="1358"/>
      <c r="EC660" s="1358" t="e">
        <f t="shared" si="43"/>
        <v>#VALUE!</v>
      </c>
      <c r="ED660" s="1358"/>
      <c r="EE660" s="1358"/>
      <c r="EF660" s="1358"/>
      <c r="EG660" s="1358"/>
      <c r="EH660" s="1358" t="e">
        <f t="shared" si="44"/>
        <v>#VALUE!</v>
      </c>
      <c r="EI660" s="1358"/>
      <c r="EJ660" s="1358"/>
      <c r="EK660" s="1358"/>
      <c r="EL660" s="1358"/>
      <c r="EM660" s="1358" t="e">
        <f t="shared" si="45"/>
        <v>#VALUE!</v>
      </c>
      <c r="EN660" s="1358"/>
      <c r="EO660" s="1358"/>
      <c r="EP660" s="1358"/>
      <c r="EQ660" s="1358"/>
      <c r="ER660" s="1358" t="e">
        <f t="shared" si="46"/>
        <v>#VALUE!</v>
      </c>
      <c r="ES660" s="1358"/>
      <c r="ET660" s="1358"/>
      <c r="EU660" s="1358"/>
      <c r="EV660" s="1358"/>
      <c r="EW660" s="1358" t="e">
        <f t="shared" si="47"/>
        <v>#VALUE!</v>
      </c>
      <c r="EX660" s="1358"/>
      <c r="EY660" s="1358"/>
      <c r="EZ660" s="1358"/>
      <c r="FA660" s="1358"/>
    </row>
    <row r="661" spans="1:157" ht="13.05" customHeight="1">
      <c r="A661" s="22"/>
      <c r="B661" t="s">
        <v>588</v>
      </c>
      <c r="G661" s="1405"/>
      <c r="H661" s="1405"/>
      <c r="I661" s="1405"/>
      <c r="J661" s="1405"/>
      <c r="K661" s="1405"/>
      <c r="L661" s="1405"/>
      <c r="M661" s="1405"/>
      <c r="N661" s="1405"/>
      <c r="O661" s="1405"/>
      <c r="P661" s="1405"/>
      <c r="Q661" s="1405"/>
      <c r="R661" s="1405"/>
      <c r="T661" s="22"/>
      <c r="U661" t="s">
        <v>588</v>
      </c>
      <c r="Z661" s="1374"/>
      <c r="AA661" s="1374"/>
      <c r="AB661" s="1374"/>
      <c r="AC661" s="1374"/>
      <c r="AD661" s="1374"/>
      <c r="AE661" s="1374"/>
      <c r="AF661" s="1374"/>
      <c r="AG661" s="1374"/>
      <c r="AH661" s="1374"/>
      <c r="AI661" s="1374"/>
      <c r="AJ661" s="1374"/>
      <c r="AK661" s="137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8" t="e">
        <f t="shared" si="42"/>
        <v>#VALUE!</v>
      </c>
      <c r="DY661" s="1358"/>
      <c r="DZ661" s="1358"/>
      <c r="EA661" s="1358"/>
      <c r="EB661" s="1358"/>
      <c r="EC661" s="1358" t="e">
        <f t="shared" si="43"/>
        <v>#VALUE!</v>
      </c>
      <c r="ED661" s="1358"/>
      <c r="EE661" s="1358"/>
      <c r="EF661" s="1358"/>
      <c r="EG661" s="1358"/>
      <c r="EH661" s="1358" t="e">
        <f t="shared" si="44"/>
        <v>#VALUE!</v>
      </c>
      <c r="EI661" s="1358"/>
      <c r="EJ661" s="1358"/>
      <c r="EK661" s="1358"/>
      <c r="EL661" s="1358"/>
      <c r="EM661" s="1358" t="e">
        <f t="shared" si="45"/>
        <v>#VALUE!</v>
      </c>
      <c r="EN661" s="1358"/>
      <c r="EO661" s="1358"/>
      <c r="EP661" s="1358"/>
      <c r="EQ661" s="1358"/>
      <c r="ER661" s="1358" t="e">
        <f t="shared" si="46"/>
        <v>#VALUE!</v>
      </c>
      <c r="ES661" s="1358"/>
      <c r="ET661" s="1358"/>
      <c r="EU661" s="1358"/>
      <c r="EV661" s="1358"/>
      <c r="EW661" s="1358" t="e">
        <f t="shared" si="47"/>
        <v>#VALUE!</v>
      </c>
      <c r="EX661" s="1358"/>
      <c r="EY661" s="1358"/>
      <c r="EZ661" s="1358"/>
      <c r="FA661" s="1358"/>
    </row>
    <row r="662" spans="1:157" ht="13.05" customHeight="1">
      <c r="A662" s="22"/>
      <c r="B662" t="s">
        <v>17</v>
      </c>
      <c r="G662" s="1405"/>
      <c r="H662" s="1405"/>
      <c r="I662" s="1405"/>
      <c r="J662" s="1405"/>
      <c r="K662" s="1405"/>
      <c r="L662" s="1405"/>
      <c r="M662" s="1405"/>
      <c r="N662" s="1405"/>
      <c r="O662" s="1405"/>
      <c r="P662" s="1405"/>
      <c r="Q662" s="1405"/>
      <c r="R662" s="1405"/>
      <c r="T662" s="22"/>
      <c r="U662" t="s">
        <v>17</v>
      </c>
      <c r="Z662" s="1374"/>
      <c r="AA662" s="1374"/>
      <c r="AB662" s="1374"/>
      <c r="AC662" s="1374"/>
      <c r="AD662" s="1374"/>
      <c r="AE662" s="1374"/>
      <c r="AF662" s="1374"/>
      <c r="AG662" s="1374"/>
      <c r="AH662" s="1374"/>
      <c r="AI662" s="1374"/>
      <c r="AJ662" s="1374"/>
      <c r="AK662" s="137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8" t="e">
        <f t="shared" si="42"/>
        <v>#VALUE!</v>
      </c>
      <c r="DY662" s="1358"/>
      <c r="DZ662" s="1358"/>
      <c r="EA662" s="1358"/>
      <c r="EB662" s="1358"/>
      <c r="EC662" s="1358" t="e">
        <f t="shared" si="43"/>
        <v>#VALUE!</v>
      </c>
      <c r="ED662" s="1358"/>
      <c r="EE662" s="1358"/>
      <c r="EF662" s="1358"/>
      <c r="EG662" s="1358"/>
      <c r="EH662" s="1358" t="e">
        <f t="shared" si="44"/>
        <v>#VALUE!</v>
      </c>
      <c r="EI662" s="1358"/>
      <c r="EJ662" s="1358"/>
      <c r="EK662" s="1358"/>
      <c r="EL662" s="1358"/>
      <c r="EM662" s="1358" t="e">
        <f t="shared" si="45"/>
        <v>#VALUE!</v>
      </c>
      <c r="EN662" s="1358"/>
      <c r="EO662" s="1358"/>
      <c r="EP662" s="1358"/>
      <c r="EQ662" s="1358"/>
      <c r="ER662" s="1358" t="e">
        <f t="shared" si="46"/>
        <v>#VALUE!</v>
      </c>
      <c r="ES662" s="1358"/>
      <c r="ET662" s="1358"/>
      <c r="EU662" s="1358"/>
      <c r="EV662" s="1358"/>
      <c r="EW662" s="1358" t="e">
        <f t="shared" si="47"/>
        <v>#VALUE!</v>
      </c>
      <c r="EX662" s="1358"/>
      <c r="EY662" s="1358"/>
      <c r="EZ662" s="1358"/>
      <c r="FA662" s="1358"/>
    </row>
    <row r="663" spans="1:157" ht="13.05" customHeight="1">
      <c r="A663" s="22"/>
      <c r="B663" t="s">
        <v>317</v>
      </c>
      <c r="G663" s="1393"/>
      <c r="H663" s="1393"/>
      <c r="I663" s="1393"/>
      <c r="J663" s="1393"/>
      <c r="K663" s="1393"/>
      <c r="L663" s="1393"/>
      <c r="O663" s="33" t="s">
        <v>207</v>
      </c>
      <c r="P663" s="1372"/>
      <c r="Q663" s="1372"/>
      <c r="R663" s="1372"/>
      <c r="T663" s="22"/>
      <c r="U663" t="s">
        <v>317</v>
      </c>
      <c r="Z663" s="1393"/>
      <c r="AA663" s="1393"/>
      <c r="AB663" s="1393"/>
      <c r="AC663" s="1393"/>
      <c r="AD663" s="1393"/>
      <c r="AE663" s="1393"/>
      <c r="AH663" s="33" t="s">
        <v>207</v>
      </c>
      <c r="AI663" s="1372"/>
      <c r="AJ663" s="1372"/>
      <c r="AK663" s="13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8" t="e">
        <f t="shared" si="42"/>
        <v>#VALUE!</v>
      </c>
      <c r="DY663" s="1358"/>
      <c r="DZ663" s="1358"/>
      <c r="EA663" s="1358"/>
      <c r="EB663" s="1358"/>
      <c r="EC663" s="1358" t="e">
        <f t="shared" si="43"/>
        <v>#VALUE!</v>
      </c>
      <c r="ED663" s="1358"/>
      <c r="EE663" s="1358"/>
      <c r="EF663" s="1358"/>
      <c r="EG663" s="1358"/>
      <c r="EH663" s="1358" t="e">
        <f t="shared" si="44"/>
        <v>#VALUE!</v>
      </c>
      <c r="EI663" s="1358"/>
      <c r="EJ663" s="1358"/>
      <c r="EK663" s="1358"/>
      <c r="EL663" s="1358"/>
      <c r="EM663" s="1358" t="e">
        <f t="shared" si="45"/>
        <v>#VALUE!</v>
      </c>
      <c r="EN663" s="1358"/>
      <c r="EO663" s="1358"/>
      <c r="EP663" s="1358"/>
      <c r="EQ663" s="1358"/>
      <c r="ER663" s="1358" t="e">
        <f t="shared" si="46"/>
        <v>#VALUE!</v>
      </c>
      <c r="ES663" s="1358"/>
      <c r="ET663" s="1358"/>
      <c r="EU663" s="1358"/>
      <c r="EV663" s="1358"/>
      <c r="EW663" s="1358" t="e">
        <f t="shared" si="47"/>
        <v>#VALUE!</v>
      </c>
      <c r="EX663" s="1358"/>
      <c r="EY663" s="1358"/>
      <c r="EZ663" s="1358"/>
      <c r="FA663" s="1358"/>
    </row>
    <row r="664" spans="1:157" ht="13.05" customHeight="1">
      <c r="A664" s="22"/>
      <c r="B664" t="s">
        <v>18</v>
      </c>
      <c r="H664" s="1405"/>
      <c r="I664" s="1405"/>
      <c r="J664" s="1405"/>
      <c r="K664" s="1405"/>
      <c r="L664" s="1405"/>
      <c r="M664" s="1405"/>
      <c r="N664" s="1405"/>
      <c r="O664" s="1405"/>
      <c r="P664" s="1405"/>
      <c r="Q664" s="1405"/>
      <c r="R664" s="1405"/>
      <c r="T664" s="22"/>
      <c r="U664" t="s">
        <v>18</v>
      </c>
      <c r="AA664" s="1405"/>
      <c r="AB664" s="1405"/>
      <c r="AC664" s="1405"/>
      <c r="AD664" s="1405"/>
      <c r="AE664" s="1405"/>
      <c r="AF664" s="1405"/>
      <c r="AG664" s="1405"/>
      <c r="AH664" s="1405"/>
      <c r="AI664" s="1405"/>
      <c r="AJ664" s="1405"/>
      <c r="AK664" s="140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8" t="e">
        <f t="shared" si="42"/>
        <v>#VALUE!</v>
      </c>
      <c r="DY664" s="1358"/>
      <c r="DZ664" s="1358"/>
      <c r="EA664" s="1358"/>
      <c r="EB664" s="1358"/>
      <c r="EC664" s="1358" t="e">
        <f t="shared" si="43"/>
        <v>#VALUE!</v>
      </c>
      <c r="ED664" s="1358"/>
      <c r="EE664" s="1358"/>
      <c r="EF664" s="1358"/>
      <c r="EG664" s="1358"/>
      <c r="EH664" s="1358" t="e">
        <f t="shared" si="44"/>
        <v>#VALUE!</v>
      </c>
      <c r="EI664" s="1358"/>
      <c r="EJ664" s="1358"/>
      <c r="EK664" s="1358"/>
      <c r="EL664" s="1358"/>
      <c r="EM664" s="1358" t="e">
        <f t="shared" si="45"/>
        <v>#VALUE!</v>
      </c>
      <c r="EN664" s="1358"/>
      <c r="EO664" s="1358"/>
      <c r="EP664" s="1358"/>
      <c r="EQ664" s="1358"/>
      <c r="ER664" s="1358" t="e">
        <f t="shared" si="46"/>
        <v>#VALUE!</v>
      </c>
      <c r="ES664" s="1358"/>
      <c r="ET664" s="1358"/>
      <c r="EU664" s="1358"/>
      <c r="EV664" s="1358"/>
      <c r="EW664" s="1358" t="e">
        <f t="shared" si="47"/>
        <v>#VALUE!</v>
      </c>
      <c r="EX664" s="1358"/>
      <c r="EY664" s="1358"/>
      <c r="EZ664" s="1358"/>
      <c r="FA664" s="1358"/>
    </row>
    <row r="665" spans="1:157" ht="13.05" customHeight="1">
      <c r="A665" s="22"/>
      <c r="B665" t="s">
        <v>20</v>
      </c>
      <c r="N665" s="1461" t="s">
        <v>677</v>
      </c>
      <c r="O665" s="1461"/>
      <c r="T665" s="22"/>
      <c r="U665" t="s">
        <v>20</v>
      </c>
      <c r="AG665" s="1461" t="s">
        <v>677</v>
      </c>
      <c r="AH665" s="146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8" t="e">
        <f t="shared" si="42"/>
        <v>#VALUE!</v>
      </c>
      <c r="DY665" s="1358"/>
      <c r="DZ665" s="1358"/>
      <c r="EA665" s="1358"/>
      <c r="EB665" s="1358"/>
      <c r="EC665" s="1358" t="e">
        <f t="shared" si="43"/>
        <v>#VALUE!</v>
      </c>
      <c r="ED665" s="1358"/>
      <c r="EE665" s="1358"/>
      <c r="EF665" s="1358"/>
      <c r="EG665" s="1358"/>
      <c r="EH665" s="1358" t="e">
        <f t="shared" si="44"/>
        <v>#VALUE!</v>
      </c>
      <c r="EI665" s="1358"/>
      <c r="EJ665" s="1358"/>
      <c r="EK665" s="1358"/>
      <c r="EL665" s="1358"/>
      <c r="EM665" s="1358" t="e">
        <f t="shared" si="45"/>
        <v>#VALUE!</v>
      </c>
      <c r="EN665" s="1358"/>
      <c r="EO665" s="1358"/>
      <c r="EP665" s="1358"/>
      <c r="EQ665" s="1358"/>
      <c r="ER665" s="1358" t="e">
        <f t="shared" si="46"/>
        <v>#VALUE!</v>
      </c>
      <c r="ES665" s="1358"/>
      <c r="ET665" s="1358"/>
      <c r="EU665" s="1358"/>
      <c r="EV665" s="1358"/>
      <c r="EW665" s="1358" t="e">
        <f t="shared" si="47"/>
        <v>#VALUE!</v>
      </c>
      <c r="EX665" s="1358"/>
      <c r="EY665" s="1358"/>
      <c r="EZ665" s="1358"/>
      <c r="FA665" s="1358"/>
    </row>
    <row r="666" spans="1:157" ht="13.0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8" t="e">
        <f t="shared" si="42"/>
        <v>#VALUE!</v>
      </c>
      <c r="DY666" s="1358"/>
      <c r="DZ666" s="1358"/>
      <c r="EA666" s="1358"/>
      <c r="EB666" s="1358"/>
      <c r="EC666" s="1358" t="e">
        <f t="shared" si="43"/>
        <v>#VALUE!</v>
      </c>
      <c r="ED666" s="1358"/>
      <c r="EE666" s="1358"/>
      <c r="EF666" s="1358"/>
      <c r="EG666" s="1358"/>
      <c r="EH666" s="1358" t="e">
        <f t="shared" si="44"/>
        <v>#VALUE!</v>
      </c>
      <c r="EI666" s="1358"/>
      <c r="EJ666" s="1358"/>
      <c r="EK666" s="1358"/>
      <c r="EL666" s="1358"/>
      <c r="EM666" s="1358" t="e">
        <f t="shared" si="45"/>
        <v>#VALUE!</v>
      </c>
      <c r="EN666" s="1358"/>
      <c r="EO666" s="1358"/>
      <c r="EP666" s="1358"/>
      <c r="EQ666" s="1358"/>
      <c r="ER666" s="1358" t="e">
        <f t="shared" si="46"/>
        <v>#VALUE!</v>
      </c>
      <c r="ES666" s="1358"/>
      <c r="ET666" s="1358"/>
      <c r="EU666" s="1358"/>
      <c r="EV666" s="1358"/>
      <c r="EW666" s="1358" t="e">
        <f t="shared" si="47"/>
        <v>#VALUE!</v>
      </c>
      <c r="EX666" s="1358"/>
      <c r="EY666" s="1358"/>
      <c r="EZ666" s="1358"/>
      <c r="FA666" s="1358"/>
    </row>
    <row r="667" spans="1:157" ht="13.05" customHeight="1">
      <c r="A667" s="55" t="s">
        <v>463</v>
      </c>
      <c r="B667" t="s">
        <v>471</v>
      </c>
      <c r="G667" s="1373">
        <f>C633</f>
        <v>0</v>
      </c>
      <c r="H667" s="1373"/>
      <c r="I667" s="1373"/>
      <c r="J667" s="1373"/>
      <c r="K667" s="1373"/>
      <c r="L667" s="1373"/>
      <c r="M667" s="1373"/>
      <c r="N667" s="1373"/>
      <c r="O667" s="1373"/>
      <c r="P667" s="1373"/>
      <c r="Q667" s="1373"/>
      <c r="R667" s="1373"/>
      <c r="T667" s="55" t="s">
        <v>464</v>
      </c>
      <c r="U667" t="s">
        <v>471</v>
      </c>
      <c r="Z667" s="1373">
        <f>C634</f>
        <v>0</v>
      </c>
      <c r="AA667" s="1373"/>
      <c r="AB667" s="1373"/>
      <c r="AC667" s="1373"/>
      <c r="AD667" s="1373"/>
      <c r="AE667" s="1373"/>
      <c r="AF667" s="1373"/>
      <c r="AG667" s="1373"/>
      <c r="AH667" s="1373"/>
      <c r="AI667" s="1373"/>
      <c r="AJ667" s="1373"/>
      <c r="AK667" s="1373"/>
      <c r="AZ667" s="3"/>
      <c r="BA667" s="118">
        <f t="shared" ref="BA667:BA699" si="48">IF($G718=0,"N/A",VLOOKUP($T$189,TC_Rent,(MATCH($B718,bedrooms,FALSE))))</f>
        <v>2010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8" t="e">
        <f t="shared" si="42"/>
        <v>#VALUE!</v>
      </c>
      <c r="DY667" s="1358"/>
      <c r="DZ667" s="1358"/>
      <c r="EA667" s="1358"/>
      <c r="EB667" s="1358"/>
      <c r="EC667" s="1358" t="e">
        <f t="shared" si="43"/>
        <v>#VALUE!</v>
      </c>
      <c r="ED667" s="1358"/>
      <c r="EE667" s="1358"/>
      <c r="EF667" s="1358"/>
      <c r="EG667" s="1358"/>
      <c r="EH667" s="1358" t="e">
        <f t="shared" si="44"/>
        <v>#VALUE!</v>
      </c>
      <c r="EI667" s="1358"/>
      <c r="EJ667" s="1358"/>
      <c r="EK667" s="1358"/>
      <c r="EL667" s="1358"/>
      <c r="EM667" s="1358" t="e">
        <f t="shared" si="45"/>
        <v>#VALUE!</v>
      </c>
      <c r="EN667" s="1358"/>
      <c r="EO667" s="1358"/>
      <c r="EP667" s="1358"/>
      <c r="EQ667" s="1358"/>
      <c r="ER667" s="1358" t="e">
        <f t="shared" si="46"/>
        <v>#VALUE!</v>
      </c>
      <c r="ES667" s="1358"/>
      <c r="ET667" s="1358"/>
      <c r="EU667" s="1358"/>
      <c r="EV667" s="1358"/>
      <c r="EW667" s="1358" t="e">
        <f t="shared" si="47"/>
        <v>#VALUE!</v>
      </c>
      <c r="EX667" s="1358"/>
      <c r="EY667" s="1358"/>
      <c r="EZ667" s="1358"/>
      <c r="FA667" s="1358"/>
    </row>
    <row r="668" spans="1:157" ht="13.05" customHeight="1">
      <c r="A668" s="22"/>
      <c r="B668" t="s">
        <v>85</v>
      </c>
      <c r="G668" s="1405"/>
      <c r="H668" s="1405"/>
      <c r="I668" s="1405"/>
      <c r="J668" s="1405"/>
      <c r="K668" s="1405"/>
      <c r="L668" s="1405"/>
      <c r="M668" s="1405"/>
      <c r="N668" s="1405"/>
      <c r="O668" s="1405"/>
      <c r="P668" s="1405"/>
      <c r="Q668" s="1405"/>
      <c r="R668" s="1405"/>
      <c r="T668" s="22"/>
      <c r="U668" t="s">
        <v>85</v>
      </c>
      <c r="Z668" s="1405"/>
      <c r="AA668" s="1405"/>
      <c r="AB668" s="1405"/>
      <c r="AC668" s="1405"/>
      <c r="AD668" s="1405"/>
      <c r="AE668" s="1405"/>
      <c r="AF668" s="1405"/>
      <c r="AG668" s="1405"/>
      <c r="AH668" s="1405"/>
      <c r="AI668" s="1405"/>
      <c r="AJ668" s="1405"/>
      <c r="AK668" s="1405"/>
      <c r="AZ668" s="3"/>
      <c r="BA668" s="118">
        <f t="shared" si="48"/>
        <v>2010</v>
      </c>
      <c r="BB668" s="3"/>
      <c r="BC668" s="3"/>
      <c r="BD668" s="3"/>
      <c r="BE668" s="3"/>
      <c r="BF668" s="218"/>
      <c r="BG668" s="315">
        <f t="shared" ref="BG668:BG700" si="49">G718</f>
        <v>14</v>
      </c>
      <c r="BH668" s="319">
        <f t="shared" ref="BH668:BH702" si="50">IF($BG$703=0,0,BG668/$BG$703)</f>
        <v>0.10071942446043165</v>
      </c>
      <c r="BI668" s="320">
        <f t="shared" ref="BI668:BI691" si="51">IF(BH668=0,"",BH668*AC718)</f>
        <v>3.0215827338129494E-2</v>
      </c>
      <c r="BJ668" s="3"/>
      <c r="BK668" s="3"/>
      <c r="BL668" s="3"/>
      <c r="BM668" s="3"/>
      <c r="BN668" s="3"/>
      <c r="BO668" s="3"/>
      <c r="BT668" s="315">
        <f t="shared" ref="BT668:BT700" si="52">G718</f>
        <v>14</v>
      </c>
      <c r="BU668" s="319">
        <f t="shared" ref="BU668:BU702" si="53">IF($BT$703=0,0,BT668/$BT$703)</f>
        <v>0.10071942446043165</v>
      </c>
      <c r="BV668" s="320">
        <f t="shared" ref="BV668:BV700" si="54">IF(BU668=0,"",BU668*AH718)</f>
        <v>3.0215827338129494E-2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8" t="e">
        <f>DX630*(BN630/$BN$632)</f>
        <v>#VALUE!</v>
      </c>
      <c r="DY668" s="1358"/>
      <c r="DZ668" s="1358"/>
      <c r="EA668" s="1358"/>
      <c r="EB668" s="1358"/>
      <c r="EC668" s="1358" t="e">
        <f>EC630*(BS630/$BS$632)</f>
        <v>#VALUE!</v>
      </c>
      <c r="ED668" s="1358"/>
      <c r="EE668" s="1358"/>
      <c r="EF668" s="1358"/>
      <c r="EG668" s="1358"/>
      <c r="EH668" s="1358" t="e">
        <f>EH630*(BX630/$BX$632)</f>
        <v>#VALUE!</v>
      </c>
      <c r="EI668" s="1358"/>
      <c r="EJ668" s="1358"/>
      <c r="EK668" s="1358"/>
      <c r="EL668" s="1358"/>
      <c r="EM668" s="1358" t="e">
        <f>EM630*(CC630/$CC$632)</f>
        <v>#VALUE!</v>
      </c>
      <c r="EN668" s="1358"/>
      <c r="EO668" s="1358"/>
      <c r="EP668" s="1358"/>
      <c r="EQ668" s="1358"/>
      <c r="ER668" s="1358" t="e">
        <f>ER630*(CH630/$CH$632)</f>
        <v>#VALUE!</v>
      </c>
      <c r="ES668" s="1358"/>
      <c r="ET668" s="1358"/>
      <c r="EU668" s="1358"/>
      <c r="EV668" s="1358"/>
      <c r="EW668" s="1358" t="e">
        <f>EW630*(CM630/$CM$632)</f>
        <v>#VALUE!</v>
      </c>
      <c r="EX668" s="1358"/>
      <c r="EY668" s="1358"/>
      <c r="EZ668" s="1358"/>
      <c r="FA668" s="1358"/>
    </row>
    <row r="669" spans="1:157" ht="13.05" customHeight="1">
      <c r="A669" s="22"/>
      <c r="B669" t="s">
        <v>588</v>
      </c>
      <c r="G669" s="1405"/>
      <c r="H669" s="1405"/>
      <c r="I669" s="1405"/>
      <c r="J669" s="1405"/>
      <c r="K669" s="1405"/>
      <c r="L669" s="1405"/>
      <c r="M669" s="1405"/>
      <c r="N669" s="1405"/>
      <c r="O669" s="1405"/>
      <c r="P669" s="1405"/>
      <c r="Q669" s="1405"/>
      <c r="R669" s="1405"/>
      <c r="T669" s="22"/>
      <c r="U669" t="s">
        <v>588</v>
      </c>
      <c r="Z669" s="1374"/>
      <c r="AA669" s="1374"/>
      <c r="AB669" s="1374"/>
      <c r="AC669" s="1374"/>
      <c r="AD669" s="1374"/>
      <c r="AE669" s="1374"/>
      <c r="AF669" s="1374"/>
      <c r="AG669" s="1374"/>
      <c r="AH669" s="1374"/>
      <c r="AI669" s="1374"/>
      <c r="AJ669" s="1374"/>
      <c r="AK669" s="1374"/>
      <c r="AZ669" s="3"/>
      <c r="BA669" s="118">
        <f t="shared" si="48"/>
        <v>2010</v>
      </c>
      <c r="BB669" s="3"/>
      <c r="BC669" s="3"/>
      <c r="BD669" s="3"/>
      <c r="BE669" s="3"/>
      <c r="BF669" s="218"/>
      <c r="BG669" s="316">
        <f t="shared" si="49"/>
        <v>8</v>
      </c>
      <c r="BH669" s="319">
        <f t="shared" si="50"/>
        <v>5.7553956834532377E-2</v>
      </c>
      <c r="BI669" s="320">
        <f t="shared" si="51"/>
        <v>3.4532374100719423E-2</v>
      </c>
      <c r="BJ669" s="3"/>
      <c r="BK669" s="3"/>
      <c r="BL669" s="3"/>
      <c r="BM669" s="3"/>
      <c r="BN669" s="3"/>
      <c r="BO669" s="3"/>
      <c r="BT669" s="316">
        <f t="shared" si="52"/>
        <v>8</v>
      </c>
      <c r="BU669" s="319">
        <f t="shared" si="53"/>
        <v>5.7553956834532377E-2</v>
      </c>
      <c r="BV669" s="320">
        <f t="shared" si="54"/>
        <v>3.4532374100719423E-2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8" t="e">
        <f>DX631*(BN631/$BN$632)</f>
        <v>#VALUE!</v>
      </c>
      <c r="DY669" s="1358"/>
      <c r="DZ669" s="1358"/>
      <c r="EA669" s="1358"/>
      <c r="EB669" s="1358"/>
      <c r="EC669" s="1358" t="e">
        <f>EC631*(BS631/$BS$632)</f>
        <v>#VALUE!</v>
      </c>
      <c r="ED669" s="1358"/>
      <c r="EE669" s="1358"/>
      <c r="EF669" s="1358"/>
      <c r="EG669" s="1358"/>
      <c r="EH669" s="1358" t="e">
        <f>EH631*(BX631/$BX$632)</f>
        <v>#VALUE!</v>
      </c>
      <c r="EI669" s="1358"/>
      <c r="EJ669" s="1358"/>
      <c r="EK669" s="1358"/>
      <c r="EL669" s="1358"/>
      <c r="EM669" s="1358" t="e">
        <f>EM631*(CC631/$CC$632)</f>
        <v>#VALUE!</v>
      </c>
      <c r="EN669" s="1358"/>
      <c r="EO669" s="1358"/>
      <c r="EP669" s="1358"/>
      <c r="EQ669" s="1358"/>
      <c r="ER669" s="1358" t="e">
        <f>ER631*(CH631/$CH$632)</f>
        <v>#VALUE!</v>
      </c>
      <c r="ES669" s="1358"/>
      <c r="ET669" s="1358"/>
      <c r="EU669" s="1358"/>
      <c r="EV669" s="1358"/>
      <c r="EW669" s="1358" t="e">
        <f>EW631*(CM631/$CM$632)</f>
        <v>#VALUE!</v>
      </c>
      <c r="EX669" s="1358"/>
      <c r="EY669" s="1358"/>
      <c r="EZ669" s="1358"/>
      <c r="FA669" s="1358"/>
    </row>
    <row r="670" spans="1:157" ht="13.05" customHeight="1">
      <c r="A670" s="22"/>
      <c r="B670" t="s">
        <v>17</v>
      </c>
      <c r="G670" s="1405"/>
      <c r="H670" s="1405"/>
      <c r="I670" s="1405"/>
      <c r="J670" s="1405"/>
      <c r="K670" s="1405"/>
      <c r="L670" s="1405"/>
      <c r="M670" s="1405"/>
      <c r="N670" s="1405"/>
      <c r="O670" s="1405"/>
      <c r="P670" s="1405"/>
      <c r="Q670" s="1405"/>
      <c r="R670" s="1405"/>
      <c r="T670" s="22"/>
      <c r="U670" t="s">
        <v>17</v>
      </c>
      <c r="Z670" s="1374"/>
      <c r="AA670" s="1374"/>
      <c r="AB670" s="1374"/>
      <c r="AC670" s="1374"/>
      <c r="AD670" s="1374"/>
      <c r="AE670" s="1374"/>
      <c r="AF670" s="1374"/>
      <c r="AG670" s="1374"/>
      <c r="AH670" s="1374"/>
      <c r="AI670" s="1374"/>
      <c r="AJ670" s="1374"/>
      <c r="AK670" s="1374"/>
      <c r="AZ670" s="3"/>
      <c r="BA670" s="118">
        <f t="shared" si="48"/>
        <v>2412</v>
      </c>
      <c r="BB670" s="3"/>
      <c r="BC670" s="3"/>
      <c r="BD670" s="3"/>
      <c r="BE670" s="3"/>
      <c r="BF670" s="218"/>
      <c r="BG670" s="316">
        <f t="shared" si="49"/>
        <v>20</v>
      </c>
      <c r="BH670" s="319">
        <f t="shared" si="50"/>
        <v>0.14388489208633093</v>
      </c>
      <c r="BI670" s="320">
        <f t="shared" si="51"/>
        <v>0.10071942446043164</v>
      </c>
      <c r="BJ670" s="3"/>
      <c r="BK670" s="3"/>
      <c r="BL670" s="3"/>
      <c r="BM670" s="3"/>
      <c r="BN670" s="3"/>
      <c r="BO670" s="3"/>
      <c r="BT670" s="316">
        <f t="shared" si="52"/>
        <v>20</v>
      </c>
      <c r="BU670" s="319">
        <f t="shared" si="53"/>
        <v>0.14388489208633093</v>
      </c>
      <c r="BV670" s="320">
        <f t="shared" si="54"/>
        <v>0.10071942446043164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8">
        <f>SUMIF(DX635:EB669,"&gt;0")</f>
        <v>0</v>
      </c>
      <c r="DY670" s="1358"/>
      <c r="DZ670" s="1358"/>
      <c r="EA670" s="1358"/>
      <c r="EB670" s="1358"/>
      <c r="EC670" s="1358">
        <f>SUMIF(EC635:EG669,"&gt;0")</f>
        <v>1018.7142857142857</v>
      </c>
      <c r="ED670" s="1358"/>
      <c r="EE670" s="1358"/>
      <c r="EF670" s="1358"/>
      <c r="EG670" s="1358"/>
      <c r="EH670" s="1358">
        <f>SUMIF(EH635:EL669,"&gt;0")</f>
        <v>1263.5</v>
      </c>
      <c r="EI670" s="1358"/>
      <c r="EJ670" s="1358"/>
      <c r="EK670" s="1358"/>
      <c r="EL670" s="1358"/>
      <c r="EM670" s="1358">
        <f>SUMIF(EM635:EQ669,"&gt;0")</f>
        <v>1461.0816326530612</v>
      </c>
      <c r="EN670" s="1358"/>
      <c r="EO670" s="1358"/>
      <c r="EP670" s="1358"/>
      <c r="EQ670" s="1358"/>
      <c r="ER670" s="1358">
        <f>SUMIF(ER635:EV669,"&gt;0")</f>
        <v>0</v>
      </c>
      <c r="ES670" s="1358"/>
      <c r="ET670" s="1358"/>
      <c r="EU670" s="1358"/>
      <c r="EV670" s="1358"/>
      <c r="EW670" s="1358">
        <f>SUMIF(EW635:FA669,"&gt;0")</f>
        <v>0</v>
      </c>
      <c r="EX670" s="1358"/>
      <c r="EY670" s="1358"/>
      <c r="EZ670" s="1358"/>
      <c r="FA670" s="1358"/>
    </row>
    <row r="671" spans="1:157" ht="13.05" customHeight="1">
      <c r="A671" s="22"/>
      <c r="B671" t="s">
        <v>317</v>
      </c>
      <c r="G671" s="1393"/>
      <c r="H671" s="1393"/>
      <c r="I671" s="1393"/>
      <c r="J671" s="1393"/>
      <c r="K671" s="1393"/>
      <c r="L671" s="1393"/>
      <c r="O671" s="33" t="s">
        <v>207</v>
      </c>
      <c r="P671" s="1372"/>
      <c r="Q671" s="1372"/>
      <c r="R671" s="1372"/>
      <c r="T671" s="22"/>
      <c r="U671" t="s">
        <v>317</v>
      </c>
      <c r="Z671" s="1393"/>
      <c r="AA671" s="1393"/>
      <c r="AB671" s="1393"/>
      <c r="AC671" s="1393"/>
      <c r="AD671" s="1393"/>
      <c r="AE671" s="1393"/>
      <c r="AH671" s="33" t="s">
        <v>207</v>
      </c>
      <c r="AI671" s="1372"/>
      <c r="AJ671" s="1372"/>
      <c r="AK671" s="1372"/>
      <c r="AZ671" s="3"/>
      <c r="BA671" s="118">
        <f t="shared" si="48"/>
        <v>2412</v>
      </c>
      <c r="BB671" s="3"/>
      <c r="BC671" s="3"/>
      <c r="BD671" s="3"/>
      <c r="BE671" s="3"/>
      <c r="BF671" s="218"/>
      <c r="BG671" s="316">
        <f t="shared" si="49"/>
        <v>10</v>
      </c>
      <c r="BH671" s="319">
        <f t="shared" si="50"/>
        <v>7.1942446043165464E-2</v>
      </c>
      <c r="BI671" s="320">
        <f t="shared" si="51"/>
        <v>2.1582733812949638E-2</v>
      </c>
      <c r="BJ671" s="3"/>
      <c r="BK671" s="3"/>
      <c r="BL671" s="3"/>
      <c r="BM671" s="3"/>
      <c r="BN671" s="3"/>
      <c r="BO671" s="3"/>
      <c r="BT671" s="316">
        <f t="shared" si="52"/>
        <v>10</v>
      </c>
      <c r="BU671" s="319">
        <f t="shared" si="53"/>
        <v>7.1942446043165464E-2</v>
      </c>
      <c r="BV671" s="320">
        <f t="shared" si="54"/>
        <v>2.159466456685398E-2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405"/>
      <c r="I672" s="1405"/>
      <c r="J672" s="1405"/>
      <c r="K672" s="1405"/>
      <c r="L672" s="1405"/>
      <c r="M672" s="1405"/>
      <c r="N672" s="1405"/>
      <c r="O672" s="1405"/>
      <c r="P672" s="1405"/>
      <c r="Q672" s="1405"/>
      <c r="R672" s="1405"/>
      <c r="T672" s="22"/>
      <c r="U672" t="s">
        <v>18</v>
      </c>
      <c r="AA672" s="1405"/>
      <c r="AB672" s="1405"/>
      <c r="AC672" s="1405"/>
      <c r="AD672" s="1405"/>
      <c r="AE672" s="1405"/>
      <c r="AF672" s="1405"/>
      <c r="AG672" s="1405"/>
      <c r="AH672" s="1405"/>
      <c r="AI672" s="1405"/>
      <c r="AJ672" s="1405"/>
      <c r="AK672" s="1405"/>
      <c r="AZ672" s="3"/>
      <c r="BA672" s="118">
        <f t="shared" si="48"/>
        <v>2412</v>
      </c>
      <c r="BB672" s="3"/>
      <c r="BC672" s="3"/>
      <c r="BD672" s="3"/>
      <c r="BE672" s="3"/>
      <c r="BF672" s="218"/>
      <c r="BG672" s="316">
        <f t="shared" si="49"/>
        <v>4</v>
      </c>
      <c r="BH672" s="319">
        <f t="shared" si="50"/>
        <v>2.8776978417266189E-2</v>
      </c>
      <c r="BI672" s="320">
        <f t="shared" si="51"/>
        <v>8.6330935251798559E-3</v>
      </c>
      <c r="BJ672" s="3"/>
      <c r="BK672" s="3"/>
      <c r="BL672" s="3"/>
      <c r="BM672" s="3"/>
      <c r="BN672" s="3"/>
      <c r="BO672" s="3"/>
      <c r="BT672" s="316">
        <f t="shared" si="52"/>
        <v>4</v>
      </c>
      <c r="BU672" s="319">
        <f t="shared" si="53"/>
        <v>2.8776978417266189E-2</v>
      </c>
      <c r="BV672" s="320">
        <f t="shared" si="54"/>
        <v>8.6378658267415934E-3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05" customHeight="1">
      <c r="A673" s="22"/>
      <c r="B673" t="s">
        <v>20</v>
      </c>
      <c r="N673" s="1461" t="s">
        <v>677</v>
      </c>
      <c r="O673" s="1461"/>
      <c r="T673" s="22"/>
      <c r="U673" t="s">
        <v>20</v>
      </c>
      <c r="AG673" s="1461" t="s">
        <v>677</v>
      </c>
      <c r="AH673" s="1461"/>
      <c r="AZ673" s="3"/>
      <c r="BA673" s="118">
        <f t="shared" si="48"/>
        <v>2412</v>
      </c>
      <c r="BB673" s="3"/>
      <c r="BC673" s="3"/>
      <c r="BD673" s="3"/>
      <c r="BE673" s="3"/>
      <c r="BF673" s="218"/>
      <c r="BG673" s="316">
        <f t="shared" si="49"/>
        <v>8</v>
      </c>
      <c r="BH673" s="319">
        <f t="shared" si="50"/>
        <v>5.7553956834532377E-2</v>
      </c>
      <c r="BI673" s="320">
        <f t="shared" si="51"/>
        <v>3.4532374100719423E-2</v>
      </c>
      <c r="BJ673" s="3"/>
      <c r="BK673" s="3"/>
      <c r="BL673" s="3"/>
      <c r="BM673" s="3"/>
      <c r="BN673" s="3"/>
      <c r="BO673" s="3"/>
      <c r="BT673" s="316">
        <f t="shared" si="52"/>
        <v>8</v>
      </c>
      <c r="BU673" s="319">
        <f t="shared" si="53"/>
        <v>5.7553956834532377E-2</v>
      </c>
      <c r="BV673" s="320">
        <f t="shared" si="54"/>
        <v>3.4527601799157689E-2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05" customHeight="1">
      <c r="A674" s="22"/>
      <c r="T674" s="22"/>
      <c r="AZ674" s="3"/>
      <c r="BA674" s="118">
        <f t="shared" si="48"/>
        <v>2786</v>
      </c>
      <c r="BB674" s="3"/>
      <c r="BC674" s="3"/>
      <c r="BD674" s="3"/>
      <c r="BE674" s="3"/>
      <c r="BF674" s="218"/>
      <c r="BG674" s="316">
        <f t="shared" si="49"/>
        <v>26</v>
      </c>
      <c r="BH674" s="319">
        <f t="shared" si="50"/>
        <v>0.18705035971223022</v>
      </c>
      <c r="BI674" s="320">
        <f t="shared" si="51"/>
        <v>0.13093525179856114</v>
      </c>
      <c r="BJ674" s="3"/>
      <c r="BK674" s="3"/>
      <c r="BL674" s="3"/>
      <c r="BM674" s="3"/>
      <c r="BN674" s="3"/>
      <c r="BO674" s="3"/>
      <c r="BT674" s="316">
        <f t="shared" si="52"/>
        <v>26</v>
      </c>
      <c r="BU674" s="319">
        <f t="shared" si="53"/>
        <v>0.18705035971223022</v>
      </c>
      <c r="BV674" s="320">
        <f t="shared" si="54"/>
        <v>0.13090423183840988</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05" customHeight="1">
      <c r="A675" s="55" t="s">
        <v>469</v>
      </c>
      <c r="B675" t="s">
        <v>471</v>
      </c>
      <c r="G675" s="1373">
        <f>C635</f>
        <v>0</v>
      </c>
      <c r="H675" s="1373"/>
      <c r="I675" s="1373"/>
      <c r="J675" s="1373"/>
      <c r="K675" s="1373"/>
      <c r="L675" s="1373"/>
      <c r="M675" s="1373"/>
      <c r="N675" s="1373"/>
      <c r="O675" s="1373"/>
      <c r="P675" s="1373"/>
      <c r="Q675" s="1373"/>
      <c r="R675" s="1373"/>
      <c r="T675" s="55" t="s">
        <v>654</v>
      </c>
      <c r="U675" t="s">
        <v>471</v>
      </c>
      <c r="Z675" s="1373">
        <f>C636</f>
        <v>0</v>
      </c>
      <c r="AA675" s="1373"/>
      <c r="AB675" s="1373"/>
      <c r="AC675" s="1373"/>
      <c r="AD675" s="1373"/>
      <c r="AE675" s="1373"/>
      <c r="AF675" s="1373"/>
      <c r="AG675" s="1373"/>
      <c r="AH675" s="1373"/>
      <c r="AI675" s="1373"/>
      <c r="AJ675" s="1373"/>
      <c r="AK675" s="1373"/>
      <c r="AZ675" s="3"/>
      <c r="BA675" s="118">
        <f t="shared" si="48"/>
        <v>2786</v>
      </c>
      <c r="BB675" s="3"/>
      <c r="BC675" s="3"/>
      <c r="BD675" s="3"/>
      <c r="BE675" s="3"/>
      <c r="BF675" s="218"/>
      <c r="BG675" s="316">
        <f t="shared" si="49"/>
        <v>10</v>
      </c>
      <c r="BH675" s="319">
        <f t="shared" si="50"/>
        <v>7.1942446043165464E-2</v>
      </c>
      <c r="BI675" s="320">
        <f t="shared" si="51"/>
        <v>2.1582733812949638E-2</v>
      </c>
      <c r="BJ675" s="3"/>
      <c r="BK675" s="3"/>
      <c r="BL675" s="3"/>
      <c r="BM675" s="3"/>
      <c r="BN675" s="3"/>
      <c r="BO675" s="3"/>
      <c r="BT675" s="316">
        <f t="shared" si="52"/>
        <v>10</v>
      </c>
      <c r="BU675" s="319">
        <f t="shared" si="53"/>
        <v>7.1942446043165464E-2</v>
      </c>
      <c r="BV675" s="320">
        <f t="shared" si="54"/>
        <v>2.1587898381940536E-2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05" customHeight="1">
      <c r="A676" s="22"/>
      <c r="B676" t="s">
        <v>85</v>
      </c>
      <c r="G676" s="1405"/>
      <c r="H676" s="1405"/>
      <c r="I676" s="1405"/>
      <c r="J676" s="1405"/>
      <c r="K676" s="1405"/>
      <c r="L676" s="1405"/>
      <c r="M676" s="1405"/>
      <c r="N676" s="1405"/>
      <c r="O676" s="1405"/>
      <c r="P676" s="1405"/>
      <c r="Q676" s="1405"/>
      <c r="R676" s="1405"/>
      <c r="T676" s="22"/>
      <c r="U676" t="s">
        <v>85</v>
      </c>
      <c r="Z676" s="1405"/>
      <c r="AA676" s="1405"/>
      <c r="AB676" s="1405"/>
      <c r="AC676" s="1405"/>
      <c r="AD676" s="1405"/>
      <c r="AE676" s="1405"/>
      <c r="AF676" s="1405"/>
      <c r="AG676" s="1405"/>
      <c r="AH676" s="1405"/>
      <c r="AI676" s="1405"/>
      <c r="AJ676" s="1405"/>
      <c r="AK676" s="1405"/>
      <c r="AZ676" s="3"/>
      <c r="BA676" s="118">
        <f t="shared" si="48"/>
        <v>2786</v>
      </c>
      <c r="BB676" s="3"/>
      <c r="BC676" s="3"/>
      <c r="BD676" s="3"/>
      <c r="BE676" s="3"/>
      <c r="BF676" s="218"/>
      <c r="BG676" s="316">
        <f t="shared" si="49"/>
        <v>4</v>
      </c>
      <c r="BH676" s="319">
        <f t="shared" si="50"/>
        <v>2.8776978417266189E-2</v>
      </c>
      <c r="BI676" s="320">
        <f t="shared" si="51"/>
        <v>8.6330935251798559E-3</v>
      </c>
      <c r="BJ676" s="3"/>
      <c r="BK676" s="3"/>
      <c r="BL676" s="3"/>
      <c r="BM676" s="3"/>
      <c r="BN676" s="3"/>
      <c r="BO676" s="3"/>
      <c r="BT676" s="316">
        <f t="shared" si="52"/>
        <v>4</v>
      </c>
      <c r="BU676" s="319">
        <f t="shared" si="53"/>
        <v>2.8776978417266189E-2</v>
      </c>
      <c r="BV676" s="320">
        <f t="shared" si="54"/>
        <v>8.6351593527762144E-3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05" customHeight="1">
      <c r="A677" s="22"/>
      <c r="B677" t="s">
        <v>588</v>
      </c>
      <c r="G677" s="1405"/>
      <c r="H677" s="1405"/>
      <c r="I677" s="1405"/>
      <c r="J677" s="1405"/>
      <c r="K677" s="1405"/>
      <c r="L677" s="1405"/>
      <c r="M677" s="1405"/>
      <c r="N677" s="1405"/>
      <c r="O677" s="1405"/>
      <c r="P677" s="1405"/>
      <c r="Q677" s="1405"/>
      <c r="R677" s="1405"/>
      <c r="T677" s="22"/>
      <c r="U677" t="s">
        <v>588</v>
      </c>
      <c r="Z677" s="1374"/>
      <c r="AA677" s="1374"/>
      <c r="AB677" s="1374"/>
      <c r="AC677" s="1374"/>
      <c r="AD677" s="1374"/>
      <c r="AE677" s="1374"/>
      <c r="AF677" s="1374"/>
      <c r="AG677" s="1374"/>
      <c r="AH677" s="1374"/>
      <c r="AI677" s="1374"/>
      <c r="AJ677" s="1374"/>
      <c r="AK677" s="1374"/>
      <c r="AZ677" s="3"/>
      <c r="BA677" s="118">
        <f t="shared" si="48"/>
        <v>2786</v>
      </c>
      <c r="BB677" s="3"/>
      <c r="BC677" s="3"/>
      <c r="BD677" s="3"/>
      <c r="BE677" s="3"/>
      <c r="BF677" s="218"/>
      <c r="BG677" s="316">
        <f t="shared" si="49"/>
        <v>8</v>
      </c>
      <c r="BH677" s="319">
        <f t="shared" si="50"/>
        <v>5.7553956834532377E-2</v>
      </c>
      <c r="BI677" s="320">
        <f t="shared" si="51"/>
        <v>3.4532374100719423E-2</v>
      </c>
      <c r="BJ677" s="3"/>
      <c r="BK677" s="3"/>
      <c r="BL677" s="3"/>
      <c r="BM677" s="3"/>
      <c r="BN677" s="3"/>
      <c r="BO677" s="3"/>
      <c r="BT677" s="316">
        <f t="shared" si="52"/>
        <v>8</v>
      </c>
      <c r="BU677" s="319">
        <f t="shared" si="53"/>
        <v>5.7553956834532377E-2</v>
      </c>
      <c r="BV677" s="320">
        <f t="shared" si="54"/>
        <v>3.4540637411104858E-2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05" customHeight="1">
      <c r="A678" s="22"/>
      <c r="B678" t="s">
        <v>17</v>
      </c>
      <c r="G678" s="1405"/>
      <c r="H678" s="1405"/>
      <c r="I678" s="1405"/>
      <c r="J678" s="1405"/>
      <c r="K678" s="1405"/>
      <c r="L678" s="1405"/>
      <c r="M678" s="1405"/>
      <c r="N678" s="1405"/>
      <c r="O678" s="1405"/>
      <c r="P678" s="1405"/>
      <c r="Q678" s="1405"/>
      <c r="R678" s="1405"/>
      <c r="T678" s="22"/>
      <c r="U678" t="s">
        <v>17</v>
      </c>
      <c r="Z678" s="1374"/>
      <c r="AA678" s="1374"/>
      <c r="AB678" s="1374"/>
      <c r="AC678" s="1374"/>
      <c r="AD678" s="1374"/>
      <c r="AE678" s="1374"/>
      <c r="AF678" s="1374"/>
      <c r="AG678" s="1374"/>
      <c r="AH678" s="1374"/>
      <c r="AI678" s="1374"/>
      <c r="AJ678" s="1374"/>
      <c r="AK678" s="1374"/>
      <c r="AZ678" s="3"/>
      <c r="BA678" s="118" t="str">
        <f t="shared" si="48"/>
        <v>N/A</v>
      </c>
      <c r="BB678" s="3"/>
      <c r="BC678" s="3"/>
      <c r="BD678" s="3"/>
      <c r="BE678" s="3"/>
      <c r="BF678" s="218"/>
      <c r="BG678" s="316">
        <f t="shared" si="49"/>
        <v>27</v>
      </c>
      <c r="BH678" s="319">
        <f t="shared" si="50"/>
        <v>0.19424460431654678</v>
      </c>
      <c r="BI678" s="320">
        <f t="shared" si="51"/>
        <v>0.13597122302158274</v>
      </c>
      <c r="BJ678" s="3"/>
      <c r="BK678" s="3"/>
      <c r="BL678" s="3"/>
      <c r="BM678" s="3"/>
      <c r="BN678" s="3"/>
      <c r="BO678" s="3"/>
      <c r="BT678" s="316">
        <f t="shared" si="52"/>
        <v>27</v>
      </c>
      <c r="BU678" s="319">
        <f t="shared" si="53"/>
        <v>0.19424460431654678</v>
      </c>
      <c r="BV678" s="320">
        <f t="shared" si="54"/>
        <v>0.13595727868530733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05" customHeight="1">
      <c r="A679" s="22"/>
      <c r="B679" t="s">
        <v>317</v>
      </c>
      <c r="G679" s="1393"/>
      <c r="H679" s="1393"/>
      <c r="I679" s="1393"/>
      <c r="J679" s="1393"/>
      <c r="K679" s="1393"/>
      <c r="L679" s="1393"/>
      <c r="O679" s="33" t="s">
        <v>207</v>
      </c>
      <c r="P679" s="1372"/>
      <c r="Q679" s="1372"/>
      <c r="R679" s="1372"/>
      <c r="T679" s="22"/>
      <c r="U679" t="s">
        <v>317</v>
      </c>
      <c r="Z679" s="1393"/>
      <c r="AA679" s="1393"/>
      <c r="AB679" s="1393"/>
      <c r="AC679" s="1393"/>
      <c r="AD679" s="1393"/>
      <c r="AE679" s="1393"/>
      <c r="AH679" s="33" t="s">
        <v>207</v>
      </c>
      <c r="AI679" s="1372"/>
      <c r="AJ679" s="1372"/>
      <c r="AK679" s="1372"/>
      <c r="AZ679" s="3"/>
      <c r="BA679" s="118" t="str">
        <f t="shared" si="48"/>
        <v>N/A</v>
      </c>
      <c r="BB679" s="3"/>
      <c r="BC679" s="3"/>
      <c r="BD679" s="3"/>
      <c r="BE679" s="3"/>
      <c r="BF679" s="218"/>
      <c r="BG679" s="316">
        <f t="shared" si="49"/>
        <v>0</v>
      </c>
      <c r="BH679" s="319">
        <f t="shared" si="50"/>
        <v>0</v>
      </c>
      <c r="BI679" s="320" t="str">
        <f>IF(BH679=0,"",BH679*AC729)</f>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05" customHeight="1">
      <c r="A680" s="22"/>
      <c r="B680" t="s">
        <v>18</v>
      </c>
      <c r="H680" s="1405"/>
      <c r="I680" s="1405"/>
      <c r="J680" s="1405"/>
      <c r="K680" s="1405"/>
      <c r="L680" s="1405"/>
      <c r="M680" s="1405"/>
      <c r="N680" s="1405"/>
      <c r="O680" s="1405"/>
      <c r="P680" s="1405"/>
      <c r="Q680" s="1405"/>
      <c r="R680" s="1405"/>
      <c r="T680" s="22"/>
      <c r="U680" t="s">
        <v>18</v>
      </c>
      <c r="AA680" s="1405"/>
      <c r="AB680" s="1405"/>
      <c r="AC680" s="1405"/>
      <c r="AD680" s="1405"/>
      <c r="AE680" s="1405"/>
      <c r="AF680" s="1405"/>
      <c r="AG680" s="1405"/>
      <c r="AH680" s="1405"/>
      <c r="AI680" s="1405"/>
      <c r="AJ680" s="1405"/>
      <c r="AK680" s="1405"/>
      <c r="AZ680" s="3"/>
      <c r="BA680" s="118" t="str">
        <f t="shared" si="48"/>
        <v>N/A</v>
      </c>
      <c r="BB680" s="3"/>
      <c r="BC680" s="3"/>
      <c r="BD680" s="3"/>
      <c r="BE680" s="3"/>
      <c r="BF680" s="218"/>
      <c r="BG680" s="316">
        <f t="shared" si="49"/>
        <v>0</v>
      </c>
      <c r="BH680" s="319">
        <f t="shared" si="50"/>
        <v>0</v>
      </c>
      <c r="BI680" s="320" t="str">
        <f>IF(BH680=0,"",BH680*AC730)</f>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05" customHeight="1">
      <c r="A681" s="22"/>
      <c r="B681" t="s">
        <v>20</v>
      </c>
      <c r="N681" s="1461" t="s">
        <v>677</v>
      </c>
      <c r="O681" s="1461"/>
      <c r="T681" s="22"/>
      <c r="U681" t="s">
        <v>20</v>
      </c>
      <c r="AG681" s="1461" t="s">
        <v>677</v>
      </c>
      <c r="AH681" s="1461"/>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0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05" customHeight="1">
      <c r="A683" s="55" t="s">
        <v>363</v>
      </c>
      <c r="B683" t="s">
        <v>471</v>
      </c>
      <c r="G683" s="1373">
        <f>C637</f>
        <v>0</v>
      </c>
      <c r="H683" s="1373"/>
      <c r="I683" s="1373"/>
      <c r="J683" s="1373"/>
      <c r="K683" s="1373"/>
      <c r="L683" s="1373"/>
      <c r="M683" s="1373"/>
      <c r="N683" s="1373"/>
      <c r="O683" s="1373"/>
      <c r="P683" s="1373"/>
      <c r="Q683" s="1373"/>
      <c r="R683" s="1373"/>
      <c r="T683" s="55" t="s">
        <v>364</v>
      </c>
      <c r="U683" t="s">
        <v>471</v>
      </c>
      <c r="Z683" s="1373">
        <f>C638</f>
        <v>0</v>
      </c>
      <c r="AA683" s="1373"/>
      <c r="AB683" s="1373"/>
      <c r="AC683" s="1373"/>
      <c r="AD683" s="1373"/>
      <c r="AE683" s="1373"/>
      <c r="AF683" s="1373"/>
      <c r="AG683" s="1373"/>
      <c r="AH683" s="1373"/>
      <c r="AI683" s="1373"/>
      <c r="AJ683" s="1373"/>
      <c r="AK683" s="1373"/>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05" customHeight="1">
      <c r="B684" t="s">
        <v>85</v>
      </c>
      <c r="G684" s="1405"/>
      <c r="H684" s="1405"/>
      <c r="I684" s="1405"/>
      <c r="J684" s="1405"/>
      <c r="K684" s="1405"/>
      <c r="L684" s="1405"/>
      <c r="M684" s="1405"/>
      <c r="N684" s="1405"/>
      <c r="O684" s="1405"/>
      <c r="P684" s="1405"/>
      <c r="Q684" s="1405"/>
      <c r="R684" s="1405"/>
      <c r="T684" s="22"/>
      <c r="U684" t="s">
        <v>85</v>
      </c>
      <c r="Z684" s="1405"/>
      <c r="AA684" s="1405"/>
      <c r="AB684" s="1405"/>
      <c r="AC684" s="1405"/>
      <c r="AD684" s="1405"/>
      <c r="AE684" s="1405"/>
      <c r="AF684" s="1405"/>
      <c r="AG684" s="1405"/>
      <c r="AH684" s="1405"/>
      <c r="AI684" s="1405"/>
      <c r="AJ684" s="1405"/>
      <c r="AK684" s="1405"/>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05" customHeight="1">
      <c r="B685" t="s">
        <v>588</v>
      </c>
      <c r="G685" s="1405"/>
      <c r="H685" s="1405"/>
      <c r="I685" s="1405"/>
      <c r="J685" s="1405"/>
      <c r="K685" s="1405"/>
      <c r="L685" s="1405"/>
      <c r="M685" s="1405"/>
      <c r="N685" s="1405"/>
      <c r="O685" s="1405"/>
      <c r="P685" s="1405"/>
      <c r="Q685" s="1405"/>
      <c r="R685" s="1405"/>
      <c r="U685" t="s">
        <v>588</v>
      </c>
      <c r="Z685" s="1374"/>
      <c r="AA685" s="1374"/>
      <c r="AB685" s="1374"/>
      <c r="AC685" s="1374"/>
      <c r="AD685" s="1374"/>
      <c r="AE685" s="1374"/>
      <c r="AF685" s="1374"/>
      <c r="AG685" s="1374"/>
      <c r="AH685" s="1374"/>
      <c r="AI685" s="1374"/>
      <c r="AJ685" s="1374"/>
      <c r="AK685" s="137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05" customHeight="1">
      <c r="B686" t="s">
        <v>17</v>
      </c>
      <c r="G686" s="1405"/>
      <c r="H686" s="1405"/>
      <c r="I686" s="1405"/>
      <c r="J686" s="1405"/>
      <c r="K686" s="1405"/>
      <c r="L686" s="1405"/>
      <c r="M686" s="1405"/>
      <c r="N686" s="1405"/>
      <c r="O686" s="1405"/>
      <c r="P686" s="1405"/>
      <c r="Q686" s="1405"/>
      <c r="R686" s="1405"/>
      <c r="U686" t="s">
        <v>17</v>
      </c>
      <c r="Z686" s="1374"/>
      <c r="AA686" s="1374"/>
      <c r="AB686" s="1374"/>
      <c r="AC686" s="1374"/>
      <c r="AD686" s="1374"/>
      <c r="AE686" s="1374"/>
      <c r="AF686" s="1374"/>
      <c r="AG686" s="1374"/>
      <c r="AH686" s="1374"/>
      <c r="AI686" s="1374"/>
      <c r="AJ686" s="1374"/>
      <c r="AK686" s="137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05" customHeight="1">
      <c r="B687" t="s">
        <v>317</v>
      </c>
      <c r="G687" s="1393"/>
      <c r="H687" s="1393"/>
      <c r="I687" s="1393"/>
      <c r="J687" s="1393"/>
      <c r="K687" s="1393"/>
      <c r="L687" s="1393"/>
      <c r="O687" s="33" t="s">
        <v>207</v>
      </c>
      <c r="P687" s="1372"/>
      <c r="Q687" s="1372"/>
      <c r="R687" s="1372"/>
      <c r="U687" t="s">
        <v>317</v>
      </c>
      <c r="Z687" s="1393"/>
      <c r="AA687" s="1393"/>
      <c r="AB687" s="1393"/>
      <c r="AC687" s="1393"/>
      <c r="AD687" s="1393"/>
      <c r="AE687" s="1393"/>
      <c r="AH687" s="33" t="s">
        <v>207</v>
      </c>
      <c r="AI687" s="1372"/>
      <c r="AJ687" s="1372"/>
      <c r="AK687" s="1372"/>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05" customHeight="1">
      <c r="B688" t="s">
        <v>18</v>
      </c>
      <c r="H688" s="1405"/>
      <c r="I688" s="1405"/>
      <c r="J688" s="1405"/>
      <c r="K688" s="1405"/>
      <c r="L688" s="1405"/>
      <c r="M688" s="1405"/>
      <c r="N688" s="1405"/>
      <c r="O688" s="1405"/>
      <c r="P688" s="1405"/>
      <c r="Q688" s="1405"/>
      <c r="R688" s="1405"/>
      <c r="U688" t="s">
        <v>18</v>
      </c>
      <c r="AA688" s="1405"/>
      <c r="AB688" s="1405"/>
      <c r="AC688" s="1405"/>
      <c r="AD688" s="1405"/>
      <c r="AE688" s="1405"/>
      <c r="AF688" s="1405"/>
      <c r="AG688" s="1405"/>
      <c r="AH688" s="1405"/>
      <c r="AI688" s="1405"/>
      <c r="AJ688" s="1405"/>
      <c r="AK688" s="1405"/>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05" customHeight="1">
      <c r="B689" t="s">
        <v>20</v>
      </c>
      <c r="N689" s="1461" t="s">
        <v>677</v>
      </c>
      <c r="O689" s="1461"/>
      <c r="U689" t="s">
        <v>20</v>
      </c>
      <c r="AG689" s="1461" t="s">
        <v>677</v>
      </c>
      <c r="AH689" s="1461"/>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0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0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0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05" customHeight="1">
      <c r="B693" s="135"/>
      <c r="C693" s="135"/>
      <c r="E693" s="136" t="s">
        <v>437</v>
      </c>
      <c r="F693" s="135"/>
      <c r="G693" s="135"/>
      <c r="H693" s="135"/>
      <c r="AE693" s="1461" t="s">
        <v>553</v>
      </c>
      <c r="AF693" s="1461"/>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05" customHeight="1">
      <c r="B694" s="135"/>
      <c r="C694" s="135"/>
      <c r="D694" s="136" t="s">
        <v>440</v>
      </c>
      <c r="E694" s="135"/>
      <c r="F694" s="135"/>
      <c r="G694" s="135"/>
      <c r="H694" s="135"/>
      <c r="AE694" s="1461" t="s">
        <v>553</v>
      </c>
      <c r="AF694" s="1461"/>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05" customHeight="1">
      <c r="B695" s="135"/>
      <c r="C695" s="135"/>
      <c r="D695" s="136" t="s">
        <v>939</v>
      </c>
      <c r="E695" s="135"/>
      <c r="F695" s="135"/>
      <c r="G695" s="135"/>
      <c r="H695" s="135"/>
      <c r="AE695" s="1571" t="s">
        <v>2740</v>
      </c>
      <c r="AF695" s="1571"/>
      <c r="AG695" s="1571"/>
      <c r="AH695" s="1571"/>
      <c r="AI695" s="1571"/>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05" customHeight="1">
      <c r="B696" s="135"/>
      <c r="C696" s="135"/>
      <c r="D696" s="343" t="s">
        <v>1002</v>
      </c>
      <c r="E696" s="135"/>
      <c r="F696" s="135"/>
      <c r="G696" s="135"/>
      <c r="H696" s="135"/>
      <c r="AE696" s="1829">
        <v>45511</v>
      </c>
      <c r="AF696" s="1829"/>
      <c r="AG696" s="1829"/>
      <c r="AH696" s="1829"/>
      <c r="AI696" s="182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0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05" customHeight="1">
      <c r="B698" s="135"/>
      <c r="C698" s="135"/>
      <c r="D698" s="136" t="s">
        <v>825</v>
      </c>
      <c r="E698" s="135"/>
      <c r="F698" s="135"/>
      <c r="G698" s="135"/>
      <c r="H698" s="135"/>
      <c r="AE698" s="1571">
        <v>45511</v>
      </c>
      <c r="AF698" s="1571"/>
      <c r="AG698" s="1571"/>
      <c r="AH698" s="1571"/>
      <c r="AI698" s="1571"/>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05" customHeight="1">
      <c r="B699" s="135"/>
      <c r="C699" s="135"/>
      <c r="D699" s="136" t="s">
        <v>438</v>
      </c>
      <c r="E699" s="135"/>
      <c r="F699" s="135"/>
      <c r="G699" s="135"/>
      <c r="H699" s="135"/>
      <c r="AE699" s="1595">
        <v>0.50249999999999995</v>
      </c>
      <c r="AF699" s="1595"/>
      <c r="AG699" s="1595"/>
      <c r="AH699" s="1595"/>
      <c r="AI699" s="159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05" customHeight="1">
      <c r="B700" s="135"/>
      <c r="C700" s="135"/>
      <c r="D700" s="136" t="s">
        <v>439</v>
      </c>
      <c r="E700" s="135"/>
      <c r="F700" s="135"/>
      <c r="G700" s="135"/>
      <c r="H700" s="135"/>
      <c r="W700" s="1373" t="str">
        <f>H335</f>
        <v>California Housing Finance Agency</v>
      </c>
      <c r="X700" s="1373"/>
      <c r="Y700" s="1373"/>
      <c r="Z700" s="1373"/>
      <c r="AA700" s="1373"/>
      <c r="AB700" s="1373"/>
      <c r="AC700" s="1373"/>
      <c r="AD700" s="1373"/>
      <c r="AE700" s="1373"/>
      <c r="AF700" s="1373"/>
      <c r="AG700" s="1373"/>
      <c r="AH700" s="1373"/>
      <c r="AI700" s="1373"/>
      <c r="AJ700" s="1373"/>
      <c r="AK700" s="1373"/>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05" customHeight="1">
      <c r="B701" s="135"/>
      <c r="C701" s="135"/>
      <c r="D701" s="136"/>
      <c r="E701" s="135"/>
      <c r="F701" s="135"/>
      <c r="G701" s="135"/>
      <c r="H701" s="135"/>
      <c r="AZ701" s="34"/>
      <c r="BA701" s="118" t="str">
        <f>IF($G752=0,"N/A",VLOOKUP($T$189,TC_Rent,(MATCH($B752,bedrooms,FALSE))))</f>
        <v>N/A</v>
      </c>
      <c r="BB701" s="34"/>
      <c r="BC701" s="34"/>
      <c r="BD701" s="34"/>
      <c r="BE701" s="34"/>
      <c r="BF701" s="34"/>
      <c r="BG701" s="316">
        <f>G751</f>
        <v>0</v>
      </c>
      <c r="BH701" s="319">
        <f t="shared" si="50"/>
        <v>0</v>
      </c>
      <c r="BI701" s="320" t="str">
        <f>IF(BH701=0,"",BH701*AC762)</f>
        <v/>
      </c>
      <c r="BJ701" s="3"/>
      <c r="BK701" s="34"/>
      <c r="BL701" s="34"/>
      <c r="BM701" s="34"/>
      <c r="BN701" s="34"/>
      <c r="BO701" s="34"/>
      <c r="BT701" s="316">
        <f>G751</f>
        <v>0</v>
      </c>
      <c r="BU701" s="319">
        <f t="shared" si="53"/>
        <v>0</v>
      </c>
      <c r="BV701" s="320" t="str">
        <f>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05" customHeight="1">
      <c r="B702" s="135"/>
      <c r="C702" s="135"/>
      <c r="D702" s="136" t="s">
        <v>441</v>
      </c>
      <c r="E702" s="135"/>
      <c r="F702" s="135"/>
      <c r="G702" s="135"/>
      <c r="H702" s="135"/>
      <c r="AE702" s="1461" t="s">
        <v>677</v>
      </c>
      <c r="AF702" s="1461"/>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05" customHeight="1">
      <c r="B703" s="135"/>
      <c r="C703" s="135"/>
      <c r="D703" s="136" t="s">
        <v>444</v>
      </c>
      <c r="E703" s="135"/>
      <c r="F703" s="135"/>
      <c r="G703" s="135"/>
      <c r="H703" s="135"/>
      <c r="W703" s="1405"/>
      <c r="X703" s="1405"/>
      <c r="Y703" s="1405"/>
      <c r="Z703" s="1405"/>
      <c r="AA703" s="1405"/>
      <c r="AB703" s="1405"/>
      <c r="AC703" s="1405"/>
      <c r="AD703" s="1405"/>
      <c r="AE703" s="1405"/>
      <c r="AF703" s="1405"/>
      <c r="AG703" s="1405"/>
      <c r="AH703" s="1405"/>
      <c r="AI703" s="1405"/>
      <c r="AJ703" s="1405"/>
      <c r="AK703" s="1405"/>
      <c r="AZ703" s="34"/>
      <c r="BA703" s="34"/>
      <c r="BB703" s="34"/>
      <c r="BC703" s="34"/>
      <c r="BD703" s="34"/>
      <c r="BE703" s="3"/>
      <c r="BF703" s="312" t="s">
        <v>914</v>
      </c>
      <c r="BG703" s="321">
        <f>SUM(BG668:BG702)</f>
        <v>139</v>
      </c>
      <c r="BH703" s="322">
        <f>SUM(BH668:BH702)</f>
        <v>1</v>
      </c>
      <c r="BI703" s="322">
        <f>SUM(BI668:BI702)</f>
        <v>0.56187050359712221</v>
      </c>
      <c r="BN703" s="3"/>
      <c r="BO703" s="3"/>
      <c r="BT703" s="893">
        <f>SUM(BT668:BT702)</f>
        <v>139</v>
      </c>
      <c r="BU703" s="322">
        <f>SUM(BU668:BU702)</f>
        <v>1</v>
      </c>
      <c r="BV703" s="322">
        <f>SUM(BV668:BV702)</f>
        <v>0.56185296376157257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05" customHeight="1">
      <c r="B704" s="135"/>
      <c r="C704" s="135"/>
      <c r="D704" s="136" t="s">
        <v>87</v>
      </c>
      <c r="E704" s="135"/>
      <c r="F704" s="135"/>
      <c r="G704" s="135"/>
      <c r="H704" s="135"/>
      <c r="J704" s="1405"/>
      <c r="K704" s="1405"/>
      <c r="L704" s="1405"/>
      <c r="M704" s="1405"/>
      <c r="N704" s="1405"/>
      <c r="O704" s="1405"/>
      <c r="P704" s="1405"/>
      <c r="Q704" s="1405"/>
      <c r="R704" s="1405"/>
      <c r="S704" s="1405"/>
      <c r="T704" s="1405"/>
      <c r="U704" s="1405"/>
      <c r="V704" s="1405"/>
      <c r="W704" s="1405"/>
      <c r="X704" s="140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05" customHeight="1">
      <c r="B705" s="135"/>
      <c r="C705" s="135"/>
      <c r="D705" s="136" t="s">
        <v>88</v>
      </c>
      <c r="J705" s="1393"/>
      <c r="K705" s="1393"/>
      <c r="L705" s="1393"/>
      <c r="M705" s="1393"/>
      <c r="N705" s="1393"/>
      <c r="O705" s="1393"/>
      <c r="P705" s="4" t="s">
        <v>207</v>
      </c>
      <c r="Q705" s="4"/>
      <c r="R705" s="1372"/>
      <c r="S705" s="1372"/>
      <c r="T705" s="137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05" customHeight="1">
      <c r="B706" s="135"/>
      <c r="C706" s="135"/>
      <c r="D706" s="136" t="s">
        <v>445</v>
      </c>
      <c r="W706" s="1405" t="s">
        <v>308</v>
      </c>
      <c r="X706" s="1405"/>
      <c r="Y706" s="1405"/>
      <c r="Z706" s="1405"/>
      <c r="AA706" s="1405"/>
      <c r="AB706" s="1405"/>
      <c r="AC706" s="1405"/>
      <c r="AD706" s="1405"/>
      <c r="AE706" s="1405"/>
      <c r="AF706" s="1405"/>
      <c r="AG706" s="1405"/>
      <c r="AH706" s="1405"/>
      <c r="AI706" s="1405"/>
      <c r="AJ706" s="1405"/>
      <c r="AK706" s="140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05" customHeight="1">
      <c r="B707" s="135"/>
      <c r="C707" s="135"/>
      <c r="D707" s="136"/>
      <c r="E707" s="1405" t="s">
        <v>335</v>
      </c>
      <c r="F707" s="1405"/>
      <c r="G707" s="1405"/>
      <c r="H707" s="1405"/>
      <c r="I707" s="1405"/>
      <c r="J707" s="1405"/>
      <c r="K707" s="1405"/>
      <c r="L707" s="1405"/>
      <c r="M707" s="1405"/>
      <c r="N707" s="1405"/>
      <c r="O707" s="1405"/>
      <c r="P707" s="1405"/>
      <c r="Q707" s="1405"/>
      <c r="R707" s="1405"/>
      <c r="S707" s="1405"/>
      <c r="T707" s="1405"/>
      <c r="U707" s="1405"/>
      <c r="V707" s="1405"/>
      <c r="W707" s="1405"/>
      <c r="X707" s="1405"/>
      <c r="Y707" s="1405"/>
      <c r="Z707" s="1405"/>
      <c r="AA707" s="1405"/>
      <c r="AB707" s="1405"/>
      <c r="AC707" s="1405"/>
      <c r="AD707" s="1405"/>
      <c r="AE707" s="1405"/>
      <c r="AF707" s="1405"/>
      <c r="AG707" s="1405"/>
      <c r="AH707" s="1405"/>
      <c r="AI707" s="1405"/>
      <c r="AJ707" s="1405"/>
      <c r="AK707" s="140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05" customHeight="1">
      <c r="A709" s="1279" t="s">
        <v>95</v>
      </c>
      <c r="B709" s="1279"/>
      <c r="C709" s="1279"/>
      <c r="D709" s="1279"/>
      <c r="E709" s="1279"/>
      <c r="F709" s="1279"/>
      <c r="G709" s="1279"/>
      <c r="H709" s="1279"/>
      <c r="I709" s="1279"/>
      <c r="J709" s="1279"/>
      <c r="K709" s="1279"/>
      <c r="L709" s="1279"/>
      <c r="M709" s="1279"/>
      <c r="N709" s="1279"/>
      <c r="O709" s="1279"/>
      <c r="P709" s="1279"/>
      <c r="Q709" s="1279"/>
      <c r="R709" s="1279"/>
      <c r="S709" s="1279"/>
      <c r="T709" s="1279"/>
      <c r="U709" s="1279"/>
      <c r="V709" s="1279"/>
      <c r="W709" s="1279"/>
      <c r="X709" s="1279"/>
      <c r="Y709" s="1279"/>
      <c r="Z709" s="1279"/>
      <c r="AA709" s="1279"/>
      <c r="AB709" s="1279"/>
      <c r="AC709" s="1279"/>
      <c r="AD709" s="1279"/>
      <c r="AE709" s="1279"/>
      <c r="AF709" s="1279"/>
      <c r="AG709" s="1279"/>
      <c r="AH709" s="1279"/>
      <c r="AI709" s="1279"/>
      <c r="AJ709" s="1279"/>
      <c r="AK709" s="1279"/>
      <c r="AL709" s="1279"/>
      <c r="AM709" s="1279"/>
      <c r="AN709" s="1279"/>
      <c r="AO709" s="1279"/>
      <c r="AP709" s="1279"/>
      <c r="AQ709" s="1279"/>
      <c r="AR709" s="1279"/>
      <c r="AS709" s="1279"/>
      <c r="AT709" s="127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05" customHeight="1">
      <c r="A710" s="1279"/>
      <c r="B710" s="1279"/>
      <c r="C710" s="1279"/>
      <c r="D710" s="1279"/>
      <c r="E710" s="1279"/>
      <c r="F710" s="1279"/>
      <c r="G710" s="1279"/>
      <c r="H710" s="1279"/>
      <c r="I710" s="1279"/>
      <c r="J710" s="1279"/>
      <c r="K710" s="1279"/>
      <c r="L710" s="1279"/>
      <c r="M710" s="1279"/>
      <c r="N710" s="1279"/>
      <c r="O710" s="1279"/>
      <c r="P710" s="1279"/>
      <c r="Q710" s="1279"/>
      <c r="R710" s="1279"/>
      <c r="S710" s="1279"/>
      <c r="T710" s="1279"/>
      <c r="U710" s="1279"/>
      <c r="V710" s="1279"/>
      <c r="W710" s="1279"/>
      <c r="X710" s="1279"/>
      <c r="Y710" s="1279"/>
      <c r="Z710" s="1279"/>
      <c r="AA710" s="1279"/>
      <c r="AB710" s="1279"/>
      <c r="AC710" s="1279"/>
      <c r="AD710" s="1279"/>
      <c r="AE710" s="1279"/>
      <c r="AF710" s="1279"/>
      <c r="AG710" s="1279"/>
      <c r="AH710" s="1279"/>
      <c r="AI710" s="1279"/>
      <c r="AJ710" s="1279"/>
      <c r="AK710" s="1279"/>
      <c r="AL710" s="1279"/>
      <c r="AM710" s="1279"/>
      <c r="AN710" s="1279"/>
      <c r="AO710" s="1279"/>
      <c r="AP710" s="1279"/>
      <c r="AQ710" s="1279"/>
      <c r="AR710" s="1279"/>
      <c r="AS710" s="1279"/>
      <c r="AT710" s="127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05" customHeight="1">
      <c r="A711" s="1279"/>
      <c r="B711" s="1279"/>
      <c r="C711" s="1279"/>
      <c r="D711" s="1279"/>
      <c r="E711" s="1279"/>
      <c r="F711" s="1279"/>
      <c r="G711" s="1279"/>
      <c r="H711" s="1279"/>
      <c r="I711" s="1279"/>
      <c r="J711" s="1279"/>
      <c r="K711" s="1279"/>
      <c r="L711" s="1279"/>
      <c r="M711" s="1279"/>
      <c r="N711" s="1279"/>
      <c r="O711" s="1279"/>
      <c r="P711" s="1279"/>
      <c r="Q711" s="1279"/>
      <c r="R711" s="1279"/>
      <c r="S711" s="1279"/>
      <c r="T711" s="1279"/>
      <c r="U711" s="1279"/>
      <c r="V711" s="1279"/>
      <c r="W711" s="1279"/>
      <c r="X711" s="1279"/>
      <c r="Y711" s="1279"/>
      <c r="Z711" s="1279"/>
      <c r="AA711" s="1279"/>
      <c r="AB711" s="1279"/>
      <c r="AC711" s="1279"/>
      <c r="AD711" s="1279"/>
      <c r="AE711" s="1279"/>
      <c r="AF711" s="1279"/>
      <c r="AG711" s="1279"/>
      <c r="AH711" s="1279"/>
      <c r="AI711" s="1279"/>
      <c r="AJ711" s="1279"/>
      <c r="AK711" s="1279"/>
      <c r="AL711" s="1279"/>
      <c r="AM711" s="1279"/>
      <c r="AN711" s="1279"/>
      <c r="AO711" s="1279"/>
      <c r="AP711" s="1279"/>
      <c r="AQ711" s="1279"/>
      <c r="AR711" s="1279"/>
      <c r="AS711" s="1279"/>
      <c r="AT711" s="127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0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0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B714" s="1602" t="s">
        <v>390</v>
      </c>
      <c r="C714" s="1423"/>
      <c r="D714" s="1423"/>
      <c r="E714" s="1423"/>
      <c r="F714" s="1424"/>
      <c r="G714" s="1602" t="s">
        <v>286</v>
      </c>
      <c r="H714" s="1423"/>
      <c r="I714" s="1423"/>
      <c r="J714" s="1424"/>
      <c r="K714" s="1387" t="s">
        <v>1868</v>
      </c>
      <c r="L714" s="1388"/>
      <c r="M714" s="1388"/>
      <c r="N714" s="1389"/>
      <c r="O714" s="1602" t="s">
        <v>455</v>
      </c>
      <c r="P714" s="1423"/>
      <c r="Q714" s="1423"/>
      <c r="R714" s="1423"/>
      <c r="S714" s="1424"/>
      <c r="T714" s="1422" t="s">
        <v>2248</v>
      </c>
      <c r="U714" s="1423"/>
      <c r="V714" s="1423"/>
      <c r="W714" s="1424"/>
      <c r="X714" s="1422" t="s">
        <v>2250</v>
      </c>
      <c r="Y714" s="1423"/>
      <c r="Z714" s="1423"/>
      <c r="AA714" s="1423"/>
      <c r="AB714" s="1424"/>
      <c r="AC714" s="1422" t="s">
        <v>2249</v>
      </c>
      <c r="AD714" s="1423"/>
      <c r="AE714" s="1423"/>
      <c r="AF714" s="1423"/>
      <c r="AG714" s="1424"/>
      <c r="AH714" s="1422" t="s">
        <v>2251</v>
      </c>
      <c r="AI714" s="1423"/>
      <c r="AJ714" s="1424"/>
      <c r="AK714" s="1422" t="s">
        <v>2285</v>
      </c>
      <c r="AL714" s="1423"/>
      <c r="AM714" s="1423"/>
      <c r="AN714" s="1423"/>
      <c r="AO714" s="142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B715" s="1425"/>
      <c r="C715" s="1426"/>
      <c r="D715" s="1426"/>
      <c r="E715" s="1426"/>
      <c r="F715" s="1427"/>
      <c r="G715" s="1425"/>
      <c r="H715" s="1426"/>
      <c r="I715" s="1426"/>
      <c r="J715" s="1427"/>
      <c r="K715" s="1390"/>
      <c r="L715" s="1391"/>
      <c r="M715" s="1391"/>
      <c r="N715" s="1392"/>
      <c r="O715" s="1425"/>
      <c r="P715" s="1426"/>
      <c r="Q715" s="1426"/>
      <c r="R715" s="1426"/>
      <c r="S715" s="1427"/>
      <c r="T715" s="1425"/>
      <c r="U715" s="1426"/>
      <c r="V715" s="1426"/>
      <c r="W715" s="1427"/>
      <c r="X715" s="1425"/>
      <c r="Y715" s="1426"/>
      <c r="Z715" s="1426"/>
      <c r="AA715" s="1426"/>
      <c r="AB715" s="1427"/>
      <c r="AC715" s="1425"/>
      <c r="AD715" s="1426"/>
      <c r="AE715" s="1426"/>
      <c r="AF715" s="1426"/>
      <c r="AG715" s="1427"/>
      <c r="AH715" s="1425"/>
      <c r="AI715" s="1426"/>
      <c r="AJ715" s="1427"/>
      <c r="AK715" s="1425"/>
      <c r="AL715" s="1426"/>
      <c r="AM715" s="1426"/>
      <c r="AN715" s="1426"/>
      <c r="AO715" s="142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716" s="4"/>
      <c r="B716" s="1425"/>
      <c r="C716" s="1426"/>
      <c r="D716" s="1426"/>
      <c r="E716" s="1426"/>
      <c r="F716" s="1427"/>
      <c r="G716" s="1425"/>
      <c r="H716" s="1426"/>
      <c r="I716" s="1426"/>
      <c r="J716" s="1427"/>
      <c r="K716" s="1390"/>
      <c r="L716" s="1391"/>
      <c r="M716" s="1391"/>
      <c r="N716" s="1392"/>
      <c r="O716" s="1425"/>
      <c r="P716" s="1426"/>
      <c r="Q716" s="1426"/>
      <c r="R716" s="1426"/>
      <c r="S716" s="1427"/>
      <c r="T716" s="1425"/>
      <c r="U716" s="1426"/>
      <c r="V716" s="1426"/>
      <c r="W716" s="1427"/>
      <c r="X716" s="1425"/>
      <c r="Y716" s="1426"/>
      <c r="Z716" s="1426"/>
      <c r="AA716" s="1426"/>
      <c r="AB716" s="1427"/>
      <c r="AC716" s="1425"/>
      <c r="AD716" s="1426"/>
      <c r="AE716" s="1426"/>
      <c r="AF716" s="1426"/>
      <c r="AG716" s="1427"/>
      <c r="AH716" s="1425"/>
      <c r="AI716" s="1426"/>
      <c r="AJ716" s="1427"/>
      <c r="AK716" s="1425"/>
      <c r="AL716" s="1426"/>
      <c r="AM716" s="1426"/>
      <c r="AN716" s="1426"/>
      <c r="AO716" s="142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A717" s="4"/>
      <c r="B717" s="1428"/>
      <c r="C717" s="1429"/>
      <c r="D717" s="1429"/>
      <c r="E717" s="1429"/>
      <c r="F717" s="1430"/>
      <c r="G717" s="1428"/>
      <c r="H717" s="1429"/>
      <c r="I717" s="1429"/>
      <c r="J717" s="1430"/>
      <c r="K717" s="1390"/>
      <c r="L717" s="1391"/>
      <c r="M717" s="1391"/>
      <c r="N717" s="1392"/>
      <c r="O717" s="1428"/>
      <c r="P717" s="1429"/>
      <c r="Q717" s="1429"/>
      <c r="R717" s="1429"/>
      <c r="S717" s="1430"/>
      <c r="T717" s="1428"/>
      <c r="U717" s="1429"/>
      <c r="V717" s="1429"/>
      <c r="W717" s="1430"/>
      <c r="X717" s="1428"/>
      <c r="Y717" s="1429"/>
      <c r="Z717" s="1429"/>
      <c r="AA717" s="1429"/>
      <c r="AB717" s="1430"/>
      <c r="AC717" s="1428"/>
      <c r="AD717" s="1429"/>
      <c r="AE717" s="1429"/>
      <c r="AF717" s="1429"/>
      <c r="AG717" s="1430"/>
      <c r="AH717" s="1428"/>
      <c r="AI717" s="1429"/>
      <c r="AJ717" s="1430"/>
      <c r="AK717" s="1428"/>
      <c r="AL717" s="1429"/>
      <c r="AM717" s="1429"/>
      <c r="AN717" s="1429"/>
      <c r="AO717" s="143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A718" s="4"/>
      <c r="B718" s="1877" t="s">
        <v>326</v>
      </c>
      <c r="C718" s="1878"/>
      <c r="D718" s="1878"/>
      <c r="E718" s="1878"/>
      <c r="F718" s="1879"/>
      <c r="G718" s="1880">
        <v>14</v>
      </c>
      <c r="H718" s="1881"/>
      <c r="I718" s="1881"/>
      <c r="J718" s="1882"/>
      <c r="K718" s="1431">
        <v>680</v>
      </c>
      <c r="L718" s="1432"/>
      <c r="M718" s="1432"/>
      <c r="N718" s="1433"/>
      <c r="O718" s="1884">
        <v>521</v>
      </c>
      <c r="P718" s="1885"/>
      <c r="Q718" s="1885"/>
      <c r="R718" s="1885"/>
      <c r="S718" s="1886"/>
      <c r="T718" s="1884">
        <v>82</v>
      </c>
      <c r="U718" s="1885"/>
      <c r="V718" s="1885"/>
      <c r="W718" s="1886"/>
      <c r="X718" s="1378">
        <f t="shared" ref="X718:X741" si="56">O718+T718</f>
        <v>603</v>
      </c>
      <c r="Y718" s="1379"/>
      <c r="Z718" s="1379"/>
      <c r="AA718" s="1379"/>
      <c r="AB718" s="1380"/>
      <c r="AC718" s="1887">
        <v>0.3</v>
      </c>
      <c r="AD718" s="1888"/>
      <c r="AE718" s="1888"/>
      <c r="AF718" s="1888"/>
      <c r="AG718" s="1889"/>
      <c r="AH718" s="1381">
        <f t="shared" ref="AH718:AH751" si="57">IF($AC718&gt;0,($X718/$BA667), "")</f>
        <v>0.3</v>
      </c>
      <c r="AI718" s="1382"/>
      <c r="AJ718" s="1383"/>
      <c r="AK718" s="1375" t="s">
        <v>599</v>
      </c>
      <c r="AL718" s="1376"/>
      <c r="AM718" s="1376"/>
      <c r="AN718" s="1376"/>
      <c r="AO718" s="137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A719" s="4"/>
      <c r="B719" s="1877" t="s">
        <v>326</v>
      </c>
      <c r="C719" s="1878"/>
      <c r="D719" s="1878"/>
      <c r="E719" s="1878"/>
      <c r="F719" s="1879"/>
      <c r="G719" s="1880">
        <v>8</v>
      </c>
      <c r="H719" s="1881"/>
      <c r="I719" s="1881"/>
      <c r="J719" s="1882"/>
      <c r="K719" s="1431">
        <v>680</v>
      </c>
      <c r="L719" s="1432"/>
      <c r="M719" s="1432"/>
      <c r="N719" s="1433"/>
      <c r="O719" s="1884">
        <v>1124</v>
      </c>
      <c r="P719" s="1885"/>
      <c r="Q719" s="1885"/>
      <c r="R719" s="1885"/>
      <c r="S719" s="1886"/>
      <c r="T719" s="1884">
        <v>82</v>
      </c>
      <c r="U719" s="1885"/>
      <c r="V719" s="1885"/>
      <c r="W719" s="1886"/>
      <c r="X719" s="1378">
        <f t="shared" si="56"/>
        <v>1206</v>
      </c>
      <c r="Y719" s="1379"/>
      <c r="Z719" s="1379"/>
      <c r="AA719" s="1379"/>
      <c r="AB719" s="1380"/>
      <c r="AC719" s="1887">
        <v>0.6</v>
      </c>
      <c r="AD719" s="1888"/>
      <c r="AE719" s="1888"/>
      <c r="AF719" s="1888"/>
      <c r="AG719" s="1889"/>
      <c r="AH719" s="1381">
        <f t="shared" si="57"/>
        <v>0.6</v>
      </c>
      <c r="AI719" s="1382"/>
      <c r="AJ719" s="1383"/>
      <c r="AK719" s="1375" t="s">
        <v>599</v>
      </c>
      <c r="AL719" s="1376"/>
      <c r="AM719" s="1376"/>
      <c r="AN719" s="1376"/>
      <c r="AO719" s="137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A720" s="4"/>
      <c r="B720" s="1877" t="s">
        <v>326</v>
      </c>
      <c r="C720" s="1878"/>
      <c r="D720" s="1878"/>
      <c r="E720" s="1878"/>
      <c r="F720" s="1879"/>
      <c r="G720" s="1880">
        <v>20</v>
      </c>
      <c r="H720" s="1881"/>
      <c r="I720" s="1881"/>
      <c r="J720" s="1882"/>
      <c r="K720" s="1431">
        <v>680</v>
      </c>
      <c r="L720" s="1432"/>
      <c r="M720" s="1432"/>
      <c r="N720" s="1433"/>
      <c r="O720" s="1884">
        <v>1325</v>
      </c>
      <c r="P720" s="1885"/>
      <c r="Q720" s="1885"/>
      <c r="R720" s="1885"/>
      <c r="S720" s="1886"/>
      <c r="T720" s="1884">
        <v>82</v>
      </c>
      <c r="U720" s="1885"/>
      <c r="V720" s="1885"/>
      <c r="W720" s="1886"/>
      <c r="X720" s="1378">
        <f t="shared" si="56"/>
        <v>1407</v>
      </c>
      <c r="Y720" s="1379"/>
      <c r="Z720" s="1379"/>
      <c r="AA720" s="1379"/>
      <c r="AB720" s="1380"/>
      <c r="AC720" s="1887">
        <v>0.7</v>
      </c>
      <c r="AD720" s="1888"/>
      <c r="AE720" s="1888"/>
      <c r="AF720" s="1888"/>
      <c r="AG720" s="1889"/>
      <c r="AH720" s="1381">
        <f t="shared" si="57"/>
        <v>0.7</v>
      </c>
      <c r="AI720" s="1382"/>
      <c r="AJ720" s="1383"/>
      <c r="AK720" s="1375" t="s">
        <v>599</v>
      </c>
      <c r="AL720" s="1376"/>
      <c r="AM720" s="1376"/>
      <c r="AN720" s="1376"/>
      <c r="AO720" s="137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05" customHeight="1">
      <c r="B721" s="1877" t="s">
        <v>163</v>
      </c>
      <c r="C721" s="1878"/>
      <c r="D721" s="1878"/>
      <c r="E721" s="1878"/>
      <c r="F721" s="1879"/>
      <c r="G721" s="1880">
        <v>10</v>
      </c>
      <c r="H721" s="1881"/>
      <c r="I721" s="1881"/>
      <c r="J721" s="1882"/>
      <c r="K721" s="1431">
        <v>980</v>
      </c>
      <c r="L721" s="1432"/>
      <c r="M721" s="1432"/>
      <c r="N721" s="1433"/>
      <c r="O721" s="1884">
        <v>621</v>
      </c>
      <c r="P721" s="1885"/>
      <c r="Q721" s="1885"/>
      <c r="R721" s="1885"/>
      <c r="S721" s="1886"/>
      <c r="T721" s="1884">
        <v>103</v>
      </c>
      <c r="U721" s="1885"/>
      <c r="V721" s="1885"/>
      <c r="W721" s="1886"/>
      <c r="X721" s="1378">
        <f t="shared" si="56"/>
        <v>724</v>
      </c>
      <c r="Y721" s="1379"/>
      <c r="Z721" s="1379"/>
      <c r="AA721" s="1379"/>
      <c r="AB721" s="1380"/>
      <c r="AC721" s="1887">
        <v>0.3</v>
      </c>
      <c r="AD721" s="1888"/>
      <c r="AE721" s="1888"/>
      <c r="AF721" s="1888"/>
      <c r="AG721" s="1889"/>
      <c r="AH721" s="1381">
        <f t="shared" si="57"/>
        <v>0.30016583747927034</v>
      </c>
      <c r="AI721" s="1382"/>
      <c r="AJ721" s="1383"/>
      <c r="AK721" s="1375" t="s">
        <v>599</v>
      </c>
      <c r="AL721" s="1376"/>
      <c r="AM721" s="1376"/>
      <c r="AN721" s="1376"/>
      <c r="AO721" s="137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05" customHeight="1">
      <c r="B722" s="1877" t="s">
        <v>163</v>
      </c>
      <c r="C722" s="1878"/>
      <c r="D722" s="1878"/>
      <c r="E722" s="1878"/>
      <c r="F722" s="1879"/>
      <c r="G722" s="1880">
        <v>4</v>
      </c>
      <c r="H722" s="1881"/>
      <c r="I722" s="1881"/>
      <c r="J722" s="1882"/>
      <c r="K722" s="1431">
        <v>980</v>
      </c>
      <c r="L722" s="1432"/>
      <c r="M722" s="1432"/>
      <c r="N722" s="1433"/>
      <c r="O722" s="1884">
        <v>619</v>
      </c>
      <c r="P722" s="1885"/>
      <c r="Q722" s="1885"/>
      <c r="R722" s="1885"/>
      <c r="S722" s="1886"/>
      <c r="T722" s="1884">
        <v>105</v>
      </c>
      <c r="U722" s="1885"/>
      <c r="V722" s="1885"/>
      <c r="W722" s="1886"/>
      <c r="X722" s="1378">
        <f t="shared" si="56"/>
        <v>724</v>
      </c>
      <c r="Y722" s="1379"/>
      <c r="Z722" s="1379"/>
      <c r="AA722" s="1379"/>
      <c r="AB722" s="1380"/>
      <c r="AC722" s="1887">
        <v>0.3</v>
      </c>
      <c r="AD722" s="1888"/>
      <c r="AE722" s="1888"/>
      <c r="AF722" s="1888"/>
      <c r="AG722" s="1889"/>
      <c r="AH722" s="1381">
        <f t="shared" si="57"/>
        <v>0.30016583747927034</v>
      </c>
      <c r="AI722" s="1382"/>
      <c r="AJ722" s="1383"/>
      <c r="AK722" s="1375" t="s">
        <v>599</v>
      </c>
      <c r="AL722" s="1376"/>
      <c r="AM722" s="1376"/>
      <c r="AN722" s="1376"/>
      <c r="AO722" s="137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05" customHeight="1">
      <c r="B723" s="1877" t="s">
        <v>163</v>
      </c>
      <c r="C723" s="1878"/>
      <c r="D723" s="1878"/>
      <c r="E723" s="1878"/>
      <c r="F723" s="1879"/>
      <c r="G723" s="1880">
        <v>8</v>
      </c>
      <c r="H723" s="1881"/>
      <c r="I723" s="1881"/>
      <c r="J723" s="1882"/>
      <c r="K723" s="1431">
        <v>980</v>
      </c>
      <c r="L723" s="1432"/>
      <c r="M723" s="1432"/>
      <c r="N723" s="1433"/>
      <c r="O723" s="1884">
        <v>1344</v>
      </c>
      <c r="P723" s="1885"/>
      <c r="Q723" s="1885"/>
      <c r="R723" s="1885"/>
      <c r="S723" s="1886"/>
      <c r="T723" s="1884">
        <v>103</v>
      </c>
      <c r="U723" s="1885"/>
      <c r="V723" s="1885"/>
      <c r="W723" s="1886"/>
      <c r="X723" s="1378">
        <f t="shared" si="56"/>
        <v>1447</v>
      </c>
      <c r="Y723" s="1379"/>
      <c r="Z723" s="1379"/>
      <c r="AA723" s="1379"/>
      <c r="AB723" s="1380"/>
      <c r="AC723" s="1887">
        <v>0.6</v>
      </c>
      <c r="AD723" s="1888"/>
      <c r="AE723" s="1888"/>
      <c r="AF723" s="1888"/>
      <c r="AG723" s="1889"/>
      <c r="AH723" s="1381">
        <f t="shared" si="57"/>
        <v>0.5999170812603648</v>
      </c>
      <c r="AI723" s="1382"/>
      <c r="AJ723" s="1383"/>
      <c r="AK723" s="1375" t="s">
        <v>599</v>
      </c>
      <c r="AL723" s="1376"/>
      <c r="AM723" s="1376"/>
      <c r="AN723" s="1376"/>
      <c r="AO723" s="137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05" customHeight="1">
      <c r="B724" s="1877" t="s">
        <v>163</v>
      </c>
      <c r="C724" s="1878"/>
      <c r="D724" s="1878"/>
      <c r="E724" s="1878"/>
      <c r="F724" s="1879"/>
      <c r="G724" s="1880">
        <v>26</v>
      </c>
      <c r="H724" s="1881"/>
      <c r="I724" s="1881"/>
      <c r="J724" s="1882"/>
      <c r="K724" s="1431">
        <v>980</v>
      </c>
      <c r="L724" s="1432"/>
      <c r="M724" s="1432"/>
      <c r="N724" s="1433"/>
      <c r="O724" s="1884">
        <v>1585</v>
      </c>
      <c r="P724" s="1885"/>
      <c r="Q724" s="1885"/>
      <c r="R724" s="1885"/>
      <c r="S724" s="1886"/>
      <c r="T724" s="1884">
        <v>103</v>
      </c>
      <c r="U724" s="1885"/>
      <c r="V724" s="1885"/>
      <c r="W724" s="1886"/>
      <c r="X724" s="1378">
        <f t="shared" si="56"/>
        <v>1688</v>
      </c>
      <c r="Y724" s="1379"/>
      <c r="Z724" s="1379"/>
      <c r="AA724" s="1379"/>
      <c r="AB724" s="1380"/>
      <c r="AC724" s="1887">
        <v>0.7</v>
      </c>
      <c r="AD724" s="1888"/>
      <c r="AE724" s="1888"/>
      <c r="AF724" s="1888"/>
      <c r="AG724" s="1889"/>
      <c r="AH724" s="1381">
        <f t="shared" si="57"/>
        <v>0.69983416252072972</v>
      </c>
      <c r="AI724" s="1382"/>
      <c r="AJ724" s="1383"/>
      <c r="AK724" s="1375" t="s">
        <v>599</v>
      </c>
      <c r="AL724" s="1376"/>
      <c r="AM724" s="1376"/>
      <c r="AN724" s="1376"/>
      <c r="AO724" s="137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05" customHeight="1">
      <c r="B725" s="1877" t="s">
        <v>164</v>
      </c>
      <c r="C725" s="1878"/>
      <c r="D725" s="1878"/>
      <c r="E725" s="1878"/>
      <c r="F725" s="1879"/>
      <c r="G725" s="1880">
        <v>10</v>
      </c>
      <c r="H725" s="1881"/>
      <c r="I725" s="1881"/>
      <c r="J725" s="1882"/>
      <c r="K725" s="1883" t="s">
        <v>2791</v>
      </c>
      <c r="L725" s="1432"/>
      <c r="M725" s="1432"/>
      <c r="N725" s="1433"/>
      <c r="O725" s="1884">
        <v>711</v>
      </c>
      <c r="P725" s="1885"/>
      <c r="Q725" s="1885"/>
      <c r="R725" s="1885"/>
      <c r="S725" s="1886"/>
      <c r="T725" s="1884">
        <v>125</v>
      </c>
      <c r="U725" s="1885"/>
      <c r="V725" s="1885"/>
      <c r="W725" s="1886"/>
      <c r="X725" s="1378">
        <f t="shared" si="56"/>
        <v>836</v>
      </c>
      <c r="Y725" s="1379"/>
      <c r="Z725" s="1379"/>
      <c r="AA725" s="1379"/>
      <c r="AB725" s="1380"/>
      <c r="AC725" s="1887">
        <v>0.3</v>
      </c>
      <c r="AD725" s="1888"/>
      <c r="AE725" s="1888"/>
      <c r="AF725" s="1888"/>
      <c r="AG725" s="1889"/>
      <c r="AH725" s="1381">
        <f t="shared" si="57"/>
        <v>0.30007178750897345</v>
      </c>
      <c r="AI725" s="1382"/>
      <c r="AJ725" s="1383"/>
      <c r="AK725" s="1375" t="s">
        <v>599</v>
      </c>
      <c r="AL725" s="1376"/>
      <c r="AM725" s="1376"/>
      <c r="AN725" s="1376"/>
      <c r="AO725" s="137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05" customHeight="1">
      <c r="B726" s="1877" t="s">
        <v>164</v>
      </c>
      <c r="C726" s="1878"/>
      <c r="D726" s="1878"/>
      <c r="E726" s="1878"/>
      <c r="F726" s="1879"/>
      <c r="G726" s="1880">
        <v>4</v>
      </c>
      <c r="H726" s="1881"/>
      <c r="I726" s="1881"/>
      <c r="J726" s="1882"/>
      <c r="K726" s="1883" t="s">
        <v>2791</v>
      </c>
      <c r="L726" s="1432"/>
      <c r="M726" s="1432"/>
      <c r="N726" s="1433"/>
      <c r="O726" s="1884">
        <v>708</v>
      </c>
      <c r="P726" s="1885"/>
      <c r="Q726" s="1885"/>
      <c r="R726" s="1885"/>
      <c r="S726" s="1886"/>
      <c r="T726" s="1884">
        <v>128</v>
      </c>
      <c r="U726" s="1885"/>
      <c r="V726" s="1885"/>
      <c r="W726" s="1886"/>
      <c r="X726" s="1378">
        <f t="shared" si="56"/>
        <v>836</v>
      </c>
      <c r="Y726" s="1379"/>
      <c r="Z726" s="1379"/>
      <c r="AA726" s="1379"/>
      <c r="AB726" s="1380"/>
      <c r="AC726" s="1887">
        <v>0.3</v>
      </c>
      <c r="AD726" s="1888"/>
      <c r="AE726" s="1888"/>
      <c r="AF726" s="1888"/>
      <c r="AG726" s="1889"/>
      <c r="AH726" s="1381">
        <f t="shared" si="57"/>
        <v>0.30007178750897345</v>
      </c>
      <c r="AI726" s="1382"/>
      <c r="AJ726" s="1383"/>
      <c r="AK726" s="1375" t="s">
        <v>599</v>
      </c>
      <c r="AL726" s="1376"/>
      <c r="AM726" s="1376"/>
      <c r="AN726" s="1376"/>
      <c r="AO726" s="137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05" customHeight="1">
      <c r="A727" s="4"/>
      <c r="B727" s="1877" t="s">
        <v>164</v>
      </c>
      <c r="C727" s="1878"/>
      <c r="D727" s="1878"/>
      <c r="E727" s="1878"/>
      <c r="F727" s="1879"/>
      <c r="G727" s="1880">
        <v>8</v>
      </c>
      <c r="H727" s="1881"/>
      <c r="I727" s="1881"/>
      <c r="J727" s="1882"/>
      <c r="K727" s="1883" t="s">
        <v>2791</v>
      </c>
      <c r="L727" s="1432"/>
      <c r="M727" s="1432"/>
      <c r="N727" s="1433"/>
      <c r="O727" s="1884">
        <v>1547</v>
      </c>
      <c r="P727" s="1885"/>
      <c r="Q727" s="1885"/>
      <c r="R727" s="1885"/>
      <c r="S727" s="1886"/>
      <c r="T727" s="1884">
        <v>125</v>
      </c>
      <c r="U727" s="1885"/>
      <c r="V727" s="1885"/>
      <c r="W727" s="1886"/>
      <c r="X727" s="1378">
        <f t="shared" si="56"/>
        <v>1672</v>
      </c>
      <c r="Y727" s="1379"/>
      <c r="Z727" s="1379"/>
      <c r="AA727" s="1379"/>
      <c r="AB727" s="1380"/>
      <c r="AC727" s="1887">
        <v>0.6</v>
      </c>
      <c r="AD727" s="1888"/>
      <c r="AE727" s="1888"/>
      <c r="AF727" s="1888"/>
      <c r="AG727" s="1889"/>
      <c r="AH727" s="1381">
        <f t="shared" si="57"/>
        <v>0.60014357501794691</v>
      </c>
      <c r="AI727" s="1382"/>
      <c r="AJ727" s="1383"/>
      <c r="AK727" s="1375" t="s">
        <v>599</v>
      </c>
      <c r="AL727" s="1376"/>
      <c r="AM727" s="1376"/>
      <c r="AN727" s="1376"/>
      <c r="AO727" s="137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05" customHeight="1">
      <c r="A728" s="4"/>
      <c r="B728" s="1877" t="s">
        <v>164</v>
      </c>
      <c r="C728" s="1878"/>
      <c r="D728" s="1878"/>
      <c r="E728" s="1878"/>
      <c r="F728" s="1879"/>
      <c r="G728" s="1880">
        <v>27</v>
      </c>
      <c r="H728" s="1881"/>
      <c r="I728" s="1881"/>
      <c r="J728" s="1882"/>
      <c r="K728" s="1883" t="s">
        <v>2791</v>
      </c>
      <c r="L728" s="1432"/>
      <c r="M728" s="1432"/>
      <c r="N728" s="1433"/>
      <c r="O728" s="1884">
        <v>1825</v>
      </c>
      <c r="P728" s="1885"/>
      <c r="Q728" s="1885"/>
      <c r="R728" s="1885"/>
      <c r="S728" s="1886"/>
      <c r="T728" s="1884">
        <v>125</v>
      </c>
      <c r="U728" s="1885"/>
      <c r="V728" s="1885"/>
      <c r="W728" s="1886"/>
      <c r="X728" s="1378">
        <f t="shared" si="56"/>
        <v>1950</v>
      </c>
      <c r="Y728" s="1379"/>
      <c r="Z728" s="1379"/>
      <c r="AA728" s="1379"/>
      <c r="AB728" s="1380"/>
      <c r="AC728" s="1887">
        <v>0.7</v>
      </c>
      <c r="AD728" s="1888"/>
      <c r="AE728" s="1888"/>
      <c r="AF728" s="1888"/>
      <c r="AG728" s="1889"/>
      <c r="AH728" s="1381">
        <f t="shared" si="57"/>
        <v>0.69992821249102655</v>
      </c>
      <c r="AI728" s="1382"/>
      <c r="AJ728" s="1383"/>
      <c r="AK728" s="1375" t="s">
        <v>599</v>
      </c>
      <c r="AL728" s="1376"/>
      <c r="AM728" s="1376"/>
      <c r="AN728" s="1376"/>
      <c r="AO728" s="137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05" customHeight="1">
      <c r="A729" s="4"/>
      <c r="B729" s="1375"/>
      <c r="C729" s="1376"/>
      <c r="D729" s="1376"/>
      <c r="E729" s="1376"/>
      <c r="F729" s="1377"/>
      <c r="G729" s="1394"/>
      <c r="H729" s="1395"/>
      <c r="I729" s="1395"/>
      <c r="J729" s="1396"/>
      <c r="K729" s="1431"/>
      <c r="L729" s="1432"/>
      <c r="M729" s="1432"/>
      <c r="N729" s="1433"/>
      <c r="O729" s="1397"/>
      <c r="P729" s="1398"/>
      <c r="Q729" s="1398"/>
      <c r="R729" s="1398"/>
      <c r="S729" s="1399"/>
      <c r="T729" s="1397"/>
      <c r="U729" s="1398"/>
      <c r="V729" s="1398"/>
      <c r="W729" s="1399"/>
      <c r="X729" s="1378">
        <f t="shared" si="56"/>
        <v>0</v>
      </c>
      <c r="Y729" s="1379"/>
      <c r="Z729" s="1379"/>
      <c r="AA729" s="1379"/>
      <c r="AB729" s="1380"/>
      <c r="AC729" s="1384"/>
      <c r="AD729" s="1385"/>
      <c r="AE729" s="1385"/>
      <c r="AF729" s="1385"/>
      <c r="AG729" s="1386"/>
      <c r="AH729" s="1381" t="str">
        <f>IF($AC729&gt;0,($X729/$BA678), "")</f>
        <v/>
      </c>
      <c r="AI729" s="1382"/>
      <c r="AJ729" s="1383"/>
      <c r="AK729" s="1375" t="s">
        <v>599</v>
      </c>
      <c r="AL729" s="1376"/>
      <c r="AM729" s="1376"/>
      <c r="AN729" s="1376"/>
      <c r="AO729" s="137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05" customHeight="1">
      <c r="B730" s="1375"/>
      <c r="C730" s="1376"/>
      <c r="D730" s="1376"/>
      <c r="E730" s="1376"/>
      <c r="F730" s="1377"/>
      <c r="G730" s="1394"/>
      <c r="H730" s="1395"/>
      <c r="I730" s="1395"/>
      <c r="J730" s="1396"/>
      <c r="K730" s="1431"/>
      <c r="L730" s="1432"/>
      <c r="M730" s="1432"/>
      <c r="N730" s="1433"/>
      <c r="O730" s="1397"/>
      <c r="P730" s="1398"/>
      <c r="Q730" s="1398"/>
      <c r="R730" s="1398"/>
      <c r="S730" s="1399"/>
      <c r="T730" s="1397"/>
      <c r="U730" s="1398"/>
      <c r="V730" s="1398"/>
      <c r="W730" s="1399"/>
      <c r="X730" s="1378">
        <f t="shared" si="56"/>
        <v>0</v>
      </c>
      <c r="Y730" s="1379"/>
      <c r="Z730" s="1379"/>
      <c r="AA730" s="1379"/>
      <c r="AB730" s="1380"/>
      <c r="AC730" s="1384"/>
      <c r="AD730" s="1385"/>
      <c r="AE730" s="1385"/>
      <c r="AF730" s="1385"/>
      <c r="AG730" s="1386"/>
      <c r="AH730" s="1381" t="str">
        <f>IF($AC730&gt;0,($X730/$BA679), "")</f>
        <v/>
      </c>
      <c r="AI730" s="1382"/>
      <c r="AJ730" s="1383"/>
      <c r="AK730" s="1375" t="s">
        <v>599</v>
      </c>
      <c r="AL730" s="1376"/>
      <c r="AM730" s="1376"/>
      <c r="AN730" s="1376"/>
      <c r="AO730" s="137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05" customHeight="1">
      <c r="B731" s="1375"/>
      <c r="C731" s="1376"/>
      <c r="D731" s="1376"/>
      <c r="E731" s="1376"/>
      <c r="F731" s="1377"/>
      <c r="G731" s="1394"/>
      <c r="H731" s="1395"/>
      <c r="I731" s="1395"/>
      <c r="J731" s="1396"/>
      <c r="K731" s="1431"/>
      <c r="L731" s="1432"/>
      <c r="M731" s="1432"/>
      <c r="N731" s="1433"/>
      <c r="O731" s="1397"/>
      <c r="P731" s="1398"/>
      <c r="Q731" s="1398"/>
      <c r="R731" s="1398"/>
      <c r="S731" s="1399"/>
      <c r="T731" s="1397"/>
      <c r="U731" s="1398"/>
      <c r="V731" s="1398"/>
      <c r="W731" s="1399"/>
      <c r="X731" s="1378">
        <f t="shared" si="56"/>
        <v>0</v>
      </c>
      <c r="Y731" s="1379"/>
      <c r="Z731" s="1379"/>
      <c r="AA731" s="1379"/>
      <c r="AB731" s="1380"/>
      <c r="AC731" s="1384"/>
      <c r="AD731" s="1385"/>
      <c r="AE731" s="1385"/>
      <c r="AF731" s="1385"/>
      <c r="AG731" s="1386"/>
      <c r="AH731" s="1381" t="str">
        <f t="shared" si="57"/>
        <v/>
      </c>
      <c r="AI731" s="1382"/>
      <c r="AJ731" s="1383"/>
      <c r="AK731" s="1375" t="s">
        <v>599</v>
      </c>
      <c r="AL731" s="1376"/>
      <c r="AM731" s="1376"/>
      <c r="AN731" s="1376"/>
      <c r="AO731" s="137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05" customHeight="1">
      <c r="B732" s="1375"/>
      <c r="C732" s="1376"/>
      <c r="D732" s="1376"/>
      <c r="E732" s="1376"/>
      <c r="F732" s="1377"/>
      <c r="G732" s="1394"/>
      <c r="H732" s="1395"/>
      <c r="I732" s="1395"/>
      <c r="J732" s="1396"/>
      <c r="K732" s="1431"/>
      <c r="L732" s="1432"/>
      <c r="M732" s="1432"/>
      <c r="N732" s="1433"/>
      <c r="O732" s="1397"/>
      <c r="P732" s="1398"/>
      <c r="Q732" s="1398"/>
      <c r="R732" s="1398"/>
      <c r="S732" s="1399"/>
      <c r="T732" s="1397"/>
      <c r="U732" s="1398"/>
      <c r="V732" s="1398"/>
      <c r="W732" s="1399"/>
      <c r="X732" s="1378">
        <f t="shared" si="56"/>
        <v>0</v>
      </c>
      <c r="Y732" s="1379"/>
      <c r="Z732" s="1379"/>
      <c r="AA732" s="1379"/>
      <c r="AB732" s="1380"/>
      <c r="AC732" s="1384"/>
      <c r="AD732" s="1385"/>
      <c r="AE732" s="1385"/>
      <c r="AF732" s="1385"/>
      <c r="AG732" s="1386"/>
      <c r="AH732" s="1381" t="str">
        <f t="shared" si="57"/>
        <v/>
      </c>
      <c r="AI732" s="1382"/>
      <c r="AJ732" s="1383"/>
      <c r="AK732" s="1375" t="s">
        <v>599</v>
      </c>
      <c r="AL732" s="1376"/>
      <c r="AM732" s="1376"/>
      <c r="AN732" s="1376"/>
      <c r="AO732" s="137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05" customHeight="1">
      <c r="B733" s="1375"/>
      <c r="C733" s="1376"/>
      <c r="D733" s="1376"/>
      <c r="E733" s="1376"/>
      <c r="F733" s="1377"/>
      <c r="G733" s="1394"/>
      <c r="H733" s="1395"/>
      <c r="I733" s="1395"/>
      <c r="J733" s="1396"/>
      <c r="K733" s="1431"/>
      <c r="L733" s="1432"/>
      <c r="M733" s="1432"/>
      <c r="N733" s="1433"/>
      <c r="O733" s="1397"/>
      <c r="P733" s="1398"/>
      <c r="Q733" s="1398"/>
      <c r="R733" s="1398"/>
      <c r="S733" s="1399"/>
      <c r="T733" s="1397"/>
      <c r="U733" s="1398"/>
      <c r="V733" s="1398"/>
      <c r="W733" s="1399"/>
      <c r="X733" s="1378">
        <f t="shared" si="56"/>
        <v>0</v>
      </c>
      <c r="Y733" s="1379"/>
      <c r="Z733" s="1379"/>
      <c r="AA733" s="1379"/>
      <c r="AB733" s="1380"/>
      <c r="AC733" s="1384"/>
      <c r="AD733" s="1385"/>
      <c r="AE733" s="1385"/>
      <c r="AF733" s="1385"/>
      <c r="AG733" s="1386"/>
      <c r="AH733" s="1381" t="str">
        <f t="shared" si="57"/>
        <v/>
      </c>
      <c r="AI733" s="1382"/>
      <c r="AJ733" s="1383"/>
      <c r="AK733" s="1375" t="s">
        <v>599</v>
      </c>
      <c r="AL733" s="1376"/>
      <c r="AM733" s="1376"/>
      <c r="AN733" s="1376"/>
      <c r="AO733" s="137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05" customHeight="1">
      <c r="B734" s="1375"/>
      <c r="C734" s="1376"/>
      <c r="D734" s="1376"/>
      <c r="E734" s="1376"/>
      <c r="F734" s="1377"/>
      <c r="G734" s="1394"/>
      <c r="H734" s="1395"/>
      <c r="I734" s="1395"/>
      <c r="J734" s="1396"/>
      <c r="K734" s="1431"/>
      <c r="L734" s="1432"/>
      <c r="M734" s="1432"/>
      <c r="N734" s="1433"/>
      <c r="O734" s="1397"/>
      <c r="P734" s="1398"/>
      <c r="Q734" s="1398"/>
      <c r="R734" s="1398"/>
      <c r="S734" s="1399"/>
      <c r="T734" s="1397"/>
      <c r="U734" s="1398"/>
      <c r="V734" s="1398"/>
      <c r="W734" s="1399"/>
      <c r="X734" s="1378">
        <f t="shared" si="56"/>
        <v>0</v>
      </c>
      <c r="Y734" s="1379"/>
      <c r="Z734" s="1379"/>
      <c r="AA734" s="1379"/>
      <c r="AB734" s="1380"/>
      <c r="AC734" s="1384"/>
      <c r="AD734" s="1385"/>
      <c r="AE734" s="1385"/>
      <c r="AF734" s="1385"/>
      <c r="AG734" s="1386"/>
      <c r="AH734" s="1381" t="str">
        <f t="shared" si="57"/>
        <v/>
      </c>
      <c r="AI734" s="1382"/>
      <c r="AJ734" s="1383"/>
      <c r="AK734" s="1375" t="s">
        <v>599</v>
      </c>
      <c r="AL734" s="1376"/>
      <c r="AM734" s="1376"/>
      <c r="AN734" s="1376"/>
      <c r="AO734" s="137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05" customHeight="1">
      <c r="B735" s="1375"/>
      <c r="C735" s="1376"/>
      <c r="D735" s="1376"/>
      <c r="E735" s="1376"/>
      <c r="F735" s="1377"/>
      <c r="G735" s="1394"/>
      <c r="H735" s="1395"/>
      <c r="I735" s="1395"/>
      <c r="J735" s="1396"/>
      <c r="K735" s="1431"/>
      <c r="L735" s="1432"/>
      <c r="M735" s="1432"/>
      <c r="N735" s="1433"/>
      <c r="O735" s="1397"/>
      <c r="P735" s="1398"/>
      <c r="Q735" s="1398"/>
      <c r="R735" s="1398"/>
      <c r="S735" s="1399"/>
      <c r="T735" s="1397"/>
      <c r="U735" s="1398"/>
      <c r="V735" s="1398"/>
      <c r="W735" s="1399"/>
      <c r="X735" s="1378">
        <f t="shared" si="56"/>
        <v>0</v>
      </c>
      <c r="Y735" s="1379"/>
      <c r="Z735" s="1379"/>
      <c r="AA735" s="1379"/>
      <c r="AB735" s="1380"/>
      <c r="AC735" s="1384"/>
      <c r="AD735" s="1385"/>
      <c r="AE735" s="1385"/>
      <c r="AF735" s="1385"/>
      <c r="AG735" s="1386"/>
      <c r="AH735" s="1381" t="str">
        <f t="shared" si="57"/>
        <v/>
      </c>
      <c r="AI735" s="1382"/>
      <c r="AJ735" s="1383"/>
      <c r="AK735" s="1375" t="s">
        <v>599</v>
      </c>
      <c r="AL735" s="1376"/>
      <c r="AM735" s="1376"/>
      <c r="AN735" s="1376"/>
      <c r="AO735" s="137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05" customHeight="1">
      <c r="B736" s="1375"/>
      <c r="C736" s="1376"/>
      <c r="D736" s="1376"/>
      <c r="E736" s="1376"/>
      <c r="F736" s="1377"/>
      <c r="G736" s="1394"/>
      <c r="H736" s="1395"/>
      <c r="I736" s="1395"/>
      <c r="J736" s="1396"/>
      <c r="K736" s="1431"/>
      <c r="L736" s="1432"/>
      <c r="M736" s="1432"/>
      <c r="N736" s="1433"/>
      <c r="O736" s="1397"/>
      <c r="P736" s="1398"/>
      <c r="Q736" s="1398"/>
      <c r="R736" s="1398"/>
      <c r="S736" s="1399"/>
      <c r="T736" s="1397"/>
      <c r="U736" s="1398"/>
      <c r="V736" s="1398"/>
      <c r="W736" s="1399"/>
      <c r="X736" s="1378">
        <f t="shared" si="56"/>
        <v>0</v>
      </c>
      <c r="Y736" s="1379"/>
      <c r="Z736" s="1379"/>
      <c r="AA736" s="1379"/>
      <c r="AB736" s="1380"/>
      <c r="AC736" s="1384"/>
      <c r="AD736" s="1385"/>
      <c r="AE736" s="1385"/>
      <c r="AF736" s="1385"/>
      <c r="AG736" s="1386"/>
      <c r="AH736" s="1381" t="str">
        <f t="shared" si="57"/>
        <v/>
      </c>
      <c r="AI736" s="1382"/>
      <c r="AJ736" s="1383"/>
      <c r="AK736" s="1375" t="s">
        <v>599</v>
      </c>
      <c r="AL736" s="1376"/>
      <c r="AM736" s="1376"/>
      <c r="AN736" s="1376"/>
      <c r="AO736" s="137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05" customHeight="1">
      <c r="B737" s="1375"/>
      <c r="C737" s="1376"/>
      <c r="D737" s="1376"/>
      <c r="E737" s="1376"/>
      <c r="F737" s="1377"/>
      <c r="G737" s="1394"/>
      <c r="H737" s="1395"/>
      <c r="I737" s="1395"/>
      <c r="J737" s="1396"/>
      <c r="K737" s="1431"/>
      <c r="L737" s="1432"/>
      <c r="M737" s="1432"/>
      <c r="N737" s="1433"/>
      <c r="O737" s="1397"/>
      <c r="P737" s="1398"/>
      <c r="Q737" s="1398"/>
      <c r="R737" s="1398"/>
      <c r="S737" s="1399"/>
      <c r="T737" s="1397"/>
      <c r="U737" s="1398"/>
      <c r="V737" s="1398"/>
      <c r="W737" s="1399"/>
      <c r="X737" s="1378">
        <f t="shared" si="56"/>
        <v>0</v>
      </c>
      <c r="Y737" s="1379"/>
      <c r="Z737" s="1379"/>
      <c r="AA737" s="1379"/>
      <c r="AB737" s="1380"/>
      <c r="AC737" s="1384"/>
      <c r="AD737" s="1385"/>
      <c r="AE737" s="1385"/>
      <c r="AF737" s="1385"/>
      <c r="AG737" s="1386"/>
      <c r="AH737" s="1381" t="str">
        <f t="shared" si="57"/>
        <v/>
      </c>
      <c r="AI737" s="1382"/>
      <c r="AJ737" s="1383"/>
      <c r="AK737" s="1375" t="s">
        <v>599</v>
      </c>
      <c r="AL737" s="1376"/>
      <c r="AM737" s="1376"/>
      <c r="AN737" s="1376"/>
      <c r="AO737" s="137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05" customHeight="1">
      <c r="B738" s="1375"/>
      <c r="C738" s="1376"/>
      <c r="D738" s="1376"/>
      <c r="E738" s="1376"/>
      <c r="F738" s="1377"/>
      <c r="G738" s="1394"/>
      <c r="H738" s="1395"/>
      <c r="I738" s="1395"/>
      <c r="J738" s="1396"/>
      <c r="K738" s="1431"/>
      <c r="L738" s="1432"/>
      <c r="M738" s="1432"/>
      <c r="N738" s="1433"/>
      <c r="O738" s="1397"/>
      <c r="P738" s="1398"/>
      <c r="Q738" s="1398"/>
      <c r="R738" s="1398"/>
      <c r="S738" s="1399"/>
      <c r="T738" s="1397"/>
      <c r="U738" s="1398"/>
      <c r="V738" s="1398"/>
      <c r="W738" s="1399"/>
      <c r="X738" s="1378">
        <f t="shared" si="56"/>
        <v>0</v>
      </c>
      <c r="Y738" s="1379"/>
      <c r="Z738" s="1379"/>
      <c r="AA738" s="1379"/>
      <c r="AB738" s="1380"/>
      <c r="AC738" s="1384"/>
      <c r="AD738" s="1385"/>
      <c r="AE738" s="1385"/>
      <c r="AF738" s="1385"/>
      <c r="AG738" s="1386"/>
      <c r="AH738" s="1381" t="str">
        <f t="shared" si="57"/>
        <v/>
      </c>
      <c r="AI738" s="1382"/>
      <c r="AJ738" s="1383"/>
      <c r="AK738" s="1375" t="s">
        <v>599</v>
      </c>
      <c r="AL738" s="1376"/>
      <c r="AM738" s="1376"/>
      <c r="AN738" s="1376"/>
      <c r="AO738" s="137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05" customHeight="1">
      <c r="B739" s="1375"/>
      <c r="C739" s="1376"/>
      <c r="D739" s="1376"/>
      <c r="E739" s="1376"/>
      <c r="F739" s="1377"/>
      <c r="G739" s="1394"/>
      <c r="H739" s="1395"/>
      <c r="I739" s="1395"/>
      <c r="J739" s="1396"/>
      <c r="K739" s="1431"/>
      <c r="L739" s="1432"/>
      <c r="M739" s="1432"/>
      <c r="N739" s="1433"/>
      <c r="O739" s="1397"/>
      <c r="P739" s="1398"/>
      <c r="Q739" s="1398"/>
      <c r="R739" s="1398"/>
      <c r="S739" s="1399"/>
      <c r="T739" s="1397"/>
      <c r="U739" s="1398"/>
      <c r="V739" s="1398"/>
      <c r="W739" s="1399"/>
      <c r="X739" s="1378">
        <f t="shared" si="56"/>
        <v>0</v>
      </c>
      <c r="Y739" s="1379"/>
      <c r="Z739" s="1379"/>
      <c r="AA739" s="1379"/>
      <c r="AB739" s="1380"/>
      <c r="AC739" s="1384"/>
      <c r="AD739" s="1385"/>
      <c r="AE739" s="1385"/>
      <c r="AF739" s="1385"/>
      <c r="AG739" s="1386"/>
      <c r="AH739" s="1381" t="str">
        <f t="shared" si="57"/>
        <v/>
      </c>
      <c r="AI739" s="1382"/>
      <c r="AJ739" s="1383"/>
      <c r="AK739" s="1375" t="s">
        <v>599</v>
      </c>
      <c r="AL739" s="1376"/>
      <c r="AM739" s="1376"/>
      <c r="AN739" s="1376"/>
      <c r="AO739" s="137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05" customHeight="1">
      <c r="B740" s="1375"/>
      <c r="C740" s="1376"/>
      <c r="D740" s="1376"/>
      <c r="E740" s="1376"/>
      <c r="F740" s="1377"/>
      <c r="G740" s="1394"/>
      <c r="H740" s="1395"/>
      <c r="I740" s="1395"/>
      <c r="J740" s="1396"/>
      <c r="K740" s="1431"/>
      <c r="L740" s="1432"/>
      <c r="M740" s="1432"/>
      <c r="N740" s="1433"/>
      <c r="O740" s="1397"/>
      <c r="P740" s="1398"/>
      <c r="Q740" s="1398"/>
      <c r="R740" s="1398"/>
      <c r="S740" s="1399"/>
      <c r="T740" s="1397"/>
      <c r="U740" s="1398"/>
      <c r="V740" s="1398"/>
      <c r="W740" s="1399"/>
      <c r="X740" s="1378">
        <f t="shared" si="56"/>
        <v>0</v>
      </c>
      <c r="Y740" s="1379"/>
      <c r="Z740" s="1379"/>
      <c r="AA740" s="1379"/>
      <c r="AB740" s="1380"/>
      <c r="AC740" s="1384"/>
      <c r="AD740" s="1385"/>
      <c r="AE740" s="1385"/>
      <c r="AF740" s="1385"/>
      <c r="AG740" s="1386"/>
      <c r="AH740" s="1381" t="str">
        <f t="shared" si="57"/>
        <v/>
      </c>
      <c r="AI740" s="1382"/>
      <c r="AJ740" s="1383"/>
      <c r="AK740" s="1375" t="s">
        <v>599</v>
      </c>
      <c r="AL740" s="1376"/>
      <c r="AM740" s="1376"/>
      <c r="AN740" s="1376"/>
      <c r="AO740" s="137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05" customHeight="1">
      <c r="B741" s="1375"/>
      <c r="C741" s="1376"/>
      <c r="D741" s="1376"/>
      <c r="E741" s="1376"/>
      <c r="F741" s="1377"/>
      <c r="G741" s="1394"/>
      <c r="H741" s="1395"/>
      <c r="I741" s="1395"/>
      <c r="J741" s="1396"/>
      <c r="K741" s="1431"/>
      <c r="L741" s="1432"/>
      <c r="M741" s="1432"/>
      <c r="N741" s="1433"/>
      <c r="O741" s="1397"/>
      <c r="P741" s="1398"/>
      <c r="Q741" s="1398"/>
      <c r="R741" s="1398"/>
      <c r="S741" s="1399"/>
      <c r="T741" s="1397"/>
      <c r="U741" s="1398"/>
      <c r="V741" s="1398"/>
      <c r="W741" s="1399"/>
      <c r="X741" s="1378">
        <f t="shared" si="56"/>
        <v>0</v>
      </c>
      <c r="Y741" s="1379"/>
      <c r="Z741" s="1379"/>
      <c r="AA741" s="1379"/>
      <c r="AB741" s="1380"/>
      <c r="AC741" s="1384"/>
      <c r="AD741" s="1385"/>
      <c r="AE741" s="1385"/>
      <c r="AF741" s="1385"/>
      <c r="AG741" s="1386"/>
      <c r="AH741" s="1381" t="str">
        <f t="shared" si="57"/>
        <v/>
      </c>
      <c r="AI741" s="1382"/>
      <c r="AJ741" s="1383"/>
      <c r="AK741" s="1375" t="s">
        <v>599</v>
      </c>
      <c r="AL741" s="1376"/>
      <c r="AM741" s="1376"/>
      <c r="AN741" s="1376"/>
      <c r="AO741" s="137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05" customHeight="1">
      <c r="B742" s="1375"/>
      <c r="C742" s="1376"/>
      <c r="D742" s="1376"/>
      <c r="E742" s="1376"/>
      <c r="F742" s="1377"/>
      <c r="G742" s="1394"/>
      <c r="H742" s="1395"/>
      <c r="I742" s="1395"/>
      <c r="J742" s="1396"/>
      <c r="K742" s="1431"/>
      <c r="L742" s="1432"/>
      <c r="M742" s="1432"/>
      <c r="N742" s="1433"/>
      <c r="O742" s="1397"/>
      <c r="P742" s="1398"/>
      <c r="Q742" s="1398"/>
      <c r="R742" s="1398"/>
      <c r="S742" s="1399"/>
      <c r="T742" s="1397"/>
      <c r="U742" s="1398"/>
      <c r="V742" s="1398"/>
      <c r="W742" s="1399"/>
      <c r="X742" s="1378">
        <f t="shared" ref="X742:X751" si="58">O742+T742</f>
        <v>0</v>
      </c>
      <c r="Y742" s="1379"/>
      <c r="Z742" s="1379"/>
      <c r="AA742" s="1379"/>
      <c r="AB742" s="1380"/>
      <c r="AC742" s="1384"/>
      <c r="AD742" s="1385"/>
      <c r="AE742" s="1385"/>
      <c r="AF742" s="1385"/>
      <c r="AG742" s="1386"/>
      <c r="AH742" s="1381" t="str">
        <f t="shared" si="57"/>
        <v/>
      </c>
      <c r="AI742" s="1382"/>
      <c r="AJ742" s="1383"/>
      <c r="AK742" s="1375" t="s">
        <v>599</v>
      </c>
      <c r="AL742" s="1376"/>
      <c r="AM742" s="1376"/>
      <c r="AN742" s="1376"/>
      <c r="AO742" s="137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05" customHeight="1">
      <c r="A743"/>
      <c r="B743" s="1375"/>
      <c r="C743" s="1376"/>
      <c r="D743" s="1376"/>
      <c r="E743" s="1376"/>
      <c r="F743" s="1377"/>
      <c r="G743" s="1394"/>
      <c r="H743" s="1395"/>
      <c r="I743" s="1395"/>
      <c r="J743" s="1396"/>
      <c r="K743" s="1431"/>
      <c r="L743" s="1432"/>
      <c r="M743" s="1432"/>
      <c r="N743" s="1433"/>
      <c r="O743" s="1397"/>
      <c r="P743" s="1398"/>
      <c r="Q743" s="1398"/>
      <c r="R743" s="1398"/>
      <c r="S743" s="1399"/>
      <c r="T743" s="1397"/>
      <c r="U743" s="1398"/>
      <c r="V743" s="1398"/>
      <c r="W743" s="1399"/>
      <c r="X743" s="1378">
        <f t="shared" si="58"/>
        <v>0</v>
      </c>
      <c r="Y743" s="1379"/>
      <c r="Z743" s="1379"/>
      <c r="AA743" s="1379"/>
      <c r="AB743" s="1380"/>
      <c r="AC743" s="1384"/>
      <c r="AD743" s="1385"/>
      <c r="AE743" s="1385"/>
      <c r="AF743" s="1385"/>
      <c r="AG743" s="1386"/>
      <c r="AH743" s="1381" t="str">
        <f t="shared" si="57"/>
        <v/>
      </c>
      <c r="AI743" s="1382"/>
      <c r="AJ743" s="1383"/>
      <c r="AK743" s="1375" t="s">
        <v>599</v>
      </c>
      <c r="AL743" s="1376"/>
      <c r="AM743" s="1376"/>
      <c r="AN743" s="1376"/>
      <c r="AO743" s="137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05" customHeight="1">
      <c r="B744" s="1375"/>
      <c r="C744" s="1376"/>
      <c r="D744" s="1376"/>
      <c r="E744" s="1376"/>
      <c r="F744" s="1377"/>
      <c r="G744" s="1394"/>
      <c r="H744" s="1395"/>
      <c r="I744" s="1395"/>
      <c r="J744" s="1396"/>
      <c r="K744" s="1431"/>
      <c r="L744" s="1432"/>
      <c r="M744" s="1432"/>
      <c r="N744" s="1433"/>
      <c r="O744" s="1397"/>
      <c r="P744" s="1398"/>
      <c r="Q744" s="1398"/>
      <c r="R744" s="1398"/>
      <c r="S744" s="1399"/>
      <c r="T744" s="1397"/>
      <c r="U744" s="1398"/>
      <c r="V744" s="1398"/>
      <c r="W744" s="1399"/>
      <c r="X744" s="1378">
        <f t="shared" si="58"/>
        <v>0</v>
      </c>
      <c r="Y744" s="1379"/>
      <c r="Z744" s="1379"/>
      <c r="AA744" s="1379"/>
      <c r="AB744" s="1380"/>
      <c r="AC744" s="1384"/>
      <c r="AD744" s="1385"/>
      <c r="AE744" s="1385"/>
      <c r="AF744" s="1385"/>
      <c r="AG744" s="1386"/>
      <c r="AH744" s="1381" t="str">
        <f t="shared" si="57"/>
        <v/>
      </c>
      <c r="AI744" s="1382"/>
      <c r="AJ744" s="1383"/>
      <c r="AK744" s="1375" t="s">
        <v>599</v>
      </c>
      <c r="AL744" s="1376"/>
      <c r="AM744" s="1376"/>
      <c r="AN744" s="1376"/>
      <c r="AO744" s="137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05" customHeight="1">
      <c r="B745" s="1375"/>
      <c r="C745" s="1376"/>
      <c r="D745" s="1376"/>
      <c r="E745" s="1376"/>
      <c r="F745" s="1377"/>
      <c r="G745" s="1394"/>
      <c r="H745" s="1395"/>
      <c r="I745" s="1395"/>
      <c r="J745" s="1396"/>
      <c r="K745" s="1431"/>
      <c r="L745" s="1432"/>
      <c r="M745" s="1432"/>
      <c r="N745" s="1433"/>
      <c r="O745" s="1397"/>
      <c r="P745" s="1398"/>
      <c r="Q745" s="1398"/>
      <c r="R745" s="1398"/>
      <c r="S745" s="1399"/>
      <c r="T745" s="1397"/>
      <c r="U745" s="1398"/>
      <c r="V745" s="1398"/>
      <c r="W745" s="1399"/>
      <c r="X745" s="1378">
        <f t="shared" si="58"/>
        <v>0</v>
      </c>
      <c r="Y745" s="1379"/>
      <c r="Z745" s="1379"/>
      <c r="AA745" s="1379"/>
      <c r="AB745" s="1380"/>
      <c r="AC745" s="1384"/>
      <c r="AD745" s="1385"/>
      <c r="AE745" s="1385"/>
      <c r="AF745" s="1385"/>
      <c r="AG745" s="1386"/>
      <c r="AH745" s="1381" t="str">
        <f t="shared" si="57"/>
        <v/>
      </c>
      <c r="AI745" s="1382"/>
      <c r="AJ745" s="1383"/>
      <c r="AK745" s="1375" t="s">
        <v>599</v>
      </c>
      <c r="AL745" s="1376"/>
      <c r="AM745" s="1376"/>
      <c r="AN745" s="1376"/>
      <c r="AO745" s="137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05" customHeight="1">
      <c r="B746" s="1375"/>
      <c r="C746" s="1376"/>
      <c r="D746" s="1376"/>
      <c r="E746" s="1376"/>
      <c r="F746" s="1377"/>
      <c r="G746" s="1394"/>
      <c r="H746" s="1395"/>
      <c r="I746" s="1395"/>
      <c r="J746" s="1396"/>
      <c r="K746" s="1431"/>
      <c r="L746" s="1432"/>
      <c r="M746" s="1432"/>
      <c r="N746" s="1433"/>
      <c r="O746" s="1397"/>
      <c r="P746" s="1398"/>
      <c r="Q746" s="1398"/>
      <c r="R746" s="1398"/>
      <c r="S746" s="1399"/>
      <c r="T746" s="1397"/>
      <c r="U746" s="1398"/>
      <c r="V746" s="1398"/>
      <c r="W746" s="1399"/>
      <c r="X746" s="1378">
        <f t="shared" si="58"/>
        <v>0</v>
      </c>
      <c r="Y746" s="1379"/>
      <c r="Z746" s="1379"/>
      <c r="AA746" s="1379"/>
      <c r="AB746" s="1380"/>
      <c r="AC746" s="1384"/>
      <c r="AD746" s="1385"/>
      <c r="AE746" s="1385"/>
      <c r="AF746" s="1385"/>
      <c r="AG746" s="1386"/>
      <c r="AH746" s="1381" t="str">
        <f t="shared" si="57"/>
        <v/>
      </c>
      <c r="AI746" s="1382"/>
      <c r="AJ746" s="1383"/>
      <c r="AK746" s="1375" t="s">
        <v>599</v>
      </c>
      <c r="AL746" s="1376"/>
      <c r="AM746" s="1376"/>
      <c r="AN746" s="1376"/>
      <c r="AO746" s="137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05" customHeight="1">
      <c r="B747" s="1375"/>
      <c r="C747" s="1376"/>
      <c r="D747" s="1376"/>
      <c r="E747" s="1376"/>
      <c r="F747" s="1377"/>
      <c r="G747" s="1394"/>
      <c r="H747" s="1395"/>
      <c r="I747" s="1395"/>
      <c r="J747" s="1396"/>
      <c r="K747" s="1431"/>
      <c r="L747" s="1432"/>
      <c r="M747" s="1432"/>
      <c r="N747" s="1433"/>
      <c r="O747" s="1397"/>
      <c r="P747" s="1398"/>
      <c r="Q747" s="1398"/>
      <c r="R747" s="1398"/>
      <c r="S747" s="1399"/>
      <c r="T747" s="1397"/>
      <c r="U747" s="1398"/>
      <c r="V747" s="1398"/>
      <c r="W747" s="1399"/>
      <c r="X747" s="1378">
        <f t="shared" si="58"/>
        <v>0</v>
      </c>
      <c r="Y747" s="1379"/>
      <c r="Z747" s="1379"/>
      <c r="AA747" s="1379"/>
      <c r="AB747" s="1380"/>
      <c r="AC747" s="1384"/>
      <c r="AD747" s="1385"/>
      <c r="AE747" s="1385"/>
      <c r="AF747" s="1385"/>
      <c r="AG747" s="1386"/>
      <c r="AH747" s="1381" t="str">
        <f t="shared" si="57"/>
        <v/>
      </c>
      <c r="AI747" s="1382"/>
      <c r="AJ747" s="1383"/>
      <c r="AK747" s="1375" t="s">
        <v>599</v>
      </c>
      <c r="AL747" s="1376"/>
      <c r="AM747" s="1376"/>
      <c r="AN747" s="1376"/>
      <c r="AO747" s="137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05" customHeight="1">
      <c r="A748"/>
      <c r="B748" s="1375"/>
      <c r="C748" s="1376"/>
      <c r="D748" s="1376"/>
      <c r="E748" s="1376"/>
      <c r="F748" s="1377"/>
      <c r="G748" s="1394"/>
      <c r="H748" s="1395"/>
      <c r="I748" s="1395"/>
      <c r="J748" s="1396"/>
      <c r="K748" s="1431"/>
      <c r="L748" s="1432"/>
      <c r="M748" s="1432"/>
      <c r="N748" s="1433"/>
      <c r="O748" s="1397"/>
      <c r="P748" s="1398"/>
      <c r="Q748" s="1398"/>
      <c r="R748" s="1398"/>
      <c r="S748" s="1399"/>
      <c r="T748" s="1397"/>
      <c r="U748" s="1398"/>
      <c r="V748" s="1398"/>
      <c r="W748" s="1399"/>
      <c r="X748" s="1378">
        <f t="shared" si="58"/>
        <v>0</v>
      </c>
      <c r="Y748" s="1379"/>
      <c r="Z748" s="1379"/>
      <c r="AA748" s="1379"/>
      <c r="AB748" s="1380"/>
      <c r="AC748" s="1384"/>
      <c r="AD748" s="1385"/>
      <c r="AE748" s="1385"/>
      <c r="AF748" s="1385"/>
      <c r="AG748" s="1386"/>
      <c r="AH748" s="1381" t="str">
        <f t="shared" si="57"/>
        <v/>
      </c>
      <c r="AI748" s="1382"/>
      <c r="AJ748" s="1383"/>
      <c r="AK748" s="1375" t="s">
        <v>599</v>
      </c>
      <c r="AL748" s="1376"/>
      <c r="AM748" s="1376"/>
      <c r="AN748" s="1376"/>
      <c r="AO748" s="137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05" customHeight="1">
      <c r="A749"/>
      <c r="B749" s="1375"/>
      <c r="C749" s="1376"/>
      <c r="D749" s="1376"/>
      <c r="E749" s="1376"/>
      <c r="F749" s="1377"/>
      <c r="G749" s="1394"/>
      <c r="H749" s="1395"/>
      <c r="I749" s="1395"/>
      <c r="J749" s="1396"/>
      <c r="K749" s="1431"/>
      <c r="L749" s="1432"/>
      <c r="M749" s="1432"/>
      <c r="N749" s="1433"/>
      <c r="O749" s="1397"/>
      <c r="P749" s="1398"/>
      <c r="Q749" s="1398"/>
      <c r="R749" s="1398"/>
      <c r="S749" s="1399"/>
      <c r="T749" s="1397"/>
      <c r="U749" s="1398"/>
      <c r="V749" s="1398"/>
      <c r="W749" s="1399"/>
      <c r="X749" s="1378">
        <f t="shared" si="58"/>
        <v>0</v>
      </c>
      <c r="Y749" s="1379"/>
      <c r="Z749" s="1379"/>
      <c r="AA749" s="1379"/>
      <c r="AB749" s="1380"/>
      <c r="AC749" s="1384"/>
      <c r="AD749" s="1385"/>
      <c r="AE749" s="1385"/>
      <c r="AF749" s="1385"/>
      <c r="AG749" s="1386"/>
      <c r="AH749" s="1381" t="str">
        <f t="shared" si="57"/>
        <v/>
      </c>
      <c r="AI749" s="1382"/>
      <c r="AJ749" s="1383"/>
      <c r="AK749" s="1375" t="s">
        <v>599</v>
      </c>
      <c r="AL749" s="1376"/>
      <c r="AM749" s="1376"/>
      <c r="AN749" s="1376"/>
      <c r="AO749" s="137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05" customHeight="1">
      <c r="A750"/>
      <c r="B750" s="1375"/>
      <c r="C750" s="1376"/>
      <c r="D750" s="1376"/>
      <c r="E750" s="1376"/>
      <c r="F750" s="1377"/>
      <c r="G750" s="1394"/>
      <c r="H750" s="1395"/>
      <c r="I750" s="1395"/>
      <c r="J750" s="1396"/>
      <c r="K750" s="1431"/>
      <c r="L750" s="1432"/>
      <c r="M750" s="1432"/>
      <c r="N750" s="1433"/>
      <c r="O750" s="1397"/>
      <c r="P750" s="1398"/>
      <c r="Q750" s="1398"/>
      <c r="R750" s="1398"/>
      <c r="S750" s="1399"/>
      <c r="T750" s="1397"/>
      <c r="U750" s="1398"/>
      <c r="V750" s="1398"/>
      <c r="W750" s="1399"/>
      <c r="X750" s="1378">
        <f t="shared" si="58"/>
        <v>0</v>
      </c>
      <c r="Y750" s="1379"/>
      <c r="Z750" s="1379"/>
      <c r="AA750" s="1379"/>
      <c r="AB750" s="1380"/>
      <c r="AC750" s="1384"/>
      <c r="AD750" s="1385"/>
      <c r="AE750" s="1385"/>
      <c r="AF750" s="1385"/>
      <c r="AG750" s="1386"/>
      <c r="AH750" s="1381" t="str">
        <f t="shared" si="57"/>
        <v/>
      </c>
      <c r="AI750" s="1382"/>
      <c r="AJ750" s="1383"/>
      <c r="AK750" s="1375" t="s">
        <v>599</v>
      </c>
      <c r="AL750" s="1376"/>
      <c r="AM750" s="1376"/>
      <c r="AN750" s="1376"/>
      <c r="AO750" s="137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05" customHeight="1">
      <c r="A751"/>
      <c r="B751" s="1375"/>
      <c r="C751" s="1376"/>
      <c r="D751" s="1376"/>
      <c r="E751" s="1376"/>
      <c r="F751" s="1377"/>
      <c r="G751" s="1394"/>
      <c r="H751" s="1395"/>
      <c r="I751" s="1395"/>
      <c r="J751" s="1396"/>
      <c r="K751" s="1431"/>
      <c r="L751" s="1432"/>
      <c r="M751" s="1432"/>
      <c r="N751" s="1433"/>
      <c r="O751" s="1397"/>
      <c r="P751" s="1398"/>
      <c r="Q751" s="1398"/>
      <c r="R751" s="1398"/>
      <c r="S751" s="1399"/>
      <c r="T751" s="1397"/>
      <c r="U751" s="1398"/>
      <c r="V751" s="1398"/>
      <c r="W751" s="1399"/>
      <c r="X751" s="1378">
        <f t="shared" si="58"/>
        <v>0</v>
      </c>
      <c r="Y751" s="1379"/>
      <c r="Z751" s="1379"/>
      <c r="AA751" s="1379"/>
      <c r="AB751" s="1380"/>
      <c r="AC751" s="1384"/>
      <c r="AD751" s="1385"/>
      <c r="AE751" s="1385"/>
      <c r="AF751" s="1385"/>
      <c r="AG751" s="1386"/>
      <c r="AH751" s="1381" t="str">
        <f t="shared" si="57"/>
        <v/>
      </c>
      <c r="AI751" s="1382"/>
      <c r="AJ751" s="1383"/>
      <c r="AK751" s="1375" t="s">
        <v>599</v>
      </c>
      <c r="AL751" s="1376"/>
      <c r="AM751" s="1376"/>
      <c r="AN751" s="1376"/>
      <c r="AO751" s="137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05" customHeight="1">
      <c r="A752"/>
      <c r="B752" s="1375"/>
      <c r="C752" s="1376"/>
      <c r="D752" s="1376"/>
      <c r="E752" s="1376"/>
      <c r="F752" s="1377"/>
      <c r="G752" s="1394"/>
      <c r="H752" s="1395"/>
      <c r="I752" s="1395"/>
      <c r="J752" s="1396"/>
      <c r="K752" s="1431"/>
      <c r="L752" s="1432"/>
      <c r="M752" s="1432"/>
      <c r="N752" s="1433"/>
      <c r="O752" s="1397"/>
      <c r="P752" s="1398"/>
      <c r="Q752" s="1398"/>
      <c r="R752" s="1398"/>
      <c r="S752" s="1399"/>
      <c r="T752" s="1397"/>
      <c r="U752" s="1398"/>
      <c r="V752" s="1398"/>
      <c r="W752" s="1399"/>
      <c r="X752" s="1378">
        <f>O752+T752</f>
        <v>0</v>
      </c>
      <c r="Y752" s="1379"/>
      <c r="Z752" s="1379"/>
      <c r="AA752" s="1379"/>
      <c r="AB752" s="1380"/>
      <c r="AC752" s="1384"/>
      <c r="AD752" s="1385"/>
      <c r="AE752" s="1385"/>
      <c r="AF752" s="1385"/>
      <c r="AG752" s="1386"/>
      <c r="AH752" s="1381" t="str">
        <f>IF($AC752&gt;0,($X752/$BA701), "")</f>
        <v/>
      </c>
      <c r="AI752" s="1382"/>
      <c r="AJ752" s="1383"/>
      <c r="AK752" s="1375" t="s">
        <v>599</v>
      </c>
      <c r="AL752" s="1376"/>
      <c r="AM752" s="1376"/>
      <c r="AN752" s="1376"/>
      <c r="AO752" s="137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05" customHeight="1">
      <c r="A753"/>
      <c r="B753" s="1615" t="s">
        <v>125</v>
      </c>
      <c r="C753" s="1616"/>
      <c r="D753" s="1616"/>
      <c r="E753" s="1616"/>
      <c r="F753" s="1617"/>
      <c r="G753" s="1752">
        <f>SUM(G718:G752)</f>
        <v>139</v>
      </c>
      <c r="H753" s="1753"/>
      <c r="I753" s="1753"/>
      <c r="J753" s="1754"/>
      <c r="K753" s="937" t="s">
        <v>124</v>
      </c>
      <c r="L753" s="5"/>
      <c r="M753" s="5"/>
      <c r="N753" s="46"/>
      <c r="O753" s="1378">
        <f>SUMPRODUCT(G718:G752,O718:O752)</f>
        <v>175027</v>
      </c>
      <c r="P753" s="1379"/>
      <c r="Q753" s="1379"/>
      <c r="R753" s="1379"/>
      <c r="S753" s="1380"/>
      <c r="T753"/>
      <c r="U753"/>
      <c r="V753"/>
      <c r="W753"/>
      <c r="X753" s="939" t="s">
        <v>915</v>
      </c>
      <c r="Y753" s="938"/>
      <c r="Z753" s="938"/>
      <c r="AA753" s="938"/>
      <c r="AB753" s="940"/>
      <c r="AC753" s="1366">
        <f>BI703</f>
        <v>0.56187050359712221</v>
      </c>
      <c r="AD753" s="1367"/>
      <c r="AE753" s="1367"/>
      <c r="AF753" s="1367"/>
      <c r="AG753" s="1368"/>
      <c r="AH753" s="1366">
        <f>IFERROR(BV703,"")</f>
        <v>0.56185296376157257</v>
      </c>
      <c r="AI753" s="1367"/>
      <c r="AJ753" s="1368"/>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05" customHeight="1">
      <c r="A754"/>
      <c r="B754" s="1710" t="s">
        <v>2183</v>
      </c>
      <c r="C754" s="1710"/>
      <c r="D754" s="1710"/>
      <c r="E754" s="1710"/>
      <c r="F754" s="1710"/>
      <c r="G754" s="1710"/>
      <c r="H754" s="1710"/>
      <c r="I754" s="1710"/>
      <c r="J754" s="1710"/>
      <c r="K754" s="1710"/>
      <c r="L754" s="1710"/>
      <c r="M754" s="1710"/>
      <c r="N754" s="1710"/>
      <c r="O754" s="1710"/>
      <c r="P754" s="1710"/>
      <c r="Q754" s="1710"/>
      <c r="R754" s="1710"/>
      <c r="S754" s="1710"/>
      <c r="T754" s="1710"/>
      <c r="U754" s="1710"/>
      <c r="V754" s="1710"/>
      <c r="W754" s="1710"/>
      <c r="X754" s="1710"/>
      <c r="Y754" s="1710"/>
      <c r="Z754" s="1710"/>
      <c r="AA754" s="1710"/>
      <c r="AB754" s="1710"/>
      <c r="AC754" s="1710"/>
      <c r="AD754" s="1710"/>
      <c r="AE754" s="1710"/>
      <c r="AF754" s="1710"/>
      <c r="AG754" s="1710"/>
      <c r="AH754" s="171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05" customHeight="1">
      <c r="B755" s="1710"/>
      <c r="C755" s="1710"/>
      <c r="D755" s="1710"/>
      <c r="E755" s="1710"/>
      <c r="F755" s="1710"/>
      <c r="G755" s="1710"/>
      <c r="H755" s="1710"/>
      <c r="I755" s="1710"/>
      <c r="J755" s="1710"/>
      <c r="K755" s="1710"/>
      <c r="L755" s="1710"/>
      <c r="M755" s="1710"/>
      <c r="N755" s="1710"/>
      <c r="O755" s="1710"/>
      <c r="P755" s="1710"/>
      <c r="Q755" s="1710"/>
      <c r="R755" s="1710"/>
      <c r="S755" s="1710"/>
      <c r="T755" s="1710"/>
      <c r="U755" s="1710"/>
      <c r="V755" s="1710"/>
      <c r="W755" s="1710"/>
      <c r="X755" s="1710"/>
      <c r="Y755" s="1710"/>
      <c r="Z755" s="1710"/>
      <c r="AA755" s="1710"/>
      <c r="AB755" s="1710"/>
      <c r="AC755" s="1710"/>
      <c r="AD755" s="1710"/>
      <c r="AE755" s="1710"/>
      <c r="AF755" s="1710"/>
      <c r="AG755" s="1710"/>
      <c r="AH755" s="171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05" customHeight="1">
      <c r="A756" s="3"/>
      <c r="B756" s="3"/>
      <c r="C756" s="118" t="s">
        <v>2181</v>
      </c>
      <c r="D756" s="1067"/>
      <c r="E756" s="1067"/>
      <c r="F756" s="1067"/>
      <c r="G756" s="1068"/>
      <c r="H756" s="1068"/>
      <c r="I756" s="1068"/>
      <c r="J756" s="1068"/>
      <c r="K756" s="1067"/>
      <c r="L756" s="1067"/>
      <c r="M756" s="1067"/>
      <c r="N756" s="1067"/>
      <c r="O756" s="1401">
        <f>CS634</f>
        <v>285</v>
      </c>
      <c r="P756" s="1401"/>
      <c r="Q756" s="1401"/>
      <c r="R756" s="1401"/>
      <c r="S756" s="1004"/>
      <c r="T756" s="1004"/>
      <c r="U756" s="118" t="s">
        <v>2182</v>
      </c>
      <c r="V756" s="1067"/>
      <c r="W756" s="1067"/>
      <c r="X756" s="1067"/>
      <c r="Y756" s="1068"/>
      <c r="Z756" s="1068"/>
      <c r="AA756" s="1068"/>
      <c r="AB756" s="1068"/>
      <c r="AC756" s="1067"/>
      <c r="AD756" s="1067"/>
      <c r="AE756" s="1067"/>
      <c r="AF756" s="1067"/>
      <c r="AG756" s="1728"/>
      <c r="AH756" s="1728"/>
      <c r="AI756" s="1728"/>
      <c r="AJ756" s="172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05" customHeight="1">
      <c r="B757" s="57"/>
      <c r="C757" s="1851" t="str">
        <f>IF(G753&lt;&gt;AG440,"! Total Low-Income Units in the Unit Mix Table above does not match the number of Total Low-Income Units on row #"&amp;TEXT(ROW(D440),"#"),"")</f>
        <v/>
      </c>
      <c r="D757" s="1851"/>
      <c r="E757" s="1851"/>
      <c r="F757" s="1851"/>
      <c r="G757" s="1851"/>
      <c r="H757" s="1851"/>
      <c r="I757" s="1851"/>
      <c r="J757" s="1851"/>
      <c r="K757" s="1851"/>
      <c r="L757" s="1851"/>
      <c r="M757" s="1851"/>
      <c r="N757" s="1851"/>
      <c r="O757" s="1851"/>
      <c r="P757" s="1851"/>
      <c r="Q757" s="1851"/>
      <c r="R757" s="1851"/>
      <c r="S757" s="1851"/>
      <c r="T757" s="1851"/>
      <c r="U757" s="1851"/>
      <c r="V757" s="1851"/>
      <c r="W757" s="1851"/>
      <c r="X757" s="1851"/>
      <c r="Y757" s="1851"/>
      <c r="Z757" s="1851"/>
      <c r="AA757" s="1851"/>
      <c r="AB757" s="1851"/>
      <c r="AC757" s="1851"/>
      <c r="AD757" s="1851"/>
      <c r="AE757" s="1851"/>
      <c r="AF757" s="1851"/>
      <c r="AG757" s="1851"/>
      <c r="AH757" s="1851"/>
      <c r="AI757" s="1851"/>
      <c r="AJ757" s="1851"/>
      <c r="AK757" s="1851"/>
      <c r="AL757" s="1851"/>
      <c r="AM757" s="185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05" customHeight="1">
      <c r="B758" s="57"/>
      <c r="C758" s="1851"/>
      <c r="D758" s="1851"/>
      <c r="E758" s="1851"/>
      <c r="F758" s="1851"/>
      <c r="G758" s="1851"/>
      <c r="H758" s="1851"/>
      <c r="I758" s="1851"/>
      <c r="J758" s="1851"/>
      <c r="K758" s="1851"/>
      <c r="L758" s="1851"/>
      <c r="M758" s="1851"/>
      <c r="N758" s="1851"/>
      <c r="O758" s="1851"/>
      <c r="P758" s="1851"/>
      <c r="Q758" s="1851"/>
      <c r="R758" s="1851"/>
      <c r="S758" s="1851"/>
      <c r="T758" s="1851"/>
      <c r="U758" s="1851"/>
      <c r="V758" s="1851"/>
      <c r="W758" s="1851"/>
      <c r="X758" s="1851"/>
      <c r="Y758" s="1851"/>
      <c r="Z758" s="1851"/>
      <c r="AA758" s="1851"/>
      <c r="AB758" s="1851"/>
      <c r="AC758" s="1851"/>
      <c r="AD758" s="1851"/>
      <c r="AE758" s="1851"/>
      <c r="AF758" s="1851"/>
      <c r="AG758" s="1851"/>
      <c r="AH758" s="1851"/>
      <c r="AI758" s="1851"/>
      <c r="AJ758" s="1851"/>
      <c r="AK758" s="1851"/>
      <c r="AL758" s="1851"/>
      <c r="AM758" s="185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0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29" t="s">
        <v>599</v>
      </c>
      <c r="AE759" s="1729"/>
      <c r="AF759" s="172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05" customHeight="1">
      <c r="C760" s="1070" t="s">
        <v>2401</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0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0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05" customHeight="1">
      <c r="A763" s="3"/>
      <c r="B763" s="1067"/>
      <c r="C763" s="1275" t="s">
        <v>2402</v>
      </c>
      <c r="D763" s="1275"/>
      <c r="E763" s="1275"/>
      <c r="F763" s="1275"/>
      <c r="G763" s="1275"/>
      <c r="H763" s="1275"/>
      <c r="I763" s="1275"/>
      <c r="J763" s="1275"/>
      <c r="K763" s="1275"/>
      <c r="L763" s="1275"/>
      <c r="M763" s="1275"/>
      <c r="N763" s="1275"/>
      <c r="O763" s="1275"/>
      <c r="P763" s="1275"/>
      <c r="Q763" s="1275"/>
      <c r="R763" s="1275"/>
      <c r="S763" s="1275"/>
      <c r="T763" s="1275"/>
      <c r="U763" s="1275"/>
      <c r="V763" s="1275"/>
      <c r="W763" s="1275"/>
      <c r="X763" s="1275"/>
      <c r="Y763" s="1275"/>
      <c r="Z763" s="1275"/>
      <c r="AA763" s="1275"/>
      <c r="AB763" s="1275"/>
      <c r="AC763" s="1275"/>
      <c r="AD763" s="1275"/>
      <c r="AE763" s="1275"/>
      <c r="AF763" s="1275"/>
      <c r="AG763" s="1275"/>
      <c r="AH763" s="1275"/>
      <c r="AI763" s="1275"/>
      <c r="AJ763" s="1275"/>
      <c r="AK763" s="1275"/>
      <c r="AL763" s="1275"/>
      <c r="AM763" s="1275"/>
      <c r="AN763" s="1275"/>
      <c r="AO763" s="1275"/>
      <c r="AP763" s="1275"/>
      <c r="AQ763" s="1275"/>
      <c r="AR763" s="127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05" customHeight="1">
      <c r="A764" s="3"/>
      <c r="B764" s="1067"/>
      <c r="C764" s="1275"/>
      <c r="D764" s="1275"/>
      <c r="E764" s="1275"/>
      <c r="F764" s="1275"/>
      <c r="G764" s="1275"/>
      <c r="H764" s="1275"/>
      <c r="I764" s="1275"/>
      <c r="J764" s="1275"/>
      <c r="K764" s="1275"/>
      <c r="L764" s="1275"/>
      <c r="M764" s="1275"/>
      <c r="N764" s="1275"/>
      <c r="O764" s="1275"/>
      <c r="P764" s="1275"/>
      <c r="Q764" s="1275"/>
      <c r="R764" s="1275"/>
      <c r="S764" s="1275"/>
      <c r="T764" s="1275"/>
      <c r="U764" s="1275"/>
      <c r="V764" s="1275"/>
      <c r="W764" s="1275"/>
      <c r="X764" s="1275"/>
      <c r="Y764" s="1275"/>
      <c r="Z764" s="1275"/>
      <c r="AA764" s="1275"/>
      <c r="AB764" s="1275"/>
      <c r="AC764" s="1275"/>
      <c r="AD764" s="1275"/>
      <c r="AE764" s="1275"/>
      <c r="AF764" s="1275"/>
      <c r="AG764" s="1275"/>
      <c r="AH764" s="1275"/>
      <c r="AI764" s="1275"/>
      <c r="AJ764" s="1275"/>
      <c r="AK764" s="1275"/>
      <c r="AL764" s="1275"/>
      <c r="AM764" s="1275"/>
      <c r="AN764" s="1275"/>
      <c r="AO764" s="1275"/>
      <c r="AP764" s="1275"/>
      <c r="AQ764" s="1275"/>
      <c r="AR764" s="127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05" customHeight="1">
      <c r="A765" s="3"/>
      <c r="B765" s="1067"/>
      <c r="C765" s="1275"/>
      <c r="D765" s="1275"/>
      <c r="E765" s="1275"/>
      <c r="F765" s="1275"/>
      <c r="G765" s="1275"/>
      <c r="H765" s="1275"/>
      <c r="I765" s="1275"/>
      <c r="J765" s="1275"/>
      <c r="K765" s="1275"/>
      <c r="L765" s="1275"/>
      <c r="M765" s="1275"/>
      <c r="N765" s="1275"/>
      <c r="O765" s="1275"/>
      <c r="P765" s="1275"/>
      <c r="Q765" s="1275"/>
      <c r="R765" s="1275"/>
      <c r="S765" s="1275"/>
      <c r="T765" s="1275"/>
      <c r="U765" s="1275"/>
      <c r="V765" s="1275"/>
      <c r="W765" s="1275"/>
      <c r="X765" s="1275"/>
      <c r="Y765" s="1275"/>
      <c r="Z765" s="1275"/>
      <c r="AA765" s="1275"/>
      <c r="AB765" s="1275"/>
      <c r="AC765" s="1275"/>
      <c r="AD765" s="1275"/>
      <c r="AE765" s="1275"/>
      <c r="AF765" s="1275"/>
      <c r="AG765" s="1275"/>
      <c r="AH765" s="1275"/>
      <c r="AI765" s="1275"/>
      <c r="AJ765" s="1275"/>
      <c r="AK765" s="1275"/>
      <c r="AL765" s="1275"/>
      <c r="AM765" s="1275"/>
      <c r="AN765" s="1275"/>
      <c r="AO765" s="1275"/>
      <c r="AP765" s="1275"/>
      <c r="AQ765" s="1275"/>
      <c r="AR765" s="127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05" customHeight="1">
      <c r="A766" s="3"/>
      <c r="B766" s="1067"/>
      <c r="C766" s="1275" t="s">
        <v>2403</v>
      </c>
      <c r="D766" s="1275"/>
      <c r="E766" s="1275"/>
      <c r="F766" s="1275"/>
      <c r="G766" s="1275"/>
      <c r="H766" s="1275"/>
      <c r="I766" s="1275"/>
      <c r="J766" s="1275"/>
      <c r="K766" s="1275"/>
      <c r="L766" s="1275"/>
      <c r="M766" s="1275"/>
      <c r="N766" s="1275"/>
      <c r="O766" s="1275"/>
      <c r="P766" s="1275"/>
      <c r="Q766" s="1275"/>
      <c r="R766" s="1275"/>
      <c r="S766" s="1275"/>
      <c r="T766" s="1275"/>
      <c r="U766" s="1275"/>
      <c r="V766" s="1275"/>
      <c r="W766" s="1275"/>
      <c r="X766" s="1275"/>
      <c r="Y766" s="1275"/>
      <c r="Z766" s="1275"/>
      <c r="AA766" s="1275"/>
      <c r="AB766" s="1275"/>
      <c r="AC766" s="1275"/>
      <c r="AD766" s="1275"/>
      <c r="AE766" s="1275"/>
      <c r="AF766" s="1275"/>
      <c r="AG766" s="1275"/>
      <c r="AH766" s="1275"/>
      <c r="AI766" s="1275"/>
      <c r="AJ766" s="1275"/>
      <c r="AK766" s="1275"/>
      <c r="AL766" s="1275"/>
      <c r="AM766" s="1275"/>
      <c r="AN766" s="1275"/>
      <c r="AO766" s="1275"/>
      <c r="AP766" s="1275"/>
      <c r="AQ766" s="1275"/>
      <c r="AR766" s="127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05" customHeight="1">
      <c r="A767" s="3"/>
      <c r="B767" s="1067"/>
      <c r="C767" s="1275"/>
      <c r="D767" s="1275"/>
      <c r="E767" s="1275"/>
      <c r="F767" s="1275"/>
      <c r="G767" s="1275"/>
      <c r="H767" s="1275"/>
      <c r="I767" s="1275"/>
      <c r="J767" s="1275"/>
      <c r="K767" s="1275"/>
      <c r="L767" s="1275"/>
      <c r="M767" s="1275"/>
      <c r="N767" s="1275"/>
      <c r="O767" s="1275"/>
      <c r="P767" s="1275"/>
      <c r="Q767" s="1275"/>
      <c r="R767" s="1275"/>
      <c r="S767" s="1275"/>
      <c r="T767" s="1275"/>
      <c r="U767" s="1275"/>
      <c r="V767" s="1275"/>
      <c r="W767" s="1275"/>
      <c r="X767" s="1275"/>
      <c r="Y767" s="1275"/>
      <c r="Z767" s="1275"/>
      <c r="AA767" s="1275"/>
      <c r="AB767" s="1275"/>
      <c r="AC767" s="1275"/>
      <c r="AD767" s="1275"/>
      <c r="AE767" s="1275"/>
      <c r="AF767" s="1275"/>
      <c r="AG767" s="1275"/>
      <c r="AH767" s="1275"/>
      <c r="AI767" s="1275"/>
      <c r="AJ767" s="1275"/>
      <c r="AK767" s="1275"/>
      <c r="AL767" s="1275"/>
      <c r="AM767" s="1275"/>
      <c r="AN767" s="1275"/>
      <c r="AO767" s="1275"/>
      <c r="AP767" s="1275"/>
      <c r="AQ767" s="1275"/>
      <c r="AR767" s="127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05" customHeight="1">
      <c r="A768" s="3"/>
      <c r="B768" s="1067"/>
      <c r="C768" s="1275"/>
      <c r="D768" s="1275"/>
      <c r="E768" s="1275"/>
      <c r="F768" s="1275"/>
      <c r="G768" s="1275"/>
      <c r="H768" s="1275"/>
      <c r="I768" s="1275"/>
      <c r="J768" s="1275"/>
      <c r="K768" s="1275"/>
      <c r="L768" s="1275"/>
      <c r="M768" s="1275"/>
      <c r="N768" s="1275"/>
      <c r="O768" s="1275"/>
      <c r="P768" s="1275"/>
      <c r="Q768" s="1275"/>
      <c r="R768" s="1275"/>
      <c r="S768" s="1275"/>
      <c r="T768" s="1275"/>
      <c r="U768" s="1275"/>
      <c r="V768" s="1275"/>
      <c r="W768" s="1275"/>
      <c r="X768" s="1275"/>
      <c r="Y768" s="1275"/>
      <c r="Z768" s="1275"/>
      <c r="AA768" s="1275"/>
      <c r="AB768" s="1275"/>
      <c r="AC768" s="1275"/>
      <c r="AD768" s="1275"/>
      <c r="AE768" s="1275"/>
      <c r="AF768" s="1275"/>
      <c r="AG768" s="1275"/>
      <c r="AH768" s="1275"/>
      <c r="AI768" s="1275"/>
      <c r="AJ768" s="1275"/>
      <c r="AK768" s="1275"/>
      <c r="AL768" s="1275"/>
      <c r="AM768" s="1275"/>
      <c r="AN768" s="1275"/>
      <c r="AO768" s="1275"/>
      <c r="AP768" s="1275"/>
      <c r="AQ768" s="1275"/>
      <c r="AR768" s="127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05" customHeight="1">
      <c r="J769" s="1602" t="s">
        <v>390</v>
      </c>
      <c r="K769" s="1423"/>
      <c r="L769" s="1423"/>
      <c r="M769" s="1423"/>
      <c r="N769" s="1424"/>
      <c r="O769" s="1727" t="s">
        <v>286</v>
      </c>
      <c r="P769" s="1727"/>
      <c r="Q769" s="1727"/>
      <c r="R769" s="1727"/>
      <c r="S769" s="1727"/>
      <c r="T769" s="1387" t="s">
        <v>1868</v>
      </c>
      <c r="U769" s="1388"/>
      <c r="V769" s="1388"/>
      <c r="W769" s="1389"/>
      <c r="X769" s="1602" t="s">
        <v>455</v>
      </c>
      <c r="Y769" s="1423"/>
      <c r="Z769" s="1423"/>
      <c r="AA769" s="1423"/>
      <c r="AB769" s="1424"/>
      <c r="AC769" s="1602" t="s">
        <v>287</v>
      </c>
      <c r="AD769" s="1423"/>
      <c r="AE769" s="1423"/>
      <c r="AF769" s="1423"/>
      <c r="AG769" s="142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05" customHeight="1">
      <c r="J770" s="1425"/>
      <c r="K770" s="1426"/>
      <c r="L770" s="1426"/>
      <c r="M770" s="1426"/>
      <c r="N770" s="1427"/>
      <c r="O770" s="1727"/>
      <c r="P770" s="1727"/>
      <c r="Q770" s="1727"/>
      <c r="R770" s="1727"/>
      <c r="S770" s="1727"/>
      <c r="T770" s="1390"/>
      <c r="U770" s="1391"/>
      <c r="V770" s="1391"/>
      <c r="W770" s="1392"/>
      <c r="X770" s="1425"/>
      <c r="Y770" s="1426"/>
      <c r="Z770" s="1426"/>
      <c r="AA770" s="1426"/>
      <c r="AB770" s="1427"/>
      <c r="AC770" s="1425"/>
      <c r="AD770" s="1426"/>
      <c r="AE770" s="1426"/>
      <c r="AF770" s="1426"/>
      <c r="AG770" s="142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05" customHeight="1">
      <c r="J771" s="1425"/>
      <c r="K771" s="1426"/>
      <c r="L771" s="1426"/>
      <c r="M771" s="1426"/>
      <c r="N771" s="1427"/>
      <c r="O771" s="1727"/>
      <c r="P771" s="1727"/>
      <c r="Q771" s="1727"/>
      <c r="R771" s="1727"/>
      <c r="S771" s="1727"/>
      <c r="T771" s="1390"/>
      <c r="U771" s="1391"/>
      <c r="V771" s="1391"/>
      <c r="W771" s="1392"/>
      <c r="X771" s="1425"/>
      <c r="Y771" s="1426"/>
      <c r="Z771" s="1426"/>
      <c r="AA771" s="1426"/>
      <c r="AB771" s="1427"/>
      <c r="AC771" s="1425"/>
      <c r="AD771" s="1426"/>
      <c r="AE771" s="1426"/>
      <c r="AF771" s="1426"/>
      <c r="AG771" s="142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05" customHeight="1">
      <c r="J772" s="1428"/>
      <c r="K772" s="1429"/>
      <c r="L772" s="1429"/>
      <c r="M772" s="1429"/>
      <c r="N772" s="1430"/>
      <c r="O772" s="1727"/>
      <c r="P772" s="1727"/>
      <c r="Q772" s="1727"/>
      <c r="R772" s="1727"/>
      <c r="S772" s="1727"/>
      <c r="T772" s="1599"/>
      <c r="U772" s="1600"/>
      <c r="V772" s="1600"/>
      <c r="W772" s="1601"/>
      <c r="X772" s="1428"/>
      <c r="Y772" s="1429"/>
      <c r="Z772" s="1429"/>
      <c r="AA772" s="1429"/>
      <c r="AB772" s="1430"/>
      <c r="AC772" s="1428"/>
      <c r="AD772" s="1429"/>
      <c r="AE772" s="1429"/>
      <c r="AF772" s="1429"/>
      <c r="AG772" s="143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05" customHeight="1">
      <c r="J773" s="1375" t="s">
        <v>164</v>
      </c>
      <c r="K773" s="1376"/>
      <c r="L773" s="1376"/>
      <c r="M773" s="1376"/>
      <c r="N773" s="1377"/>
      <c r="O773" s="1439">
        <v>1</v>
      </c>
      <c r="P773" s="1439"/>
      <c r="Q773" s="1439"/>
      <c r="R773" s="1439"/>
      <c r="S773" s="1439"/>
      <c r="T773" s="1431">
        <v>1339</v>
      </c>
      <c r="U773" s="1432"/>
      <c r="V773" s="1432"/>
      <c r="W773" s="1433"/>
      <c r="X773" s="1397">
        <v>0</v>
      </c>
      <c r="Y773" s="1398"/>
      <c r="Z773" s="1398"/>
      <c r="AA773" s="1398"/>
      <c r="AB773" s="1399"/>
      <c r="AC773" s="1378">
        <f>X773*O773</f>
        <v>0</v>
      </c>
      <c r="AD773" s="1379"/>
      <c r="AE773" s="1379"/>
      <c r="AF773" s="1379"/>
      <c r="AG773" s="138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05" customHeight="1">
      <c r="J774" s="1375"/>
      <c r="K774" s="1376"/>
      <c r="L774" s="1376"/>
      <c r="M774" s="1376"/>
      <c r="N774" s="1377"/>
      <c r="O774" s="1439"/>
      <c r="P774" s="1439"/>
      <c r="Q774" s="1439"/>
      <c r="R774" s="1439"/>
      <c r="S774" s="1439"/>
      <c r="T774" s="1431"/>
      <c r="U774" s="1432"/>
      <c r="V774" s="1432"/>
      <c r="W774" s="1433"/>
      <c r="X774" s="1397"/>
      <c r="Y774" s="1398"/>
      <c r="Z774" s="1398"/>
      <c r="AA774" s="1398"/>
      <c r="AB774" s="1399"/>
      <c r="AC774" s="1378">
        <f>X774*O774</f>
        <v>0</v>
      </c>
      <c r="AD774" s="1379"/>
      <c r="AE774" s="1379"/>
      <c r="AF774" s="1379"/>
      <c r="AG774" s="138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05" customHeight="1">
      <c r="J775" s="1375"/>
      <c r="K775" s="1376"/>
      <c r="L775" s="1376"/>
      <c r="M775" s="1376"/>
      <c r="N775" s="1377"/>
      <c r="O775" s="1439"/>
      <c r="P775" s="1439"/>
      <c r="Q775" s="1439"/>
      <c r="R775" s="1439"/>
      <c r="S775" s="1439"/>
      <c r="T775" s="1431"/>
      <c r="U775" s="1432"/>
      <c r="V775" s="1432"/>
      <c r="W775" s="1433"/>
      <c r="X775" s="1397"/>
      <c r="Y775" s="1398"/>
      <c r="Z775" s="1398"/>
      <c r="AA775" s="1398"/>
      <c r="AB775" s="1399"/>
      <c r="AC775" s="1378">
        <f>X775*O775</f>
        <v>0</v>
      </c>
      <c r="AD775" s="1379"/>
      <c r="AE775" s="1379"/>
      <c r="AF775" s="1379"/>
      <c r="AG775" s="138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05" customHeight="1">
      <c r="J776" s="1375"/>
      <c r="K776" s="1376"/>
      <c r="L776" s="1376"/>
      <c r="M776" s="1376"/>
      <c r="N776" s="1377"/>
      <c r="O776" s="1439"/>
      <c r="P776" s="1439"/>
      <c r="Q776" s="1439"/>
      <c r="R776" s="1439"/>
      <c r="S776" s="1439"/>
      <c r="T776" s="1431"/>
      <c r="U776" s="1432"/>
      <c r="V776" s="1432"/>
      <c r="W776" s="1433"/>
      <c r="X776" s="1397"/>
      <c r="Y776" s="1398"/>
      <c r="Z776" s="1398"/>
      <c r="AA776" s="1398"/>
      <c r="AB776" s="1399"/>
      <c r="AC776" s="1378">
        <f>X776*O776</f>
        <v>0</v>
      </c>
      <c r="AD776" s="1379"/>
      <c r="AE776" s="1379"/>
      <c r="AF776" s="1379"/>
      <c r="AG776" s="138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05" customHeight="1">
      <c r="J777" s="1615" t="s">
        <v>125</v>
      </c>
      <c r="K777" s="1616"/>
      <c r="L777" s="1616"/>
      <c r="M777" s="1616"/>
      <c r="N777" s="1617"/>
      <c r="O777" s="1409">
        <f>SUM(O773:S776)</f>
        <v>1</v>
      </c>
      <c r="P777" s="1709"/>
      <c r="Q777" s="1709"/>
      <c r="R777" s="1709"/>
      <c r="S777" s="1410"/>
      <c r="X777" s="1615" t="s">
        <v>124</v>
      </c>
      <c r="Y777" s="1616"/>
      <c r="Z777" s="1616"/>
      <c r="AA777" s="1616"/>
      <c r="AB777" s="1617"/>
      <c r="AC777" s="1378">
        <f>SUM(AC773:AG776)</f>
        <v>0</v>
      </c>
      <c r="AD777" s="1379"/>
      <c r="AE777" s="1379"/>
      <c r="AF777" s="1379"/>
      <c r="AG777" s="138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0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05" customHeight="1">
      <c r="B779" s="56"/>
      <c r="C779" s="56"/>
      <c r="D779" s="56"/>
      <c r="E779" s="56"/>
      <c r="F779" s="56"/>
      <c r="G779" s="6"/>
      <c r="H779" s="6"/>
      <c r="I779" s="6"/>
      <c r="J779" s="1456" t="s">
        <v>677</v>
      </c>
      <c r="K779" s="1456"/>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05" customHeight="1">
      <c r="B780" s="56"/>
      <c r="C780" s="56"/>
      <c r="D780" s="56"/>
      <c r="E780" s="56"/>
      <c r="F780" s="56"/>
      <c r="G780" s="6"/>
      <c r="H780" s="6"/>
      <c r="I780" s="6"/>
      <c r="J780" s="6"/>
      <c r="K780" s="6"/>
      <c r="L780" s="56"/>
      <c r="M780" s="35" t="s">
        <v>2404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0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0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05" customHeight="1">
      <c r="J783" s="1602" t="s">
        <v>390</v>
      </c>
      <c r="K783" s="1423"/>
      <c r="L783" s="1423"/>
      <c r="M783" s="1423"/>
      <c r="N783" s="1424"/>
      <c r="O783" s="1727" t="s">
        <v>286</v>
      </c>
      <c r="P783" s="1727"/>
      <c r="Q783" s="1727"/>
      <c r="R783" s="1727"/>
      <c r="S783" s="1727"/>
      <c r="T783" s="1387" t="s">
        <v>1868</v>
      </c>
      <c r="U783" s="1388"/>
      <c r="V783" s="1388"/>
      <c r="W783" s="1389"/>
      <c r="X783" s="1602" t="s">
        <v>455</v>
      </c>
      <c r="Y783" s="1423"/>
      <c r="Z783" s="1423"/>
      <c r="AA783" s="1423"/>
      <c r="AB783" s="1424"/>
      <c r="AC783" s="1602" t="s">
        <v>287</v>
      </c>
      <c r="AD783" s="1423"/>
      <c r="AE783" s="1423"/>
      <c r="AF783" s="1423"/>
      <c r="AG783" s="142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05" customHeight="1">
      <c r="J784" s="1425"/>
      <c r="K784" s="1426"/>
      <c r="L784" s="1426"/>
      <c r="M784" s="1426"/>
      <c r="N784" s="1427"/>
      <c r="O784" s="1727"/>
      <c r="P784" s="1727"/>
      <c r="Q784" s="1727"/>
      <c r="R784" s="1727"/>
      <c r="S784" s="1727"/>
      <c r="T784" s="1390"/>
      <c r="U784" s="1391"/>
      <c r="V784" s="1391"/>
      <c r="W784" s="1392"/>
      <c r="X784" s="1425"/>
      <c r="Y784" s="1426"/>
      <c r="Z784" s="1426"/>
      <c r="AA784" s="1426"/>
      <c r="AB784" s="1427"/>
      <c r="AC784" s="1425"/>
      <c r="AD784" s="1426"/>
      <c r="AE784" s="1426"/>
      <c r="AF784" s="1426"/>
      <c r="AG784" s="142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05" customHeight="1">
      <c r="J785" s="1425"/>
      <c r="K785" s="1426"/>
      <c r="L785" s="1426"/>
      <c r="M785" s="1426"/>
      <c r="N785" s="1427"/>
      <c r="O785" s="1727"/>
      <c r="P785" s="1727"/>
      <c r="Q785" s="1727"/>
      <c r="R785" s="1727"/>
      <c r="S785" s="1727"/>
      <c r="T785" s="1390"/>
      <c r="U785" s="1391"/>
      <c r="V785" s="1391"/>
      <c r="W785" s="1392"/>
      <c r="X785" s="1425"/>
      <c r="Y785" s="1426"/>
      <c r="Z785" s="1426"/>
      <c r="AA785" s="1426"/>
      <c r="AB785" s="1427"/>
      <c r="AC785" s="1425"/>
      <c r="AD785" s="1426"/>
      <c r="AE785" s="1426"/>
      <c r="AF785" s="1426"/>
      <c r="AG785" s="142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05" customHeight="1">
      <c r="J786" s="1428"/>
      <c r="K786" s="1429"/>
      <c r="L786" s="1429"/>
      <c r="M786" s="1429"/>
      <c r="N786" s="1430"/>
      <c r="O786" s="1727"/>
      <c r="P786" s="1727"/>
      <c r="Q786" s="1727"/>
      <c r="R786" s="1727"/>
      <c r="S786" s="1727"/>
      <c r="T786" s="1599"/>
      <c r="U786" s="1600"/>
      <c r="V786" s="1600"/>
      <c r="W786" s="1601"/>
      <c r="X786" s="1428"/>
      <c r="Y786" s="1429"/>
      <c r="Z786" s="1429"/>
      <c r="AA786" s="1429"/>
      <c r="AB786" s="1430"/>
      <c r="AC786" s="1428"/>
      <c r="AD786" s="1429"/>
      <c r="AE786" s="1429"/>
      <c r="AF786" s="1429"/>
      <c r="AG786" s="143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05" customHeight="1">
      <c r="J787" s="1375"/>
      <c r="K787" s="1376"/>
      <c r="L787" s="1376"/>
      <c r="M787" s="1376"/>
      <c r="N787" s="1377"/>
      <c r="O787" s="1439"/>
      <c r="P787" s="1439"/>
      <c r="Q787" s="1439"/>
      <c r="R787" s="1439"/>
      <c r="S787" s="1439"/>
      <c r="T787" s="1431"/>
      <c r="U787" s="1432"/>
      <c r="V787" s="1432"/>
      <c r="W787" s="1433"/>
      <c r="X787" s="1397"/>
      <c r="Y787" s="1398"/>
      <c r="Z787" s="1398"/>
      <c r="AA787" s="1398"/>
      <c r="AB787" s="1399"/>
      <c r="AC787" s="1378">
        <f t="shared" ref="AC787:AC796" si="59">X787*O787</f>
        <v>0</v>
      </c>
      <c r="AD787" s="1379"/>
      <c r="AE787" s="1379"/>
      <c r="AF787" s="1379"/>
      <c r="AG787" s="138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05" customHeight="1">
      <c r="A788"/>
      <c r="B788"/>
      <c r="C788"/>
      <c r="D788"/>
      <c r="E788"/>
      <c r="F788"/>
      <c r="G788"/>
      <c r="H788"/>
      <c r="I788"/>
      <c r="J788" s="1375"/>
      <c r="K788" s="1376"/>
      <c r="L788" s="1376"/>
      <c r="M788" s="1376"/>
      <c r="N788" s="1377"/>
      <c r="O788" s="1439"/>
      <c r="P788" s="1439"/>
      <c r="Q788" s="1439"/>
      <c r="R788" s="1439"/>
      <c r="S788" s="1439"/>
      <c r="T788" s="1431"/>
      <c r="U788" s="1432"/>
      <c r="V788" s="1432"/>
      <c r="W788" s="1433"/>
      <c r="X788" s="1397"/>
      <c r="Y788" s="1398"/>
      <c r="Z788" s="1398"/>
      <c r="AA788" s="1398"/>
      <c r="AB788" s="1399"/>
      <c r="AC788" s="1378">
        <f t="shared" si="59"/>
        <v>0</v>
      </c>
      <c r="AD788" s="1379"/>
      <c r="AE788" s="1379"/>
      <c r="AF788" s="1379"/>
      <c r="AG788" s="138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05" customHeight="1">
      <c r="A789"/>
      <c r="B789"/>
      <c r="C789"/>
      <c r="D789"/>
      <c r="E789"/>
      <c r="F789"/>
      <c r="G789"/>
      <c r="H789"/>
      <c r="I789"/>
      <c r="J789" s="1375"/>
      <c r="K789" s="1376"/>
      <c r="L789" s="1376"/>
      <c r="M789" s="1376"/>
      <c r="N789" s="1377"/>
      <c r="O789" s="1439"/>
      <c r="P789" s="1439"/>
      <c r="Q789" s="1439"/>
      <c r="R789" s="1439"/>
      <c r="S789" s="1439"/>
      <c r="T789" s="1431"/>
      <c r="U789" s="1432"/>
      <c r="V789" s="1432"/>
      <c r="W789" s="1433"/>
      <c r="X789" s="1397"/>
      <c r="Y789" s="1398"/>
      <c r="Z789" s="1398"/>
      <c r="AA789" s="1398"/>
      <c r="AB789" s="1399"/>
      <c r="AC789" s="1378">
        <f t="shared" si="59"/>
        <v>0</v>
      </c>
      <c r="AD789" s="1379"/>
      <c r="AE789" s="1379"/>
      <c r="AF789" s="1379"/>
      <c r="AG789" s="138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05" customHeight="1">
      <c r="A790"/>
      <c r="B790"/>
      <c r="C790"/>
      <c r="D790"/>
      <c r="E790"/>
      <c r="F790"/>
      <c r="G790"/>
      <c r="H790"/>
      <c r="I790"/>
      <c r="J790" s="1375"/>
      <c r="K790" s="1376"/>
      <c r="L790" s="1376"/>
      <c r="M790" s="1376"/>
      <c r="N790" s="1377"/>
      <c r="O790" s="1439"/>
      <c r="P790" s="1439"/>
      <c r="Q790" s="1439"/>
      <c r="R790" s="1439"/>
      <c r="S790" s="1439"/>
      <c r="T790" s="1431"/>
      <c r="U790" s="1432"/>
      <c r="V790" s="1432"/>
      <c r="W790" s="1433"/>
      <c r="X790" s="1397"/>
      <c r="Y790" s="1398"/>
      <c r="Z790" s="1398"/>
      <c r="AA790" s="1398"/>
      <c r="AB790" s="1399"/>
      <c r="AC790" s="1378">
        <f t="shared" si="59"/>
        <v>0</v>
      </c>
      <c r="AD790" s="1379"/>
      <c r="AE790" s="1379"/>
      <c r="AF790" s="1379"/>
      <c r="AG790" s="138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05" customHeight="1">
      <c r="A791"/>
      <c r="B791"/>
      <c r="C791"/>
      <c r="D791"/>
      <c r="E791"/>
      <c r="F791"/>
      <c r="G791"/>
      <c r="H791"/>
      <c r="I791"/>
      <c r="J791" s="1375"/>
      <c r="K791" s="1376"/>
      <c r="L791" s="1376"/>
      <c r="M791" s="1376"/>
      <c r="N791" s="1377"/>
      <c r="O791" s="1439"/>
      <c r="P791" s="1439"/>
      <c r="Q791" s="1439"/>
      <c r="R791" s="1439"/>
      <c r="S791" s="1439"/>
      <c r="T791" s="1431"/>
      <c r="U791" s="1432"/>
      <c r="V791" s="1432"/>
      <c r="W791" s="1433"/>
      <c r="X791" s="1397"/>
      <c r="Y791" s="1398"/>
      <c r="Z791" s="1398"/>
      <c r="AA791" s="1398"/>
      <c r="AB791" s="1399"/>
      <c r="AC791" s="1378">
        <f t="shared" si="59"/>
        <v>0</v>
      </c>
      <c r="AD791" s="1379"/>
      <c r="AE791" s="1379"/>
      <c r="AF791" s="1379"/>
      <c r="AG791" s="138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05" customHeight="1">
      <c r="A792"/>
      <c r="B792"/>
      <c r="C792"/>
      <c r="D792"/>
      <c r="E792"/>
      <c r="F792"/>
      <c r="G792"/>
      <c r="H792"/>
      <c r="I792"/>
      <c r="J792" s="1375"/>
      <c r="K792" s="1376"/>
      <c r="L792" s="1376"/>
      <c r="M792" s="1376"/>
      <c r="N792" s="1377"/>
      <c r="O792" s="1439"/>
      <c r="P792" s="1439"/>
      <c r="Q792" s="1439"/>
      <c r="R792" s="1439"/>
      <c r="S792" s="1439"/>
      <c r="T792" s="1431"/>
      <c r="U792" s="1432"/>
      <c r="V792" s="1432"/>
      <c r="W792" s="1433"/>
      <c r="X792" s="1397"/>
      <c r="Y792" s="1398"/>
      <c r="Z792" s="1398"/>
      <c r="AA792" s="1398"/>
      <c r="AB792" s="1399"/>
      <c r="AC792" s="1378">
        <f t="shared" si="59"/>
        <v>0</v>
      </c>
      <c r="AD792" s="1379"/>
      <c r="AE792" s="1379"/>
      <c r="AF792" s="1379"/>
      <c r="AG792" s="138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05" customHeight="1">
      <c r="A793"/>
      <c r="B793"/>
      <c r="C793"/>
      <c r="D793"/>
      <c r="E793"/>
      <c r="F793"/>
      <c r="G793"/>
      <c r="H793"/>
      <c r="I793"/>
      <c r="J793" s="1375"/>
      <c r="K793" s="1376"/>
      <c r="L793" s="1376"/>
      <c r="M793" s="1376"/>
      <c r="N793" s="1377"/>
      <c r="O793" s="1439"/>
      <c r="P793" s="1439"/>
      <c r="Q793" s="1439"/>
      <c r="R793" s="1439"/>
      <c r="S793" s="1439"/>
      <c r="T793" s="1431"/>
      <c r="U793" s="1432"/>
      <c r="V793" s="1432"/>
      <c r="W793" s="1433"/>
      <c r="X793" s="1397"/>
      <c r="Y793" s="1398"/>
      <c r="Z793" s="1398"/>
      <c r="AA793" s="1398"/>
      <c r="AB793" s="1399"/>
      <c r="AC793" s="1378">
        <f t="shared" si="59"/>
        <v>0</v>
      </c>
      <c r="AD793" s="1379"/>
      <c r="AE793" s="1379"/>
      <c r="AF793" s="1379"/>
      <c r="AG793" s="138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05" customHeight="1">
      <c r="A794"/>
      <c r="B794"/>
      <c r="C794"/>
      <c r="D794"/>
      <c r="E794"/>
      <c r="F794"/>
      <c r="G794"/>
      <c r="H794"/>
      <c r="I794"/>
      <c r="J794" s="1375"/>
      <c r="K794" s="1376"/>
      <c r="L794" s="1376"/>
      <c r="M794" s="1376"/>
      <c r="N794" s="1377"/>
      <c r="O794" s="1439"/>
      <c r="P794" s="1439"/>
      <c r="Q794" s="1439"/>
      <c r="R794" s="1439"/>
      <c r="S794" s="1439"/>
      <c r="T794" s="1431"/>
      <c r="U794" s="1432"/>
      <c r="V794" s="1432"/>
      <c r="W794" s="1433"/>
      <c r="X794" s="1397"/>
      <c r="Y794" s="1398"/>
      <c r="Z794" s="1398"/>
      <c r="AA794" s="1398"/>
      <c r="AB794" s="1399"/>
      <c r="AC794" s="1378">
        <f t="shared" si="59"/>
        <v>0</v>
      </c>
      <c r="AD794" s="1379"/>
      <c r="AE794" s="1379"/>
      <c r="AF794" s="1379"/>
      <c r="AG794" s="138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05" customHeight="1">
      <c r="A795"/>
      <c r="B795"/>
      <c r="C795"/>
      <c r="D795"/>
      <c r="E795"/>
      <c r="F795"/>
      <c r="G795"/>
      <c r="H795"/>
      <c r="I795"/>
      <c r="J795" s="1375"/>
      <c r="K795" s="1376"/>
      <c r="L795" s="1376"/>
      <c r="M795" s="1376"/>
      <c r="N795" s="1377"/>
      <c r="O795" s="1439"/>
      <c r="P795" s="1439"/>
      <c r="Q795" s="1439"/>
      <c r="R795" s="1439"/>
      <c r="S795" s="1439"/>
      <c r="T795" s="1431"/>
      <c r="U795" s="1432"/>
      <c r="V795" s="1432"/>
      <c r="W795" s="1433"/>
      <c r="X795" s="1397"/>
      <c r="Y795" s="1398"/>
      <c r="Z795" s="1398"/>
      <c r="AA795" s="1398"/>
      <c r="AB795" s="1399"/>
      <c r="AC795" s="1378">
        <f t="shared" si="59"/>
        <v>0</v>
      </c>
      <c r="AD795" s="1379"/>
      <c r="AE795" s="1379"/>
      <c r="AF795" s="1379"/>
      <c r="AG795" s="138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05" customHeight="1">
      <c r="A796"/>
      <c r="B796"/>
      <c r="C796"/>
      <c r="D796"/>
      <c r="E796"/>
      <c r="F796"/>
      <c r="G796"/>
      <c r="H796"/>
      <c r="I796"/>
      <c r="J796" s="1375"/>
      <c r="K796" s="1376"/>
      <c r="L796" s="1376"/>
      <c r="M796" s="1376"/>
      <c r="N796" s="1377"/>
      <c r="O796" s="1439"/>
      <c r="P796" s="1439"/>
      <c r="Q796" s="1439"/>
      <c r="R796" s="1439"/>
      <c r="S796" s="1439"/>
      <c r="T796" s="1431"/>
      <c r="U796" s="1432"/>
      <c r="V796" s="1432"/>
      <c r="W796" s="1433"/>
      <c r="X796" s="1397"/>
      <c r="Y796" s="1398"/>
      <c r="Z796" s="1398"/>
      <c r="AA796" s="1398"/>
      <c r="AB796" s="1399"/>
      <c r="AC796" s="1378">
        <f t="shared" si="59"/>
        <v>0</v>
      </c>
      <c r="AD796" s="1379"/>
      <c r="AE796" s="1379"/>
      <c r="AF796" s="1379"/>
      <c r="AG796" s="1380"/>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01" t="s">
        <v>477</v>
      </c>
      <c r="BO796" s="1702"/>
      <c r="BP796" s="3"/>
      <c r="BQ796" s="3"/>
      <c r="BR796" s="3"/>
      <c r="BS796" s="14" t="s">
        <v>642</v>
      </c>
      <c r="BT796" s="14"/>
      <c r="BU796" s="14"/>
      <c r="BV796" s="14"/>
      <c r="BW796" s="14"/>
      <c r="BX796" s="14"/>
      <c r="BY796" s="14"/>
      <c r="BZ796" s="14"/>
      <c r="CA796" s="14"/>
      <c r="CB796" s="1698" t="str">
        <f>T189</f>
        <v>Sacramento</v>
      </c>
      <c r="CC796" s="1699"/>
      <c r="CD796" s="1699"/>
      <c r="CE796" s="1699"/>
      <c r="CF796" s="1699"/>
      <c r="CG796" s="1699"/>
      <c r="CH796" s="170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05" customHeight="1">
      <c r="A797"/>
      <c r="B797"/>
      <c r="C797"/>
      <c r="D797"/>
      <c r="E797"/>
      <c r="F797"/>
      <c r="G797"/>
      <c r="H797"/>
      <c r="I797"/>
      <c r="J797" s="1615" t="s">
        <v>125</v>
      </c>
      <c r="K797" s="1616"/>
      <c r="L797" s="1616"/>
      <c r="M797" s="1616"/>
      <c r="N797" s="1617"/>
      <c r="O797" s="1726">
        <f>SUM(O787:S796)</f>
        <v>0</v>
      </c>
      <c r="P797" s="1726"/>
      <c r="Q797" s="1726"/>
      <c r="R797" s="1726"/>
      <c r="S797" s="1726"/>
      <c r="T797"/>
      <c r="U797"/>
      <c r="V797"/>
      <c r="W797"/>
      <c r="X797" s="937" t="s">
        <v>124</v>
      </c>
      <c r="Y797" s="11"/>
      <c r="Z797" s="11"/>
      <c r="AA797" s="11"/>
      <c r="AB797" s="944"/>
      <c r="AC797" s="1378">
        <f>SUM(AC787:AG796)</f>
        <v>0</v>
      </c>
      <c r="AD797" s="1379"/>
      <c r="AE797" s="1379"/>
      <c r="AF797" s="1379"/>
      <c r="AG797" s="138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05" customHeight="1">
      <c r="A798"/>
      <c r="B798"/>
      <c r="C798" s="1523" t="str">
        <f>IF(O797&lt;&gt;AG438,"! Total market rate units in the Unit Mix Table above does not match the number of  market rate units on row #"&amp;TEXT(ROW(D438),"#"),"")</f>
        <v/>
      </c>
      <c r="D798" s="1523"/>
      <c r="E798" s="1523"/>
      <c r="F798" s="1523"/>
      <c r="G798" s="1523"/>
      <c r="H798" s="1523"/>
      <c r="I798" s="1523"/>
      <c r="J798" s="1523"/>
      <c r="K798" s="1523"/>
      <c r="L798" s="1523"/>
      <c r="M798" s="1523"/>
      <c r="N798" s="1523"/>
      <c r="O798" s="1523"/>
      <c r="P798" s="1523"/>
      <c r="Q798" s="1523"/>
      <c r="R798" s="1523"/>
      <c r="S798" s="1523"/>
      <c r="T798" s="1523"/>
      <c r="U798" s="1523"/>
      <c r="V798" s="1523"/>
      <c r="W798" s="1523"/>
      <c r="X798" s="1523"/>
      <c r="Y798" s="1523"/>
      <c r="Z798" s="1523"/>
      <c r="AA798" s="1523"/>
      <c r="AB798" s="1523"/>
      <c r="AC798" s="1523"/>
      <c r="AD798" s="1523"/>
      <c r="AE798" s="1523"/>
      <c r="AF798" s="1523"/>
      <c r="AG798" s="1523"/>
      <c r="AH798" s="1523"/>
      <c r="AI798" s="1523"/>
      <c r="AJ798" s="1523"/>
      <c r="AK798" s="1523"/>
      <c r="AL798" s="1523"/>
      <c r="AM798" s="1523"/>
      <c r="AN798" s="152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05" customHeight="1">
      <c r="A799"/>
      <c r="B799"/>
      <c r="C799" s="1523"/>
      <c r="D799" s="1523"/>
      <c r="E799" s="1523"/>
      <c r="F799" s="1523"/>
      <c r="G799" s="1523"/>
      <c r="H799" s="1523"/>
      <c r="I799" s="1523"/>
      <c r="J799" s="1523"/>
      <c r="K799" s="1523"/>
      <c r="L799" s="1523"/>
      <c r="M799" s="1523"/>
      <c r="N799" s="1523"/>
      <c r="O799" s="1523"/>
      <c r="P799" s="1523"/>
      <c r="Q799" s="1523"/>
      <c r="R799" s="1523"/>
      <c r="S799" s="1523"/>
      <c r="T799" s="1523"/>
      <c r="U799" s="1523"/>
      <c r="V799" s="1523"/>
      <c r="W799" s="1523"/>
      <c r="X799" s="1523"/>
      <c r="Y799" s="1523"/>
      <c r="Z799" s="1523"/>
      <c r="AA799" s="1523"/>
      <c r="AB799" s="1523"/>
      <c r="AC799" s="1523"/>
      <c r="AD799" s="1523"/>
      <c r="AE799" s="1523"/>
      <c r="AF799" s="1523"/>
      <c r="AG799" s="1523"/>
      <c r="AH799" s="1523"/>
      <c r="AI799" s="1523"/>
      <c r="AJ799" s="1523"/>
      <c r="AK799" s="1523"/>
      <c r="AL799" s="1523"/>
      <c r="AM799" s="1523"/>
      <c r="AN799" s="152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2626</v>
      </c>
      <c r="BP799" s="32"/>
      <c r="BQ799" s="32"/>
      <c r="BR799" s="32"/>
      <c r="BS799" s="32"/>
      <c r="BT799" s="32"/>
      <c r="BU799" s="14"/>
      <c r="BV799" s="31" t="s">
        <v>2627</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604">
        <f>O753+AC777+AC797</f>
        <v>175027</v>
      </c>
      <c r="Z800" s="1604"/>
      <c r="AA800" s="1604"/>
      <c r="AB800" s="1604"/>
      <c r="AC800" s="160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4">
        <f>(O753+AC777+AC797)*12</f>
        <v>2100324</v>
      </c>
      <c r="Z801" s="1604"/>
      <c r="AA801" s="1604"/>
      <c r="AB801" s="1604"/>
      <c r="AC801" s="160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0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0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0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24">
        <v>8</v>
      </c>
      <c r="AA806" s="1625"/>
      <c r="AB806" s="1625"/>
      <c r="AC806" s="1625"/>
      <c r="AD806" s="1625"/>
      <c r="AE806" s="162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0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51">
        <v>20</v>
      </c>
      <c r="AA807" s="1625"/>
      <c r="AB807" s="1625"/>
      <c r="AC807" s="1625"/>
      <c r="AD807" s="1625"/>
      <c r="AE807" s="162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1">
        <v>53540</v>
      </c>
      <c r="AA808" s="1612"/>
      <c r="AB808" s="1612"/>
      <c r="AC808" s="1612"/>
      <c r="AD808" s="1612"/>
      <c r="AE808" s="161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06">
        <f>'Subsidy Contract Calculation'!J40</f>
        <v>179193.59999999998</v>
      </c>
      <c r="AA809" s="1607"/>
      <c r="AB809" s="1607"/>
      <c r="AC809" s="1607"/>
      <c r="AD809" s="1607"/>
      <c r="AE809" s="160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0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92">
        <v>20160</v>
      </c>
      <c r="AA813" s="1593"/>
      <c r="AB813" s="1593"/>
      <c r="AC813" s="1593"/>
      <c r="AD813" s="1593"/>
      <c r="AE813" s="159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92"/>
      <c r="AA814" s="1593"/>
      <c r="AB814" s="1593"/>
      <c r="AC814" s="1593"/>
      <c r="AD814" s="1593"/>
      <c r="AE814" s="159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92"/>
      <c r="AA815" s="1593"/>
      <c r="AB815" s="1593"/>
      <c r="AC815" s="1593"/>
      <c r="AD815" s="1593"/>
      <c r="AE815" s="159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05" customHeight="1">
      <c r="A816"/>
      <c r="B816"/>
      <c r="C816"/>
      <c r="D816"/>
      <c r="E816"/>
      <c r="F816"/>
      <c r="G816"/>
      <c r="H816" s="45" t="s">
        <v>39</v>
      </c>
      <c r="I816" s="5"/>
      <c r="J816" s="5"/>
      <c r="K816" s="5"/>
      <c r="L816" s="5"/>
      <c r="M816" s="5"/>
      <c r="N816" s="5"/>
      <c r="O816" s="5"/>
      <c r="P816" s="1622" t="s">
        <v>2741</v>
      </c>
      <c r="Q816" s="1623"/>
      <c r="R816" s="1623"/>
      <c r="S816" s="1623"/>
      <c r="T816" s="1623"/>
      <c r="U816" s="1623"/>
      <c r="V816" s="1623"/>
      <c r="W816" s="1623"/>
      <c r="X816" s="1623"/>
      <c r="Y816" s="1629"/>
      <c r="Z816" s="1592">
        <v>6720</v>
      </c>
      <c r="AA816" s="1593"/>
      <c r="AB816" s="1593"/>
      <c r="AC816" s="1593"/>
      <c r="AD816" s="1593"/>
      <c r="AE816" s="159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06">
        <f>SUM(Z813:AE816)</f>
        <v>26880</v>
      </c>
      <c r="AA817" s="1607"/>
      <c r="AB817" s="1607"/>
      <c r="AC817" s="1607"/>
      <c r="AD817" s="1607"/>
      <c r="AE817" s="160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06">
        <f>Z817+Y801+Z809</f>
        <v>2306397.6</v>
      </c>
      <c r="AA818" s="1607"/>
      <c r="AB818" s="1607"/>
      <c r="AC818" s="1607"/>
      <c r="AD818" s="1607"/>
      <c r="AE818" s="160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0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0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05" customHeight="1">
      <c r="A823"/>
      <c r="B823"/>
      <c r="C823" s="41"/>
      <c r="D823" s="42"/>
      <c r="E823" s="42"/>
      <c r="F823" s="42"/>
      <c r="G823" s="42"/>
      <c r="H823" s="42"/>
      <c r="I823" s="42"/>
      <c r="J823" s="42"/>
      <c r="K823" s="42"/>
      <c r="L823" s="58"/>
      <c r="M823" s="1618" t="s">
        <v>126</v>
      </c>
      <c r="N823" s="1618"/>
      <c r="O823" s="1618"/>
      <c r="P823" s="1619"/>
      <c r="Q823" s="1605" t="s">
        <v>291</v>
      </c>
      <c r="R823" s="1605"/>
      <c r="S823" s="1605"/>
      <c r="T823" s="1605"/>
      <c r="U823" s="1605" t="s">
        <v>292</v>
      </c>
      <c r="V823" s="1605"/>
      <c r="W823" s="1605"/>
      <c r="X823" s="1605"/>
      <c r="Y823" s="1605" t="s">
        <v>293</v>
      </c>
      <c r="Z823" s="1605"/>
      <c r="AA823" s="1605"/>
      <c r="AB823" s="1605"/>
      <c r="AC823" s="1605" t="s">
        <v>362</v>
      </c>
      <c r="AD823" s="1605"/>
      <c r="AE823" s="1605"/>
      <c r="AF823" s="1605"/>
      <c r="AG823" s="1603" t="s">
        <v>336</v>
      </c>
      <c r="AH823" s="1603"/>
      <c r="AI823" s="1603"/>
      <c r="AJ823" s="160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05" customHeight="1">
      <c r="A824"/>
      <c r="B824"/>
      <c r="C824" s="47"/>
      <c r="D824" s="48"/>
      <c r="E824" s="48"/>
      <c r="F824" s="48"/>
      <c r="G824" s="48"/>
      <c r="H824" s="48"/>
      <c r="I824" s="48"/>
      <c r="J824" s="48"/>
      <c r="K824" s="48"/>
      <c r="L824" s="49"/>
      <c r="M824" s="1620"/>
      <c r="N824" s="1620"/>
      <c r="O824" s="1620"/>
      <c r="P824" s="1621"/>
      <c r="Q824" s="1605"/>
      <c r="R824" s="1605"/>
      <c r="S824" s="1605"/>
      <c r="T824" s="1605"/>
      <c r="U824" s="1605"/>
      <c r="V824" s="1605"/>
      <c r="W824" s="1605"/>
      <c r="X824" s="1605"/>
      <c r="Y824" s="1605"/>
      <c r="Z824" s="1605"/>
      <c r="AA824" s="1605"/>
      <c r="AB824" s="1605"/>
      <c r="AC824" s="1605"/>
      <c r="AD824" s="1605"/>
      <c r="AE824" s="1605"/>
      <c r="AF824" s="1605"/>
      <c r="AG824" s="1603"/>
      <c r="AH824" s="1603"/>
      <c r="AI824" s="1603"/>
      <c r="AJ824" s="1603"/>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05" customHeight="1">
      <c r="A825"/>
      <c r="B825"/>
      <c r="C825" s="1627" t="s">
        <v>40</v>
      </c>
      <c r="D825" s="1373"/>
      <c r="E825" s="1373"/>
      <c r="F825" s="1373"/>
      <c r="G825" s="1373"/>
      <c r="H825" s="1373"/>
      <c r="I825" s="48"/>
      <c r="J825" s="48"/>
      <c r="K825" s="48"/>
      <c r="L825" s="49"/>
      <c r="M825" s="1610"/>
      <c r="N825" s="1610"/>
      <c r="O825" s="1610"/>
      <c r="P825" s="1610"/>
      <c r="Q825" s="1610">
        <v>13</v>
      </c>
      <c r="R825" s="1610"/>
      <c r="S825" s="1610"/>
      <c r="T825" s="1610"/>
      <c r="U825" s="1610">
        <v>16</v>
      </c>
      <c r="V825" s="1610"/>
      <c r="W825" s="1610"/>
      <c r="X825" s="1610"/>
      <c r="Y825" s="1610">
        <v>20</v>
      </c>
      <c r="Z825" s="1610"/>
      <c r="AA825" s="1610"/>
      <c r="AB825" s="1610"/>
      <c r="AC825" s="1596"/>
      <c r="AD825" s="1597"/>
      <c r="AE825" s="1597"/>
      <c r="AF825" s="1598"/>
      <c r="AG825" s="1596"/>
      <c r="AH825" s="1597"/>
      <c r="AI825" s="1597"/>
      <c r="AJ825" s="1598"/>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05" customHeight="1">
      <c r="A826"/>
      <c r="B826"/>
      <c r="C826" s="1475" t="s">
        <v>41</v>
      </c>
      <c r="D826" s="1457"/>
      <c r="E826" s="1457"/>
      <c r="F826" s="1457"/>
      <c r="G826" s="1457"/>
      <c r="H826" s="1457"/>
      <c r="I826" s="5"/>
      <c r="J826" s="5"/>
      <c r="K826" s="5"/>
      <c r="L826" s="46"/>
      <c r="M826" s="1610"/>
      <c r="N826" s="1610"/>
      <c r="O826" s="1610"/>
      <c r="P826" s="1610"/>
      <c r="Q826" s="1610"/>
      <c r="R826" s="1610"/>
      <c r="S826" s="1610"/>
      <c r="T826" s="1610"/>
      <c r="U826" s="1610"/>
      <c r="V826" s="1610"/>
      <c r="W826" s="1610"/>
      <c r="X826" s="1610"/>
      <c r="Y826" s="1610"/>
      <c r="Z826" s="1610"/>
      <c r="AA826" s="1610"/>
      <c r="AB826" s="1610"/>
      <c r="AC826" s="1596"/>
      <c r="AD826" s="1597"/>
      <c r="AE826" s="1597"/>
      <c r="AF826" s="1598"/>
      <c r="AG826" s="1596"/>
      <c r="AH826" s="1597"/>
      <c r="AI826" s="1597"/>
      <c r="AJ826" s="1598"/>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05" customHeight="1">
      <c r="A827"/>
      <c r="B827"/>
      <c r="C827" s="1475" t="s">
        <v>42</v>
      </c>
      <c r="D827" s="1457"/>
      <c r="E827" s="1457"/>
      <c r="F827" s="1457"/>
      <c r="G827" s="1457"/>
      <c r="H827" s="1457"/>
      <c r="I827" s="60"/>
      <c r="J827" s="60"/>
      <c r="K827" s="60"/>
      <c r="L827" s="61"/>
      <c r="M827" s="1610"/>
      <c r="N827" s="1610"/>
      <c r="O827" s="1610"/>
      <c r="P827" s="1610"/>
      <c r="Q827" s="1610">
        <v>7</v>
      </c>
      <c r="R827" s="1610"/>
      <c r="S827" s="1610"/>
      <c r="T827" s="1610"/>
      <c r="U827" s="1610">
        <v>10</v>
      </c>
      <c r="V827" s="1610"/>
      <c r="W827" s="1610"/>
      <c r="X827" s="1610"/>
      <c r="Y827" s="1610">
        <v>13</v>
      </c>
      <c r="Z827" s="1610"/>
      <c r="AA827" s="1610"/>
      <c r="AB827" s="1610"/>
      <c r="AC827" s="1596"/>
      <c r="AD827" s="1597"/>
      <c r="AE827" s="1597"/>
      <c r="AF827" s="1598"/>
      <c r="AG827" s="1596"/>
      <c r="AH827" s="1597"/>
      <c r="AI827" s="1597"/>
      <c r="AJ827" s="1598"/>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05" customHeight="1">
      <c r="A828"/>
      <c r="B828"/>
      <c r="C828" s="1475" t="s">
        <v>771</v>
      </c>
      <c r="D828" s="1457"/>
      <c r="E828" s="1457"/>
      <c r="F828" s="1457"/>
      <c r="G828" s="1457"/>
      <c r="H828" s="1457"/>
      <c r="I828" s="60"/>
      <c r="J828" s="60"/>
      <c r="K828" s="60"/>
      <c r="L828" s="61"/>
      <c r="M828" s="1610"/>
      <c r="N828" s="1610"/>
      <c r="O828" s="1610"/>
      <c r="P828" s="1610"/>
      <c r="Q828" s="1610">
        <v>26</v>
      </c>
      <c r="R828" s="1610"/>
      <c r="S828" s="1610"/>
      <c r="T828" s="1610"/>
      <c r="U828" s="1610">
        <v>36</v>
      </c>
      <c r="V828" s="1610"/>
      <c r="W828" s="1610"/>
      <c r="X828" s="1610"/>
      <c r="Y828" s="1610">
        <v>46</v>
      </c>
      <c r="Z828" s="1610"/>
      <c r="AA828" s="1610"/>
      <c r="AB828" s="1610"/>
      <c r="AC828" s="1596"/>
      <c r="AD828" s="1597"/>
      <c r="AE828" s="1597"/>
      <c r="AF828" s="1598"/>
      <c r="AG828" s="1596"/>
      <c r="AH828" s="1597"/>
      <c r="AI828" s="1597"/>
      <c r="AJ828" s="1598"/>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05" customHeight="1">
      <c r="A829"/>
      <c r="B829"/>
      <c r="C829" s="1475" t="s">
        <v>467</v>
      </c>
      <c r="D829" s="1457"/>
      <c r="E829" s="1457"/>
      <c r="F829" s="1457"/>
      <c r="G829" s="1457"/>
      <c r="H829" s="1457"/>
      <c r="I829" s="60"/>
      <c r="J829" s="60"/>
      <c r="K829" s="60"/>
      <c r="L829" s="61"/>
      <c r="M829" s="1610"/>
      <c r="N829" s="1610"/>
      <c r="O829" s="1610"/>
      <c r="P829" s="1610"/>
      <c r="Q829" s="1610"/>
      <c r="R829" s="1610"/>
      <c r="S829" s="1610"/>
      <c r="T829" s="1610"/>
      <c r="U829" s="1610"/>
      <c r="V829" s="1610"/>
      <c r="W829" s="1610"/>
      <c r="X829" s="1610"/>
      <c r="Y829" s="1610"/>
      <c r="Z829" s="1610"/>
      <c r="AA829" s="1610"/>
      <c r="AB829" s="1610"/>
      <c r="AC829" s="1596"/>
      <c r="AD829" s="1597"/>
      <c r="AE829" s="1597"/>
      <c r="AF829" s="1598"/>
      <c r="AG829" s="1596"/>
      <c r="AH829" s="1597"/>
      <c r="AI829" s="1597"/>
      <c r="AJ829" s="1598"/>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05" customHeight="1">
      <c r="A830"/>
      <c r="B830"/>
      <c r="C830" s="1730" t="s">
        <v>792</v>
      </c>
      <c r="D830" s="1457"/>
      <c r="E830" s="1457"/>
      <c r="F830" s="1457"/>
      <c r="G830" s="1457"/>
      <c r="H830" s="1457"/>
      <c r="I830" s="60"/>
      <c r="J830" s="60"/>
      <c r="K830" s="60"/>
      <c r="L830" s="61"/>
      <c r="M830" s="1610"/>
      <c r="N830" s="1610"/>
      <c r="O830" s="1610"/>
      <c r="P830" s="1610"/>
      <c r="Q830" s="1610"/>
      <c r="R830" s="1610"/>
      <c r="S830" s="1610"/>
      <c r="T830" s="1610"/>
      <c r="U830" s="1610"/>
      <c r="V830" s="1610"/>
      <c r="W830" s="1610"/>
      <c r="X830" s="1610"/>
      <c r="Y830" s="1610"/>
      <c r="Z830" s="1610"/>
      <c r="AA830" s="1610"/>
      <c r="AB830" s="1610"/>
      <c r="AC830" s="1596"/>
      <c r="AD830" s="1597"/>
      <c r="AE830" s="1597"/>
      <c r="AF830" s="1598"/>
      <c r="AG830" s="1596"/>
      <c r="AH830" s="1597"/>
      <c r="AI830" s="1597"/>
      <c r="AJ830" s="1598"/>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05" customHeight="1">
      <c r="A831"/>
      <c r="B831"/>
      <c r="C831" s="59" t="s">
        <v>294</v>
      </c>
      <c r="D831" s="60"/>
      <c r="E831" s="60"/>
      <c r="F831" s="1622" t="s">
        <v>2721</v>
      </c>
      <c r="G831" s="1623"/>
      <c r="H831" s="1623"/>
      <c r="I831" s="1623"/>
      <c r="J831" s="1623"/>
      <c r="K831" s="1623"/>
      <c r="L831" s="1623"/>
      <c r="M831" s="1610"/>
      <c r="N831" s="1610"/>
      <c r="O831" s="1610"/>
      <c r="P831" s="1610"/>
      <c r="Q831" s="1610">
        <f>13+23</f>
        <v>36</v>
      </c>
      <c r="R831" s="1610"/>
      <c r="S831" s="1610"/>
      <c r="T831" s="1610"/>
      <c r="U831" s="1610">
        <f>18+23</f>
        <v>41</v>
      </c>
      <c r="V831" s="1610"/>
      <c r="W831" s="1610"/>
      <c r="X831" s="1610"/>
      <c r="Y831" s="1610">
        <f>23+23</f>
        <v>46</v>
      </c>
      <c r="Z831" s="1610"/>
      <c r="AA831" s="1610"/>
      <c r="AB831" s="1610"/>
      <c r="AC831" s="1596"/>
      <c r="AD831" s="1597"/>
      <c r="AE831" s="1597"/>
      <c r="AF831" s="1598"/>
      <c r="AG831" s="1596"/>
      <c r="AH831" s="1597"/>
      <c r="AI831" s="1597"/>
      <c r="AJ831" s="1598"/>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05" customHeight="1">
      <c r="A832"/>
      <c r="B832"/>
      <c r="C832" s="1615" t="s">
        <v>124</v>
      </c>
      <c r="D832" s="1616"/>
      <c r="E832" s="1616"/>
      <c r="F832" s="1616"/>
      <c r="G832" s="1616"/>
      <c r="H832" s="1616"/>
      <c r="I832" s="1616"/>
      <c r="J832" s="1616"/>
      <c r="K832" s="1616"/>
      <c r="L832" s="1617"/>
      <c r="M832" s="1614">
        <f>SUM(M825:P831)</f>
        <v>0</v>
      </c>
      <c r="N832" s="1614"/>
      <c r="O832" s="1614"/>
      <c r="P832" s="1614"/>
      <c r="Q832" s="1614">
        <f>SUM(Q825:T831)</f>
        <v>82</v>
      </c>
      <c r="R832" s="1614"/>
      <c r="S832" s="1614"/>
      <c r="T832" s="1614"/>
      <c r="U832" s="1614">
        <f>SUM(U825:X831)</f>
        <v>103</v>
      </c>
      <c r="V832" s="1614"/>
      <c r="W832" s="1614"/>
      <c r="X832" s="1614"/>
      <c r="Y832" s="1614">
        <f>SUM(Y825:AB831)</f>
        <v>125</v>
      </c>
      <c r="Z832" s="1614"/>
      <c r="AA832" s="1614"/>
      <c r="AB832" s="1614"/>
      <c r="AC832" s="1614">
        <f>SUM(AC825:AF831)</f>
        <v>0</v>
      </c>
      <c r="AD832" s="1614"/>
      <c r="AE832" s="1614"/>
      <c r="AF832" s="1614"/>
      <c r="AG832" s="1614">
        <f>SUM(AG825:AJ831)</f>
        <v>0</v>
      </c>
      <c r="AH832" s="1614"/>
      <c r="AI832" s="1614"/>
      <c r="AJ832" s="161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0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0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0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05" customHeight="1">
      <c r="A837"/>
      <c r="B837"/>
      <c r="C837" s="1706" t="s">
        <v>2742</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0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0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3">
        <f>ROUNDDOWN(BC939*2,2)</f>
        <v>0</v>
      </c>
      <c r="BJ841" s="1643"/>
      <c r="BK841" s="1643"/>
      <c r="BL841" s="1643"/>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05" customHeight="1">
      <c r="A842"/>
      <c r="B842"/>
      <c r="C842" s="2" t="s">
        <v>344</v>
      </c>
      <c r="D842"/>
      <c r="E842"/>
      <c r="F842"/>
      <c r="G842"/>
      <c r="H842"/>
      <c r="I842"/>
      <c r="J842" s="45" t="s">
        <v>357</v>
      </c>
      <c r="K842" s="5"/>
      <c r="L842" s="5"/>
      <c r="M842" s="5"/>
      <c r="N842" s="5"/>
      <c r="O842" s="5"/>
      <c r="P842" s="5"/>
      <c r="Q842" s="5"/>
      <c r="R842" s="5"/>
      <c r="S842" s="5"/>
      <c r="T842" s="5"/>
      <c r="U842" s="5"/>
      <c r="V842" s="46"/>
      <c r="W842" s="1609">
        <v>10000</v>
      </c>
      <c r="X842" s="1609"/>
      <c r="Y842" s="1609"/>
      <c r="Z842" s="1609"/>
      <c r="AA842" s="1609"/>
      <c r="AB842" s="1609"/>
      <c r="AC842" s="1609"/>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05" customHeight="1">
      <c r="A843"/>
      <c r="B843"/>
      <c r="C843"/>
      <c r="D843"/>
      <c r="E843"/>
      <c r="F843"/>
      <c r="G843"/>
      <c r="H843"/>
      <c r="I843"/>
      <c r="J843" s="45" t="s">
        <v>356</v>
      </c>
      <c r="K843" s="5"/>
      <c r="L843" s="5"/>
      <c r="M843" s="5"/>
      <c r="N843" s="5"/>
      <c r="O843" s="5"/>
      <c r="P843" s="5"/>
      <c r="Q843" s="5"/>
      <c r="R843" s="5"/>
      <c r="S843" s="5"/>
      <c r="T843" s="5"/>
      <c r="U843" s="5"/>
      <c r="V843" s="46"/>
      <c r="W843" s="1609">
        <v>54416</v>
      </c>
      <c r="X843" s="1609"/>
      <c r="Y843" s="1609"/>
      <c r="Z843" s="1609"/>
      <c r="AA843" s="1609"/>
      <c r="AB843" s="1609"/>
      <c r="AC843" s="1609"/>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05" customHeight="1">
      <c r="J844" s="45" t="s">
        <v>355</v>
      </c>
      <c r="K844" s="5"/>
      <c r="L844" s="5"/>
      <c r="M844" s="5"/>
      <c r="N844" s="5"/>
      <c r="O844" s="5"/>
      <c r="P844" s="5"/>
      <c r="Q844" s="5"/>
      <c r="R844" s="5"/>
      <c r="S844" s="5"/>
      <c r="T844" s="5"/>
      <c r="U844" s="5"/>
      <c r="V844" s="46"/>
      <c r="W844" s="1609">
        <v>10000</v>
      </c>
      <c r="X844" s="1609"/>
      <c r="Y844" s="1609"/>
      <c r="Z844" s="1609"/>
      <c r="AA844" s="1609"/>
      <c r="AB844" s="1609"/>
      <c r="AC844" s="160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05" customHeight="1">
      <c r="J845" s="45" t="s">
        <v>354</v>
      </c>
      <c r="K845" s="5"/>
      <c r="L845" s="5"/>
      <c r="M845" s="5"/>
      <c r="N845" s="5"/>
      <c r="O845" s="5"/>
      <c r="P845" s="5"/>
      <c r="Q845" s="5"/>
      <c r="R845" s="5"/>
      <c r="S845" s="5"/>
      <c r="T845" s="5"/>
      <c r="U845" s="5"/>
      <c r="V845" s="46"/>
      <c r="W845" s="1609">
        <v>5000</v>
      </c>
      <c r="X845" s="1609"/>
      <c r="Y845" s="1609"/>
      <c r="Z845" s="1609"/>
      <c r="AA845" s="1609"/>
      <c r="AB845" s="1609"/>
      <c r="AC845" s="160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05" customHeight="1">
      <c r="J846" s="45" t="s">
        <v>170</v>
      </c>
      <c r="K846" s="5"/>
      <c r="L846" s="5"/>
      <c r="M846" s="1622" t="s">
        <v>2741</v>
      </c>
      <c r="N846" s="1623"/>
      <c r="O846" s="1623"/>
      <c r="P846" s="1623"/>
      <c r="Q846" s="1623"/>
      <c r="R846" s="1623"/>
      <c r="S846" s="1623"/>
      <c r="T846" s="1623"/>
      <c r="U846" s="1623"/>
      <c r="V846" s="1629"/>
      <c r="W846" s="1609">
        <f>22920+14280</f>
        <v>37200</v>
      </c>
      <c r="X846" s="1609"/>
      <c r="Y846" s="1609"/>
      <c r="Z846" s="1609"/>
      <c r="AA846" s="1609"/>
      <c r="AB846" s="1609"/>
      <c r="AC846" s="1609"/>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05" customHeight="1">
      <c r="J847" s="45"/>
      <c r="K847" s="5"/>
      <c r="L847" s="5"/>
      <c r="M847" s="5"/>
      <c r="N847" s="5"/>
      <c r="O847" s="5"/>
      <c r="P847" s="5"/>
      <c r="Q847" s="5"/>
      <c r="R847" s="5"/>
      <c r="S847" s="5"/>
      <c r="T847" s="5"/>
      <c r="U847" s="5"/>
      <c r="V847" s="54" t="s">
        <v>343</v>
      </c>
      <c r="W847" s="1606">
        <f>SUM(W842:AC846)</f>
        <v>116616</v>
      </c>
      <c r="X847" s="1607"/>
      <c r="Y847" s="1607"/>
      <c r="Z847" s="1607"/>
      <c r="AA847" s="1607"/>
      <c r="AB847" s="1607"/>
      <c r="AC847" s="1608"/>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05" customHeight="1">
      <c r="AZ848" s="30"/>
      <c r="BA848" s="30"/>
      <c r="BB848" s="14"/>
      <c r="BC848" s="14"/>
      <c r="BD848" s="14"/>
      <c r="BE848" s="14"/>
      <c r="BF848" s="14"/>
      <c r="BG848" s="1631"/>
      <c r="BH848" s="1631"/>
      <c r="BI848" s="1631"/>
      <c r="BJ848" s="1631"/>
      <c r="BK848" s="1631"/>
      <c r="BL848" s="1631"/>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05" customHeight="1">
      <c r="C849" s="2" t="s">
        <v>345</v>
      </c>
      <c r="J849" s="1615" t="s">
        <v>346</v>
      </c>
      <c r="K849" s="1616"/>
      <c r="L849" s="1616"/>
      <c r="M849" s="1616"/>
      <c r="N849" s="1616"/>
      <c r="O849" s="1616"/>
      <c r="P849" s="1616"/>
      <c r="Q849" s="1616"/>
      <c r="R849" s="1616"/>
      <c r="S849" s="1616"/>
      <c r="T849" s="1616"/>
      <c r="U849" s="1616"/>
      <c r="V849" s="1617"/>
      <c r="W849" s="1592">
        <v>115680</v>
      </c>
      <c r="X849" s="1593"/>
      <c r="Y849" s="1593"/>
      <c r="Z849" s="1593"/>
      <c r="AA849" s="1593"/>
      <c r="AB849" s="1593"/>
      <c r="AC849" s="1594"/>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0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05" customHeight="1">
      <c r="C851" s="2" t="s">
        <v>569</v>
      </c>
      <c r="J851" s="45" t="s">
        <v>353</v>
      </c>
      <c r="K851" s="5"/>
      <c r="L851" s="5"/>
      <c r="M851" s="5"/>
      <c r="N851" s="5"/>
      <c r="O851" s="5"/>
      <c r="P851" s="5"/>
      <c r="Q851" s="5"/>
      <c r="R851" s="5"/>
      <c r="S851" s="5"/>
      <c r="T851" s="5"/>
      <c r="U851" s="5"/>
      <c r="V851" s="46"/>
      <c r="W851" s="1639"/>
      <c r="X851" s="1639"/>
      <c r="Y851" s="1639"/>
      <c r="Z851" s="1639"/>
      <c r="AA851" s="1639"/>
      <c r="AB851" s="1639"/>
      <c r="AC851" s="1639"/>
      <c r="AZ851" s="1628">
        <f>SUM(AZ818:AZ846)</f>
        <v>0</v>
      </c>
      <c r="BA851" s="1628"/>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05" customHeight="1">
      <c r="J852" s="45" t="s">
        <v>352</v>
      </c>
      <c r="K852" s="5"/>
      <c r="L852" s="5"/>
      <c r="M852" s="5"/>
      <c r="N852" s="5"/>
      <c r="O852" s="5"/>
      <c r="P852" s="5"/>
      <c r="Q852" s="5"/>
      <c r="R852" s="5"/>
      <c r="S852" s="5"/>
      <c r="T852" s="5"/>
      <c r="U852" s="5"/>
      <c r="V852" s="46"/>
      <c r="W852" s="1639">
        <v>10500</v>
      </c>
      <c r="X852" s="1639"/>
      <c r="Y852" s="1639"/>
      <c r="Z852" s="1639"/>
      <c r="AA852" s="1639"/>
      <c r="AB852" s="1639"/>
      <c r="AC852" s="1639"/>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05" customHeight="1">
      <c r="J853" s="45" t="s">
        <v>467</v>
      </c>
      <c r="K853" s="5"/>
      <c r="L853" s="5"/>
      <c r="M853" s="5"/>
      <c r="N853" s="5"/>
      <c r="O853" s="5"/>
      <c r="P853" s="5"/>
      <c r="Q853" s="5"/>
      <c r="R853" s="5"/>
      <c r="S853" s="5"/>
      <c r="T853" s="5"/>
      <c r="U853" s="5"/>
      <c r="V853" s="46"/>
      <c r="W853" s="1639">
        <v>43900</v>
      </c>
      <c r="X853" s="1639"/>
      <c r="Y853" s="1639"/>
      <c r="Z853" s="1639"/>
      <c r="AA853" s="1639"/>
      <c r="AB853" s="1639"/>
      <c r="AC853" s="1639"/>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05" customHeight="1">
      <c r="J854" s="62" t="s">
        <v>628</v>
      </c>
      <c r="K854" s="5"/>
      <c r="L854" s="5"/>
      <c r="M854" s="5"/>
      <c r="N854" s="5"/>
      <c r="O854" s="5"/>
      <c r="P854" s="5"/>
      <c r="Q854" s="5"/>
      <c r="R854" s="5"/>
      <c r="S854" s="5"/>
      <c r="T854" s="5"/>
      <c r="U854" s="5"/>
      <c r="V854" s="46"/>
      <c r="W854" s="1639">
        <v>40392</v>
      </c>
      <c r="X854" s="1639"/>
      <c r="Y854" s="1639"/>
      <c r="Z854" s="1639"/>
      <c r="AA854" s="1639"/>
      <c r="AB854" s="1639"/>
      <c r="AC854" s="1639"/>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05" customHeight="1">
      <c r="J855" s="63"/>
      <c r="K855" s="48"/>
      <c r="L855" s="48"/>
      <c r="M855" s="48"/>
      <c r="N855" s="48"/>
      <c r="O855" s="48"/>
      <c r="P855" s="48"/>
      <c r="Q855" s="48"/>
      <c r="R855" s="48"/>
      <c r="S855" s="48"/>
      <c r="T855" s="48"/>
      <c r="U855" s="48"/>
      <c r="V855" s="54" t="s">
        <v>273</v>
      </c>
      <c r="W855" s="1681">
        <f>SUM(W851:AC854)</f>
        <v>94792</v>
      </c>
      <c r="X855" s="1681"/>
      <c r="Y855" s="1681"/>
      <c r="Z855" s="1681"/>
      <c r="AA855" s="1681"/>
      <c r="AB855" s="1681"/>
      <c r="AC855" s="168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0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05" customHeight="1">
      <c r="C857" s="2" t="s">
        <v>347</v>
      </c>
      <c r="J857" s="45" t="s">
        <v>627</v>
      </c>
      <c r="K857" s="5"/>
      <c r="L857" s="5"/>
      <c r="M857" s="5"/>
      <c r="N857" s="5"/>
      <c r="O857" s="5"/>
      <c r="P857" s="5"/>
      <c r="Q857" s="5"/>
      <c r="R857" s="5"/>
      <c r="S857" s="5"/>
      <c r="T857" s="5"/>
      <c r="U857" s="5"/>
      <c r="V857" s="46"/>
      <c r="W857" s="1640">
        <v>100000</v>
      </c>
      <c r="X857" s="1641"/>
      <c r="Y857" s="1641"/>
      <c r="Z857" s="1641"/>
      <c r="AA857" s="1641"/>
      <c r="AB857" s="1641"/>
      <c r="AC857" s="164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05" customHeight="1">
      <c r="C858" s="2" t="s">
        <v>348</v>
      </c>
      <c r="J858" s="121" t="s">
        <v>1768</v>
      </c>
      <c r="K858" s="5"/>
      <c r="L858" s="5"/>
      <c r="M858" s="5"/>
      <c r="N858" s="5"/>
      <c r="O858" s="5"/>
      <c r="P858" s="5"/>
      <c r="Q858" s="5"/>
      <c r="R858" s="5"/>
      <c r="S858" s="5"/>
      <c r="T858" s="1660">
        <v>2</v>
      </c>
      <c r="U858" s="1582"/>
      <c r="V858" s="166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05" customHeight="1">
      <c r="C859" s="2"/>
      <c r="J859" s="45" t="s">
        <v>626</v>
      </c>
      <c r="K859" s="5"/>
      <c r="L859" s="5"/>
      <c r="M859" s="5"/>
      <c r="N859" s="5"/>
      <c r="O859" s="5"/>
      <c r="P859" s="5"/>
      <c r="Q859" s="5"/>
      <c r="R859" s="5"/>
      <c r="S859" s="5"/>
      <c r="T859" s="5"/>
      <c r="U859" s="5"/>
      <c r="V859" s="46"/>
      <c r="W859" s="1640">
        <v>125550</v>
      </c>
      <c r="X859" s="1641"/>
      <c r="Y859" s="1641"/>
      <c r="Z859" s="1641"/>
      <c r="AA859" s="1641"/>
      <c r="AB859" s="1641"/>
      <c r="AC859" s="164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05" customHeight="1">
      <c r="C860" s="2"/>
      <c r="J860" s="121" t="s">
        <v>1769</v>
      </c>
      <c r="K860" s="5"/>
      <c r="L860" s="5"/>
      <c r="M860" s="5"/>
      <c r="N860" s="5"/>
      <c r="O860" s="5"/>
      <c r="P860" s="5"/>
      <c r="Q860" s="5"/>
      <c r="R860" s="5"/>
      <c r="S860" s="5"/>
      <c r="T860" s="1660"/>
      <c r="U860" s="1582"/>
      <c r="V860" s="166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05" customHeight="1">
      <c r="J861" s="45" t="s">
        <v>170</v>
      </c>
      <c r="K861" s="5"/>
      <c r="L861" s="5"/>
      <c r="M861" s="1622" t="s">
        <v>2743</v>
      </c>
      <c r="N861" s="1623"/>
      <c r="O861" s="1623"/>
      <c r="P861" s="1623"/>
      <c r="Q861" s="1623"/>
      <c r="R861" s="1623"/>
      <c r="S861" s="1623"/>
      <c r="T861" s="1623"/>
      <c r="U861" s="1623"/>
      <c r="V861" s="1629"/>
      <c r="W861" s="1640">
        <v>114185</v>
      </c>
      <c r="X861" s="1641"/>
      <c r="Y861" s="1641"/>
      <c r="Z861" s="1641"/>
      <c r="AA861" s="1641"/>
      <c r="AB861" s="1641"/>
      <c r="AC861" s="164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05" customHeight="1">
      <c r="J862" s="45"/>
      <c r="K862" s="5"/>
      <c r="L862" s="5"/>
      <c r="M862" s="5"/>
      <c r="N862" s="5"/>
      <c r="O862" s="5"/>
      <c r="P862" s="5"/>
      <c r="Q862" s="5"/>
      <c r="R862" s="5"/>
      <c r="S862" s="5"/>
      <c r="T862" s="5"/>
      <c r="U862" s="5"/>
      <c r="V862" s="54" t="s">
        <v>274</v>
      </c>
      <c r="W862" s="1662">
        <f>SUM(W857:AC861)</f>
        <v>339735</v>
      </c>
      <c r="X862" s="1663"/>
      <c r="Y862" s="1663"/>
      <c r="Z862" s="1663"/>
      <c r="AA862" s="1663"/>
      <c r="AB862" s="1663"/>
      <c r="AC862" s="166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05" customHeight="1">
      <c r="J863" s="45"/>
      <c r="K863" s="5"/>
      <c r="L863" s="5"/>
      <c r="M863" s="5"/>
      <c r="N863" s="5"/>
      <c r="O863" s="5"/>
      <c r="P863" s="5"/>
      <c r="Q863" s="5"/>
      <c r="R863" s="5"/>
      <c r="S863" s="5"/>
      <c r="T863" s="5"/>
      <c r="U863" s="5"/>
      <c r="V863" s="54" t="s">
        <v>275</v>
      </c>
      <c r="W863" s="1640">
        <v>77292</v>
      </c>
      <c r="X863" s="1641"/>
      <c r="Y863" s="1641"/>
      <c r="Z863" s="1641"/>
      <c r="AA863" s="1641"/>
      <c r="AB863" s="1641"/>
      <c r="AC863" s="1642"/>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0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05" customHeight="1">
      <c r="C865" s="2" t="s">
        <v>391</v>
      </c>
      <c r="J865" s="45" t="s">
        <v>625</v>
      </c>
      <c r="K865" s="5"/>
      <c r="L865" s="5"/>
      <c r="M865" s="5"/>
      <c r="N865" s="5"/>
      <c r="O865" s="5"/>
      <c r="P865" s="5"/>
      <c r="Q865" s="5"/>
      <c r="R865" s="5"/>
      <c r="S865" s="5"/>
      <c r="T865" s="5"/>
      <c r="U865" s="5"/>
      <c r="V865" s="46"/>
      <c r="W865" s="1609">
        <v>23885</v>
      </c>
      <c r="X865" s="1609"/>
      <c r="Y865" s="1609"/>
      <c r="Z865" s="1609"/>
      <c r="AA865" s="1609"/>
      <c r="AB865" s="1609"/>
      <c r="AC865" s="160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05" customHeight="1">
      <c r="J866" s="45" t="s">
        <v>530</v>
      </c>
      <c r="K866" s="5"/>
      <c r="L866" s="5"/>
      <c r="M866" s="5"/>
      <c r="N866" s="5"/>
      <c r="O866" s="5"/>
      <c r="P866" s="5"/>
      <c r="Q866" s="5"/>
      <c r="R866" s="5"/>
      <c r="S866" s="5"/>
      <c r="T866" s="5"/>
      <c r="U866" s="5"/>
      <c r="V866" s="46"/>
      <c r="W866" s="1609">
        <v>24000</v>
      </c>
      <c r="X866" s="1609"/>
      <c r="Y866" s="1609"/>
      <c r="Z866" s="1609"/>
      <c r="AA866" s="1609"/>
      <c r="AB866" s="1609"/>
      <c r="AC866" s="160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05" customHeight="1">
      <c r="J867" s="45" t="s">
        <v>529</v>
      </c>
      <c r="K867" s="5"/>
      <c r="L867" s="5"/>
      <c r="M867" s="5"/>
      <c r="N867" s="5"/>
      <c r="O867" s="5"/>
      <c r="P867" s="5"/>
      <c r="Q867" s="5"/>
      <c r="R867" s="5"/>
      <c r="S867" s="5"/>
      <c r="T867" s="5"/>
      <c r="U867" s="5"/>
      <c r="V867" s="46"/>
      <c r="W867" s="1609">
        <v>15000</v>
      </c>
      <c r="X867" s="1609"/>
      <c r="Y867" s="1609"/>
      <c r="Z867" s="1609"/>
      <c r="AA867" s="1609"/>
      <c r="AB867" s="1609"/>
      <c r="AC867" s="160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05" customHeight="1">
      <c r="J868" s="45" t="s">
        <v>528</v>
      </c>
      <c r="K868" s="5"/>
      <c r="L868" s="5"/>
      <c r="M868" s="5"/>
      <c r="N868" s="5"/>
      <c r="O868" s="5"/>
      <c r="P868" s="5"/>
      <c r="Q868" s="5"/>
      <c r="R868" s="5"/>
      <c r="S868" s="5"/>
      <c r="T868" s="5"/>
      <c r="U868" s="5"/>
      <c r="V868" s="46"/>
      <c r="W868" s="1609">
        <v>18000</v>
      </c>
      <c r="X868" s="1609"/>
      <c r="Y868" s="1609"/>
      <c r="Z868" s="1609"/>
      <c r="AA868" s="1609"/>
      <c r="AB868" s="1609"/>
      <c r="AC868" s="160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05" customHeight="1">
      <c r="J869" s="45" t="s">
        <v>527</v>
      </c>
      <c r="K869" s="5"/>
      <c r="L869" s="5"/>
      <c r="M869" s="5"/>
      <c r="N869" s="5"/>
      <c r="O869" s="5"/>
      <c r="P869" s="5"/>
      <c r="Q869" s="5"/>
      <c r="R869" s="5"/>
      <c r="S869" s="5"/>
      <c r="T869" s="5"/>
      <c r="U869" s="5"/>
      <c r="V869" s="46"/>
      <c r="W869" s="1609">
        <v>15000</v>
      </c>
      <c r="X869" s="1609"/>
      <c r="Y869" s="1609"/>
      <c r="Z869" s="1609"/>
      <c r="AA869" s="1609"/>
      <c r="AB869" s="1609"/>
      <c r="AC869" s="160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05" customHeight="1">
      <c r="J870" s="45" t="s">
        <v>526</v>
      </c>
      <c r="K870" s="5"/>
      <c r="L870" s="5"/>
      <c r="M870" s="5"/>
      <c r="N870" s="5"/>
      <c r="O870" s="5"/>
      <c r="P870" s="5"/>
      <c r="Q870" s="5"/>
      <c r="R870" s="5"/>
      <c r="S870" s="5"/>
      <c r="T870" s="5"/>
      <c r="U870" s="5"/>
      <c r="V870" s="46"/>
      <c r="W870" s="1609"/>
      <c r="X870" s="1609"/>
      <c r="Y870" s="1609"/>
      <c r="Z870" s="1609"/>
      <c r="AA870" s="1609"/>
      <c r="AB870" s="1609"/>
      <c r="AC870" s="160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05" customHeight="1">
      <c r="J871" s="45" t="s">
        <v>170</v>
      </c>
      <c r="K871" s="5"/>
      <c r="L871" s="5"/>
      <c r="M871" s="1622" t="s">
        <v>335</v>
      </c>
      <c r="N871" s="1623"/>
      <c r="O871" s="1623"/>
      <c r="P871" s="1623"/>
      <c r="Q871" s="1623"/>
      <c r="R871" s="1623"/>
      <c r="S871" s="1623"/>
      <c r="T871" s="1623"/>
      <c r="U871" s="1623"/>
      <c r="V871" s="1629"/>
      <c r="W871" s="1609"/>
      <c r="X871" s="1609"/>
      <c r="Y871" s="1609"/>
      <c r="Z871" s="1609"/>
      <c r="AA871" s="1609"/>
      <c r="AB871" s="1609"/>
      <c r="AC871" s="160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05" customHeight="1">
      <c r="J872" s="45"/>
      <c r="K872" s="5"/>
      <c r="L872" s="5"/>
      <c r="M872" s="5"/>
      <c r="N872" s="5"/>
      <c r="O872" s="5"/>
      <c r="P872" s="5"/>
      <c r="Q872" s="5"/>
      <c r="R872" s="5"/>
      <c r="S872" s="5"/>
      <c r="T872" s="5"/>
      <c r="U872" s="5"/>
      <c r="V872" s="54" t="s">
        <v>276</v>
      </c>
      <c r="W872" s="1604">
        <f>SUM(W865:AC871)</f>
        <v>95885</v>
      </c>
      <c r="X872" s="1604"/>
      <c r="Y872" s="1604"/>
      <c r="Z872" s="1604"/>
      <c r="AA872" s="1604"/>
      <c r="AB872" s="1604"/>
      <c r="AC872" s="160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0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05" customHeight="1">
      <c r="C874" s="2" t="s">
        <v>1350</v>
      </c>
      <c r="J874" s="45" t="s">
        <v>170</v>
      </c>
      <c r="K874" s="5"/>
      <c r="L874" s="5"/>
      <c r="M874" s="1622" t="s">
        <v>335</v>
      </c>
      <c r="N874" s="1623"/>
      <c r="O874" s="1623"/>
      <c r="P874" s="1623"/>
      <c r="Q874" s="1623"/>
      <c r="R874" s="1623"/>
      <c r="S874" s="1623"/>
      <c r="T874" s="1623"/>
      <c r="U874" s="1623"/>
      <c r="V874" s="1629"/>
      <c r="W874" s="1592"/>
      <c r="X874" s="1593"/>
      <c r="Y874" s="1593"/>
      <c r="Z874" s="1593"/>
      <c r="AA874" s="1593"/>
      <c r="AB874" s="1593"/>
      <c r="AC874" s="159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05" customHeight="1">
      <c r="C875" s="2" t="s">
        <v>1351</v>
      </c>
      <c r="J875" s="45" t="s">
        <v>170</v>
      </c>
      <c r="K875" s="5"/>
      <c r="L875" s="5"/>
      <c r="M875" s="1622" t="s">
        <v>335</v>
      </c>
      <c r="N875" s="1623"/>
      <c r="O875" s="1623"/>
      <c r="P875" s="1623"/>
      <c r="Q875" s="1623"/>
      <c r="R875" s="1623"/>
      <c r="S875" s="1623"/>
      <c r="T875" s="1623"/>
      <c r="U875" s="1623"/>
      <c r="V875" s="1629"/>
      <c r="W875" s="1592"/>
      <c r="X875" s="1593"/>
      <c r="Y875" s="1593"/>
      <c r="Z875" s="1593"/>
      <c r="AA875" s="1593"/>
      <c r="AB875" s="1593"/>
      <c r="AC875" s="159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05" customHeight="1">
      <c r="J876" s="45" t="s">
        <v>170</v>
      </c>
      <c r="K876" s="5"/>
      <c r="L876" s="5"/>
      <c r="M876" s="1622" t="s">
        <v>335</v>
      </c>
      <c r="N876" s="1623"/>
      <c r="O876" s="1623"/>
      <c r="P876" s="1623"/>
      <c r="Q876" s="1623"/>
      <c r="R876" s="1623"/>
      <c r="S876" s="1623"/>
      <c r="T876" s="1623"/>
      <c r="U876" s="1623"/>
      <c r="V876" s="1629"/>
      <c r="W876" s="1592"/>
      <c r="X876" s="1593"/>
      <c r="Y876" s="1593"/>
      <c r="Z876" s="1593"/>
      <c r="AA876" s="1593"/>
      <c r="AB876" s="1593"/>
      <c r="AC876" s="159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05" customHeight="1">
      <c r="J877" s="45" t="s">
        <v>170</v>
      </c>
      <c r="K877" s="5"/>
      <c r="L877" s="5"/>
      <c r="M877" s="1622" t="s">
        <v>335</v>
      </c>
      <c r="N877" s="1623"/>
      <c r="O877" s="1623"/>
      <c r="P877" s="1623"/>
      <c r="Q877" s="1623"/>
      <c r="R877" s="1623"/>
      <c r="S877" s="1623"/>
      <c r="T877" s="1623"/>
      <c r="U877" s="1623"/>
      <c r="V877" s="1629"/>
      <c r="W877" s="1592"/>
      <c r="X877" s="1593"/>
      <c r="Y877" s="1593"/>
      <c r="Z877" s="1593"/>
      <c r="AA877" s="1593"/>
      <c r="AB877" s="1593"/>
      <c r="AC877" s="159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05" customHeight="1">
      <c r="J878" s="45" t="s">
        <v>170</v>
      </c>
      <c r="K878" s="5"/>
      <c r="L878" s="5"/>
      <c r="M878" s="1622" t="s">
        <v>335</v>
      </c>
      <c r="N878" s="1623"/>
      <c r="O878" s="1623"/>
      <c r="P878" s="1623"/>
      <c r="Q878" s="1623"/>
      <c r="R878" s="1623"/>
      <c r="S878" s="1623"/>
      <c r="T878" s="1623"/>
      <c r="U878" s="1623"/>
      <c r="V878" s="1629"/>
      <c r="W878" s="1592"/>
      <c r="X878" s="1593"/>
      <c r="Y878" s="1593"/>
      <c r="Z878" s="1593"/>
      <c r="AA878" s="1593"/>
      <c r="AB878" s="1593"/>
      <c r="AC878" s="159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05" customHeight="1">
      <c r="J879" s="45"/>
      <c r="K879" s="5"/>
      <c r="L879" s="5"/>
      <c r="M879" s="5"/>
      <c r="N879" s="5"/>
      <c r="O879" s="5"/>
      <c r="P879" s="5"/>
      <c r="Q879" s="5"/>
      <c r="R879" s="5"/>
      <c r="S879" s="5"/>
      <c r="T879" s="5"/>
      <c r="U879" s="5"/>
      <c r="V879" s="54" t="s">
        <v>277</v>
      </c>
      <c r="W879" s="1606">
        <f>SUM(W874:AC878)</f>
        <v>0</v>
      </c>
      <c r="X879" s="1607"/>
      <c r="Y879" s="1607"/>
      <c r="Z879" s="1607"/>
      <c r="AA879" s="1607"/>
      <c r="AB879" s="1607"/>
      <c r="AC879" s="160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0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0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0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07">
        <f>W847+W855+W862+W863+W872+W879+W849</f>
        <v>840000</v>
      </c>
      <c r="AD883" s="1607"/>
      <c r="AE883" s="1607"/>
      <c r="AF883" s="1607"/>
      <c r="AG883" s="1607"/>
      <c r="AH883" s="160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37">
        <f>O797+O777+G753</f>
        <v>140</v>
      </c>
      <c r="AD884" s="1637"/>
      <c r="AE884" s="1637"/>
      <c r="AF884" s="1637"/>
      <c r="AG884" s="1637"/>
      <c r="AH884" s="163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05" customHeight="1">
      <c r="C885" s="41"/>
      <c r="D885" s="42"/>
      <c r="E885" s="1724" t="s">
        <v>32</v>
      </c>
      <c r="F885" s="1724"/>
      <c r="G885" s="1724"/>
      <c r="H885" s="1724"/>
      <c r="I885" s="1724"/>
      <c r="J885" s="1724"/>
      <c r="K885" s="1724"/>
      <c r="L885" s="1724"/>
      <c r="M885" s="1724"/>
      <c r="N885" s="1724"/>
      <c r="O885" s="1724"/>
      <c r="P885" s="1724"/>
      <c r="Q885" s="1724"/>
      <c r="R885" s="1724"/>
      <c r="S885" s="1724"/>
      <c r="T885" s="1724"/>
      <c r="U885" s="1724"/>
      <c r="V885" s="1724"/>
      <c r="W885" s="1724"/>
      <c r="X885" s="1724"/>
      <c r="Y885" s="1724"/>
      <c r="Z885" s="1724"/>
      <c r="AA885" s="1724"/>
      <c r="AB885" s="1725"/>
      <c r="AC885" s="1604">
        <f>IF(ISERROR((ROUNDDOWN(AC883/AC884,0))),0,(ROUNDDOWN(AC883/AC884,0)))</f>
        <v>6000</v>
      </c>
      <c r="AD885" s="1604"/>
      <c r="AE885" s="1604"/>
      <c r="AF885" s="1604"/>
      <c r="AG885" s="1604"/>
      <c r="AH885" s="160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32">
        <v>676887</v>
      </c>
      <c r="AD886" s="1633"/>
      <c r="AE886" s="1633"/>
      <c r="AF886" s="1633"/>
      <c r="AG886" s="1633"/>
      <c r="AH886" s="163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94"/>
      <c r="AD887" s="1609"/>
      <c r="AE887" s="1609"/>
      <c r="AF887" s="1609"/>
      <c r="AG887" s="1609"/>
      <c r="AH887" s="160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93">
        <v>78120</v>
      </c>
      <c r="AD888" s="1593"/>
      <c r="AE888" s="1593"/>
      <c r="AF888" s="1593"/>
      <c r="AG888" s="1593"/>
      <c r="AH888" s="159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93">
        <v>35000</v>
      </c>
      <c r="AD889" s="1593"/>
      <c r="AE889" s="1593"/>
      <c r="AF889" s="1593"/>
      <c r="AG889" s="1593"/>
      <c r="AH889" s="159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96">
        <v>8099</v>
      </c>
      <c r="AD890" s="1597"/>
      <c r="AE890" s="1597"/>
      <c r="AF890" s="1597"/>
      <c r="AG890" s="1597"/>
      <c r="AH890" s="159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93"/>
      <c r="AD891" s="1593"/>
      <c r="AE891" s="1593"/>
      <c r="AF891" s="1593"/>
      <c r="AG891" s="1593"/>
      <c r="AH891" s="159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0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93"/>
      <c r="AD892" s="1593"/>
      <c r="AE892" s="1593"/>
      <c r="AF892" s="1593"/>
      <c r="AG892" s="1593"/>
      <c r="AH892" s="159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05" customHeight="1">
      <c r="C893" s="1634" t="s">
        <v>975</v>
      </c>
      <c r="D893" s="1635"/>
      <c r="E893" s="1635"/>
      <c r="F893" s="1635"/>
      <c r="G893" s="1635"/>
      <c r="H893" s="1635"/>
      <c r="I893" s="1635"/>
      <c r="J893" s="1635"/>
      <c r="K893" s="1635"/>
      <c r="L893" s="1635"/>
      <c r="M893" s="1635"/>
      <c r="N893" s="1635"/>
      <c r="O893" s="1635"/>
      <c r="P893" s="1635"/>
      <c r="Q893" s="1635"/>
      <c r="R893" s="1635"/>
      <c r="S893" s="1635"/>
      <c r="T893" s="1635"/>
      <c r="U893" s="1635"/>
      <c r="V893" s="1635"/>
      <c r="W893" s="1635"/>
      <c r="X893" s="1635"/>
      <c r="Y893" s="1635"/>
      <c r="Z893" s="1635"/>
      <c r="AA893" s="1635"/>
      <c r="AB893" s="1636"/>
      <c r="AC893" s="1609"/>
      <c r="AD893" s="1609"/>
      <c r="AE893" s="1609"/>
      <c r="AF893" s="1609"/>
      <c r="AG893" s="1609"/>
      <c r="AH893" s="160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05" customHeight="1">
      <c r="C894" s="1634" t="s">
        <v>975</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609"/>
      <c r="AD894" s="1609"/>
      <c r="AE894" s="1609"/>
      <c r="AF894" s="1609"/>
      <c r="AG894" s="1609"/>
      <c r="AH894" s="160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0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0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0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05" customHeight="1">
      <c r="B898" s="2"/>
      <c r="H898" s="121" t="s">
        <v>239</v>
      </c>
      <c r="I898" s="5"/>
      <c r="J898" s="5"/>
      <c r="K898" s="5"/>
      <c r="L898" s="5"/>
      <c r="M898" s="5"/>
      <c r="N898" s="5"/>
      <c r="O898" s="5"/>
      <c r="P898" s="5"/>
      <c r="Q898" s="5"/>
      <c r="R898" s="5"/>
      <c r="S898" s="5"/>
      <c r="T898" s="5"/>
      <c r="U898" s="5"/>
      <c r="V898" s="5"/>
      <c r="W898" s="5"/>
      <c r="X898" s="5"/>
      <c r="Y898" s="46"/>
      <c r="Z898" s="1592"/>
      <c r="AA898" s="1593"/>
      <c r="AB898" s="1593"/>
      <c r="AC898" s="1593"/>
      <c r="AD898" s="1593"/>
      <c r="AE898" s="1594"/>
      <c r="AF898" s="567"/>
      <c r="AZ898" s="34"/>
      <c r="BB898" s="30"/>
      <c r="BC898" s="850"/>
      <c r="BD898" s="1630"/>
      <c r="BE898" s="163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05" customHeight="1">
      <c r="H899" s="121" t="s">
        <v>240</v>
      </c>
      <c r="I899" s="5"/>
      <c r="J899" s="5"/>
      <c r="K899" s="5"/>
      <c r="L899" s="5"/>
      <c r="M899" s="5"/>
      <c r="N899" s="5"/>
      <c r="O899" s="5"/>
      <c r="P899" s="5"/>
      <c r="Q899" s="5"/>
      <c r="R899" s="5"/>
      <c r="S899" s="5"/>
      <c r="T899" s="5"/>
      <c r="U899" s="5"/>
      <c r="V899" s="5"/>
      <c r="W899" s="5"/>
      <c r="X899" s="5"/>
      <c r="Y899" s="5"/>
      <c r="Z899" s="1592"/>
      <c r="AA899" s="1593"/>
      <c r="AB899" s="1593"/>
      <c r="AC899" s="1593"/>
      <c r="AD899" s="1593"/>
      <c r="AE899" s="1594"/>
      <c r="AZ899" s="34"/>
      <c r="BB899" s="30"/>
      <c r="BC899" s="850"/>
      <c r="BD899" s="1630"/>
      <c r="BE899" s="163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05" customHeight="1">
      <c r="H900" s="121" t="s">
        <v>241</v>
      </c>
      <c r="I900" s="5"/>
      <c r="J900" s="5"/>
      <c r="K900" s="5"/>
      <c r="L900" s="5"/>
      <c r="M900" s="5"/>
      <c r="N900" s="5"/>
      <c r="O900" s="5"/>
      <c r="P900" s="5"/>
      <c r="Q900" s="5"/>
      <c r="R900" s="5"/>
      <c r="S900" s="5"/>
      <c r="T900" s="5"/>
      <c r="U900" s="5"/>
      <c r="V900" s="5"/>
      <c r="W900" s="5"/>
      <c r="X900" s="5"/>
      <c r="Y900" s="5"/>
      <c r="Z900" s="1592"/>
      <c r="AA900" s="1593"/>
      <c r="AB900" s="1593"/>
      <c r="AC900" s="1593"/>
      <c r="AD900" s="1593"/>
      <c r="AE900" s="1594"/>
      <c r="AZ900" s="34"/>
      <c r="BB900" s="30"/>
      <c r="BC900" s="850"/>
      <c r="BD900" s="1631"/>
      <c r="BE900" s="163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05" customHeight="1">
      <c r="H901" s="45"/>
      <c r="I901" s="5"/>
      <c r="J901" s="5"/>
      <c r="K901" s="5"/>
      <c r="L901" s="5"/>
      <c r="M901" s="5"/>
      <c r="N901" s="5"/>
      <c r="O901" s="5"/>
      <c r="P901" s="5"/>
      <c r="Q901" s="5"/>
      <c r="R901" s="5"/>
      <c r="S901" s="5"/>
      <c r="T901" s="5"/>
      <c r="U901" s="5"/>
      <c r="V901" s="5"/>
      <c r="W901" s="5"/>
      <c r="X901" s="5"/>
      <c r="Y901" s="190" t="s">
        <v>242</v>
      </c>
      <c r="Z901" s="1606">
        <f>Z898-(Z899+Z900)</f>
        <v>0</v>
      </c>
      <c r="AA901" s="1607"/>
      <c r="AB901" s="1607"/>
      <c r="AC901" s="1607"/>
      <c r="AD901" s="1607"/>
      <c r="AE901" s="1608"/>
      <c r="AZ901" s="34"/>
      <c r="BB901" s="30"/>
      <c r="BC901" s="850"/>
      <c r="BD901" s="1631"/>
      <c r="BE901" s="163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0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1"/>
      <c r="BE902" s="163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0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0"/>
      <c r="BE903" s="163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0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4"/>
      <c r="BE904" s="1644"/>
      <c r="BF904" s="164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0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3"/>
      <c r="BE905" s="1643"/>
      <c r="BF905" s="164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0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1"/>
      <c r="BE906" s="163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0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0"/>
      <c r="BE907" s="163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0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05" customHeight="1">
      <c r="A909" s="1674" t="s">
        <v>96</v>
      </c>
      <c r="B909" s="1674"/>
      <c r="C909" s="1674"/>
      <c r="D909" s="1674"/>
      <c r="E909" s="1674"/>
      <c r="F909" s="1674"/>
      <c r="G909" s="1674"/>
      <c r="H909" s="1674"/>
      <c r="I909" s="1674"/>
      <c r="J909" s="1674"/>
      <c r="K909" s="1674"/>
      <c r="L909" s="1674"/>
      <c r="M909" s="1674"/>
      <c r="N909" s="1674"/>
      <c r="O909" s="1674"/>
      <c r="P909" s="1674"/>
      <c r="Q909" s="1674"/>
      <c r="R909" s="1674"/>
      <c r="S909" s="1674"/>
      <c r="T909" s="1674"/>
      <c r="U909" s="1674"/>
      <c r="V909" s="1674"/>
      <c r="W909" s="1674"/>
      <c r="X909" s="1674"/>
      <c r="Y909" s="1674"/>
      <c r="Z909" s="1674"/>
      <c r="AA909" s="1674"/>
      <c r="AB909" s="1674"/>
      <c r="AC909" s="1674"/>
      <c r="AD909" s="1674"/>
      <c r="AE909" s="1674"/>
      <c r="AF909" s="1674"/>
      <c r="AG909" s="1674"/>
      <c r="AH909" s="1674"/>
      <c r="AI909" s="1674"/>
      <c r="AJ909" s="1674"/>
      <c r="AK909" s="1674"/>
      <c r="AL909" s="1674"/>
      <c r="AM909" s="1674"/>
      <c r="AN909" s="1674"/>
      <c r="AO909" s="1674"/>
      <c r="AP909" s="1674"/>
      <c r="AQ909" s="1674"/>
      <c r="AR909" s="1674"/>
      <c r="AS909" s="1674"/>
      <c r="AT909" s="1674"/>
      <c r="AZ909" s="34"/>
      <c r="BA909" s="34"/>
      <c r="BB909" s="30"/>
      <c r="BC909" s="30"/>
      <c r="BD909" s="1630"/>
      <c r="BE909" s="1631"/>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05" customHeight="1">
      <c r="A910" s="1674"/>
      <c r="B910" s="1674"/>
      <c r="C910" s="1674"/>
      <c r="D910" s="1674"/>
      <c r="E910" s="1674"/>
      <c r="F910" s="1674"/>
      <c r="G910" s="1674"/>
      <c r="H910" s="1674"/>
      <c r="I910" s="1674"/>
      <c r="J910" s="1674"/>
      <c r="K910" s="1674"/>
      <c r="L910" s="1674"/>
      <c r="M910" s="1674"/>
      <c r="N910" s="1674"/>
      <c r="O910" s="1674"/>
      <c r="P910" s="1674"/>
      <c r="Q910" s="1674"/>
      <c r="R910" s="1674"/>
      <c r="S910" s="1674"/>
      <c r="T910" s="1674"/>
      <c r="U910" s="1674"/>
      <c r="V910" s="1674"/>
      <c r="W910" s="1674"/>
      <c r="X910" s="1674"/>
      <c r="Y910" s="1674"/>
      <c r="Z910" s="1674"/>
      <c r="AA910" s="1674"/>
      <c r="AB910" s="1674"/>
      <c r="AC910" s="1674"/>
      <c r="AD910" s="1674"/>
      <c r="AE910" s="1674"/>
      <c r="AF910" s="1674"/>
      <c r="AG910" s="1674"/>
      <c r="AH910" s="1674"/>
      <c r="AI910" s="1674"/>
      <c r="AJ910" s="1674"/>
      <c r="AK910" s="1674"/>
      <c r="AL910" s="1674"/>
      <c r="AM910" s="1674"/>
      <c r="AN910" s="1674"/>
      <c r="AO910" s="1674"/>
      <c r="AP910" s="1674"/>
      <c r="AQ910" s="1674"/>
      <c r="AR910" s="1674"/>
      <c r="AS910" s="1674"/>
      <c r="AT910" s="167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0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0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0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05" customHeight="1">
      <c r="F914" s="1811" t="s">
        <v>801</v>
      </c>
      <c r="G914" s="1812"/>
      <c r="H914" s="1812"/>
      <c r="I914" s="1812"/>
      <c r="J914" s="1812"/>
      <c r="K914" s="1812"/>
      <c r="L914" s="1812"/>
      <c r="M914" s="1812"/>
      <c r="N914" s="1812"/>
      <c r="O914" s="1812"/>
      <c r="P914" s="1812"/>
      <c r="Q914" s="1812"/>
      <c r="R914" s="1812"/>
      <c r="S914" s="1812"/>
      <c r="T914" s="1813"/>
      <c r="U914" s="1776" t="s">
        <v>31</v>
      </c>
      <c r="V914" s="1618"/>
      <c r="W914" s="1618"/>
      <c r="X914" s="1618"/>
      <c r="Y914" s="1618"/>
      <c r="Z914" s="161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05" customHeight="1">
      <c r="B915" s="2"/>
      <c r="F915" s="1665" t="s">
        <v>827</v>
      </c>
      <c r="G915" s="1666"/>
      <c r="H915" s="1666"/>
      <c r="I915" s="1666"/>
      <c r="J915" s="1666"/>
      <c r="K915" s="1666"/>
      <c r="L915" s="1666"/>
      <c r="M915" s="1666"/>
      <c r="N915" s="1666"/>
      <c r="O915" s="1666"/>
      <c r="P915" s="1666"/>
      <c r="Q915" s="1666"/>
      <c r="R915" s="1666"/>
      <c r="S915" s="1666"/>
      <c r="T915" s="1667"/>
      <c r="U915" s="1665"/>
      <c r="V915" s="1666"/>
      <c r="W915" s="1666"/>
      <c r="X915" s="1666"/>
      <c r="Y915" s="1666"/>
      <c r="Z915" s="166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05" customHeight="1">
      <c r="B916" s="2"/>
      <c r="F916" s="1668"/>
      <c r="G916" s="1620"/>
      <c r="H916" s="1620"/>
      <c r="I916" s="1620"/>
      <c r="J916" s="1620"/>
      <c r="K916" s="1620"/>
      <c r="L916" s="1620"/>
      <c r="M916" s="1620"/>
      <c r="N916" s="1620"/>
      <c r="O916" s="1620"/>
      <c r="P916" s="1620"/>
      <c r="Q916" s="1620"/>
      <c r="R916" s="1620"/>
      <c r="S916" s="1620"/>
      <c r="T916" s="1621"/>
      <c r="U916" s="1668"/>
      <c r="V916" s="1620"/>
      <c r="W916" s="1620"/>
      <c r="X916" s="1620"/>
      <c r="Y916" s="1620"/>
      <c r="Z916" s="1620"/>
      <c r="AA916" s="108"/>
      <c r="AB916" s="1508" t="s">
        <v>392</v>
      </c>
      <c r="AC916" s="1508"/>
      <c r="AD916" s="1508"/>
      <c r="AE916" s="150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05" customHeight="1">
      <c r="B917" s="2"/>
      <c r="F917" s="45" t="s">
        <v>767</v>
      </c>
      <c r="G917" s="48"/>
      <c r="H917" s="48"/>
      <c r="I917" s="48"/>
      <c r="J917" s="48"/>
      <c r="K917" s="48"/>
      <c r="L917" s="48"/>
      <c r="M917" s="48"/>
      <c r="N917" s="48"/>
      <c r="O917" s="48"/>
      <c r="P917" s="48"/>
      <c r="Q917" s="48"/>
      <c r="R917" s="48"/>
      <c r="S917" s="48"/>
      <c r="T917" s="49"/>
      <c r="U917" s="1645" t="s">
        <v>553</v>
      </c>
      <c r="V917" s="1444"/>
      <c r="W917" s="1444"/>
      <c r="X917" s="1444"/>
      <c r="Y917" s="1444"/>
      <c r="Z917" s="1445"/>
      <c r="AA917" s="1646">
        <v>35462141</v>
      </c>
      <c r="AB917" s="1547"/>
      <c r="AC917" s="1547"/>
      <c r="AD917" s="1547"/>
      <c r="AE917" s="1547"/>
      <c r="AF917" s="164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05" customHeight="1">
      <c r="B918" s="2"/>
      <c r="F918" s="66" t="s">
        <v>683</v>
      </c>
      <c r="G918" s="48"/>
      <c r="H918" s="48"/>
      <c r="I918" s="48"/>
      <c r="J918" s="48"/>
      <c r="K918" s="48"/>
      <c r="L918" s="48"/>
      <c r="M918" s="48"/>
      <c r="N918" s="48"/>
      <c r="O918" s="48"/>
      <c r="P918" s="48"/>
      <c r="Q918" s="48"/>
      <c r="R918" s="48"/>
      <c r="S918" s="48"/>
      <c r="T918" s="49"/>
      <c r="U918" s="1645" t="s">
        <v>553</v>
      </c>
      <c r="V918" s="1444"/>
      <c r="W918" s="1444"/>
      <c r="X918" s="1444"/>
      <c r="Y918" s="1444"/>
      <c r="Z918" s="1445"/>
      <c r="AA918" s="1646">
        <v>15142503</v>
      </c>
      <c r="AB918" s="1547"/>
      <c r="AC918" s="1547"/>
      <c r="AD918" s="1547"/>
      <c r="AE918" s="1547"/>
      <c r="AF918" s="164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05" customHeight="1">
      <c r="F919" s="45" t="s">
        <v>810</v>
      </c>
      <c r="G919" s="5"/>
      <c r="H919" s="5"/>
      <c r="I919" s="5"/>
      <c r="J919" s="5"/>
      <c r="K919" s="5"/>
      <c r="L919" s="5"/>
      <c r="M919" s="5"/>
      <c r="N919" s="5"/>
      <c r="O919" s="5"/>
      <c r="P919" s="5"/>
      <c r="Q919" s="5"/>
      <c r="R919" s="5"/>
      <c r="S919" s="5"/>
      <c r="T919" s="46"/>
      <c r="U919" s="1645" t="s">
        <v>599</v>
      </c>
      <c r="V919" s="1444"/>
      <c r="W919" s="1444"/>
      <c r="X919" s="1444"/>
      <c r="Y919" s="1444"/>
      <c r="Z919" s="1445"/>
      <c r="AA919" s="1646"/>
      <c r="AB919" s="1547"/>
      <c r="AC919" s="1547"/>
      <c r="AD919" s="1547"/>
      <c r="AE919" s="1547"/>
      <c r="AF919" s="164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05" customHeight="1">
      <c r="F920" s="45" t="s">
        <v>686</v>
      </c>
      <c r="G920" s="5"/>
      <c r="H920" s="5"/>
      <c r="I920" s="5"/>
      <c r="J920" s="5"/>
      <c r="K920" s="5"/>
      <c r="L920" s="5"/>
      <c r="M920" s="5"/>
      <c r="N920" s="5"/>
      <c r="O920" s="5"/>
      <c r="P920" s="5"/>
      <c r="Q920" s="5"/>
      <c r="R920" s="5"/>
      <c r="S920" s="5"/>
      <c r="T920" s="46"/>
      <c r="U920" s="1645" t="s">
        <v>599</v>
      </c>
      <c r="V920" s="1444"/>
      <c r="W920" s="1444"/>
      <c r="X920" s="1444"/>
      <c r="Y920" s="1444"/>
      <c r="Z920" s="1445"/>
      <c r="AA920" s="1646"/>
      <c r="AB920" s="1547"/>
      <c r="AC920" s="1547"/>
      <c r="AD920" s="1547"/>
      <c r="AE920" s="1547"/>
      <c r="AF920" s="164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05" customHeight="1">
      <c r="F921" s="66" t="s">
        <v>795</v>
      </c>
      <c r="G921" s="5"/>
      <c r="H921" s="5"/>
      <c r="I921" s="5"/>
      <c r="J921" s="5"/>
      <c r="K921" s="5"/>
      <c r="L921" s="5"/>
      <c r="M921" s="5"/>
      <c r="N921" s="5"/>
      <c r="O921" s="5"/>
      <c r="P921" s="5"/>
      <c r="Q921" s="5"/>
      <c r="R921" s="5"/>
      <c r="S921" s="5"/>
      <c r="T921" s="46"/>
      <c r="U921" s="1645" t="s">
        <v>599</v>
      </c>
      <c r="V921" s="1444"/>
      <c r="W921" s="1444"/>
      <c r="X921" s="1444"/>
      <c r="Y921" s="1444"/>
      <c r="Z921" s="1445"/>
      <c r="AA921" s="1646"/>
      <c r="AB921" s="1547"/>
      <c r="AC921" s="1547"/>
      <c r="AD921" s="1547"/>
      <c r="AE921" s="1547"/>
      <c r="AF921" s="164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05" customHeight="1">
      <c r="F922" s="66" t="s">
        <v>796</v>
      </c>
      <c r="G922" s="5"/>
      <c r="H922" s="5"/>
      <c r="I922" s="5"/>
      <c r="J922" s="5"/>
      <c r="K922" s="5"/>
      <c r="L922" s="5"/>
      <c r="M922" s="5"/>
      <c r="N922" s="5"/>
      <c r="O922" s="5"/>
      <c r="P922" s="5"/>
      <c r="Q922" s="5"/>
      <c r="R922" s="5"/>
      <c r="S922" s="5"/>
      <c r="T922" s="46"/>
      <c r="U922" s="1645" t="s">
        <v>599</v>
      </c>
      <c r="V922" s="1444"/>
      <c r="W922" s="1444"/>
      <c r="X922" s="1444"/>
      <c r="Y922" s="1444"/>
      <c r="Z922" s="1445"/>
      <c r="AA922" s="1646"/>
      <c r="AB922" s="1547"/>
      <c r="AC922" s="1547"/>
      <c r="AD922" s="1547"/>
      <c r="AE922" s="1547"/>
      <c r="AF922" s="164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05" customHeight="1">
      <c r="F923" s="66" t="s">
        <v>797</v>
      </c>
      <c r="G923" s="5"/>
      <c r="H923" s="5"/>
      <c r="I923" s="5"/>
      <c r="J923" s="5"/>
      <c r="K923" s="5"/>
      <c r="L923" s="5"/>
      <c r="M923" s="5"/>
      <c r="N923" s="5"/>
      <c r="O923" s="5"/>
      <c r="P923" s="5"/>
      <c r="Q923" s="5"/>
      <c r="R923" s="5"/>
      <c r="S923" s="5"/>
      <c r="T923" s="46"/>
      <c r="U923" s="1645" t="s">
        <v>599</v>
      </c>
      <c r="V923" s="1444"/>
      <c r="W923" s="1444"/>
      <c r="X923" s="1444"/>
      <c r="Y923" s="1444"/>
      <c r="Z923" s="1445"/>
      <c r="AA923" s="1646"/>
      <c r="AB923" s="1547"/>
      <c r="AC923" s="1547"/>
      <c r="AD923" s="1547"/>
      <c r="AE923" s="1547"/>
      <c r="AF923" s="164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05" customHeight="1">
      <c r="F924" s="45" t="s">
        <v>685</v>
      </c>
      <c r="G924" s="5"/>
      <c r="H924" s="5"/>
      <c r="I924" s="5"/>
      <c r="J924" s="5"/>
      <c r="K924" s="5"/>
      <c r="L924" s="5"/>
      <c r="M924" s="5"/>
      <c r="N924" s="5"/>
      <c r="O924" s="5"/>
      <c r="P924" s="5"/>
      <c r="Q924" s="5"/>
      <c r="R924" s="5"/>
      <c r="S924" s="5"/>
      <c r="T924" s="46"/>
      <c r="U924" s="1645" t="s">
        <v>599</v>
      </c>
      <c r="V924" s="1444"/>
      <c r="W924" s="1444"/>
      <c r="X924" s="1444"/>
      <c r="Y924" s="1444"/>
      <c r="Z924" s="1445"/>
      <c r="AA924" s="1646"/>
      <c r="AB924" s="1547"/>
      <c r="AC924" s="1547"/>
      <c r="AD924" s="1547"/>
      <c r="AE924" s="1547"/>
      <c r="AF924" s="164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05" customHeight="1">
      <c r="F925" s="1648" t="s">
        <v>2549</v>
      </c>
      <c r="G925" s="1649"/>
      <c r="H925" s="1649"/>
      <c r="I925" s="1649"/>
      <c r="J925" s="1649"/>
      <c r="K925" s="1649"/>
      <c r="L925" s="1649"/>
      <c r="M925" s="1649"/>
      <c r="N925" s="1649"/>
      <c r="O925" s="1649"/>
      <c r="P925" s="1649"/>
      <c r="Q925" s="1649"/>
      <c r="R925" s="1649"/>
      <c r="S925" s="1649"/>
      <c r="T925" s="1650"/>
      <c r="U925" s="1645" t="s">
        <v>599</v>
      </c>
      <c r="V925" s="1444"/>
      <c r="W925" s="1444"/>
      <c r="X925" s="1444"/>
      <c r="Y925" s="1444"/>
      <c r="Z925" s="1445"/>
      <c r="AA925" s="1646"/>
      <c r="AB925" s="1547"/>
      <c r="AC925" s="1547"/>
      <c r="AD925" s="1547"/>
      <c r="AE925" s="1547"/>
      <c r="AF925" s="164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05" customHeight="1">
      <c r="F926" s="1648" t="s">
        <v>687</v>
      </c>
      <c r="G926" s="1649"/>
      <c r="H926" s="1649"/>
      <c r="I926" s="1649"/>
      <c r="J926" s="1649"/>
      <c r="K926" s="1649"/>
      <c r="L926" s="1649"/>
      <c r="M926" s="1649"/>
      <c r="N926" s="1649"/>
      <c r="O926" s="1649"/>
      <c r="P926" s="1649"/>
      <c r="Q926" s="1649"/>
      <c r="R926" s="1649"/>
      <c r="S926" s="1649"/>
      <c r="T926" s="1650"/>
      <c r="U926" s="1645" t="s">
        <v>599</v>
      </c>
      <c r="V926" s="1444"/>
      <c r="W926" s="1444"/>
      <c r="X926" s="1444"/>
      <c r="Y926" s="1444"/>
      <c r="Z926" s="1445"/>
      <c r="AA926" s="1646"/>
      <c r="AB926" s="1547"/>
      <c r="AC926" s="1547"/>
      <c r="AD926" s="1547"/>
      <c r="AE926" s="1547"/>
      <c r="AF926" s="164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05" customHeight="1">
      <c r="F927" s="1648" t="s">
        <v>2550</v>
      </c>
      <c r="G927" s="1649"/>
      <c r="H927" s="1649"/>
      <c r="I927" s="1649"/>
      <c r="J927" s="1649"/>
      <c r="K927" s="1649"/>
      <c r="L927" s="1649"/>
      <c r="M927" s="1649"/>
      <c r="N927" s="1649"/>
      <c r="O927" s="1649"/>
      <c r="P927" s="1649"/>
      <c r="Q927" s="1649"/>
      <c r="R927" s="1649"/>
      <c r="S927" s="1649"/>
      <c r="T927" s="1650"/>
      <c r="U927" s="1645" t="s">
        <v>599</v>
      </c>
      <c r="V927" s="1444"/>
      <c r="W927" s="1444"/>
      <c r="X927" s="1444"/>
      <c r="Y927" s="1444"/>
      <c r="Z927" s="1445"/>
      <c r="AA927" s="1646"/>
      <c r="AB927" s="1547"/>
      <c r="AC927" s="1547"/>
      <c r="AD927" s="1547"/>
      <c r="AE927" s="1547"/>
      <c r="AF927" s="164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05" customHeight="1">
      <c r="F928" s="1648" t="s">
        <v>2551</v>
      </c>
      <c r="G928" s="1649"/>
      <c r="H928" s="1649"/>
      <c r="I928" s="1649"/>
      <c r="J928" s="1649"/>
      <c r="K928" s="1649"/>
      <c r="L928" s="1649"/>
      <c r="M928" s="1649"/>
      <c r="N928" s="1649"/>
      <c r="O928" s="1649"/>
      <c r="P928" s="1649"/>
      <c r="Q928" s="1649"/>
      <c r="R928" s="1649"/>
      <c r="S928" s="1649"/>
      <c r="T928" s="1650"/>
      <c r="U928" s="1645" t="s">
        <v>599</v>
      </c>
      <c r="V928" s="1444"/>
      <c r="W928" s="1444"/>
      <c r="X928" s="1444"/>
      <c r="Y928" s="1444"/>
      <c r="Z928" s="1445"/>
      <c r="AA928" s="1646"/>
      <c r="AB928" s="1547"/>
      <c r="AC928" s="1547"/>
      <c r="AD928" s="1547"/>
      <c r="AE928" s="1547"/>
      <c r="AF928" s="164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05" customHeight="1">
      <c r="F929" s="1648" t="s">
        <v>2552</v>
      </c>
      <c r="G929" s="1649"/>
      <c r="H929" s="1649"/>
      <c r="I929" s="1649"/>
      <c r="J929" s="1649"/>
      <c r="K929" s="1649"/>
      <c r="L929" s="1649"/>
      <c r="M929" s="1649"/>
      <c r="N929" s="1649"/>
      <c r="O929" s="1649"/>
      <c r="P929" s="1649"/>
      <c r="Q929" s="1649"/>
      <c r="R929" s="1649"/>
      <c r="S929" s="1649"/>
      <c r="T929" s="1650"/>
      <c r="U929" s="1645" t="s">
        <v>599</v>
      </c>
      <c r="V929" s="1444"/>
      <c r="W929" s="1444"/>
      <c r="X929" s="1444"/>
      <c r="Y929" s="1444"/>
      <c r="Z929" s="1445"/>
      <c r="AA929" s="1646"/>
      <c r="AB929" s="1547"/>
      <c r="AC929" s="1547"/>
      <c r="AD929" s="1547"/>
      <c r="AE929" s="1547"/>
      <c r="AF929" s="164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05" customHeight="1">
      <c r="F930" s="1648" t="s">
        <v>2553</v>
      </c>
      <c r="G930" s="1649"/>
      <c r="H930" s="1649"/>
      <c r="I930" s="1649"/>
      <c r="J930" s="1649"/>
      <c r="K930" s="1649"/>
      <c r="L930" s="1649"/>
      <c r="M930" s="1649"/>
      <c r="N930" s="1649"/>
      <c r="O930" s="1649"/>
      <c r="P930" s="1649"/>
      <c r="Q930" s="1649"/>
      <c r="R930" s="1649"/>
      <c r="S930" s="1649"/>
      <c r="T930" s="1650"/>
      <c r="U930" s="1645" t="s">
        <v>599</v>
      </c>
      <c r="V930" s="1444"/>
      <c r="W930" s="1444"/>
      <c r="X930" s="1444"/>
      <c r="Y930" s="1444"/>
      <c r="Z930" s="1445"/>
      <c r="AA930" s="1646"/>
      <c r="AB930" s="1547"/>
      <c r="AC930" s="1547"/>
      <c r="AD930" s="1547"/>
      <c r="AE930" s="1547"/>
      <c r="AF930" s="164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05" customHeight="1">
      <c r="F931" s="1648" t="s">
        <v>2554</v>
      </c>
      <c r="G931" s="1649"/>
      <c r="H931" s="1649"/>
      <c r="I931" s="1649"/>
      <c r="J931" s="1649"/>
      <c r="K931" s="1649"/>
      <c r="L931" s="1649"/>
      <c r="M931" s="1649"/>
      <c r="N931" s="1649"/>
      <c r="O931" s="1649"/>
      <c r="P931" s="1649"/>
      <c r="Q931" s="1649"/>
      <c r="R931" s="1649"/>
      <c r="S931" s="1649"/>
      <c r="T931" s="1650"/>
      <c r="U931" s="1645" t="s">
        <v>599</v>
      </c>
      <c r="V931" s="1444"/>
      <c r="W931" s="1444"/>
      <c r="X931" s="1444"/>
      <c r="Y931" s="1444"/>
      <c r="Z931" s="1445"/>
      <c r="AA931" s="1646"/>
      <c r="AB931" s="1547"/>
      <c r="AC931" s="1547"/>
      <c r="AD931" s="1547"/>
      <c r="AE931" s="1547"/>
      <c r="AF931" s="164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05" customHeight="1">
      <c r="F932" s="187" t="s">
        <v>684</v>
      </c>
      <c r="G932" s="5"/>
      <c r="H932" s="5"/>
      <c r="I932" s="5"/>
      <c r="J932" s="5"/>
      <c r="K932" s="5"/>
      <c r="L932" s="5"/>
      <c r="M932" s="5"/>
      <c r="N932" s="5"/>
      <c r="O932" s="5"/>
      <c r="P932" s="5"/>
      <c r="Q932" s="5"/>
      <c r="R932" s="5"/>
      <c r="S932" s="5"/>
      <c r="T932" s="46"/>
      <c r="U932" s="1645" t="s">
        <v>599</v>
      </c>
      <c r="V932" s="1444"/>
      <c r="W932" s="1444"/>
      <c r="X932" s="1444"/>
      <c r="Y932" s="1444"/>
      <c r="Z932" s="1445"/>
      <c r="AA932" s="1646"/>
      <c r="AB932" s="1547"/>
      <c r="AC932" s="1547"/>
      <c r="AD932" s="1547"/>
      <c r="AE932" s="1547"/>
      <c r="AF932" s="164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05" customHeight="1">
      <c r="F933" s="121" t="s">
        <v>1387</v>
      </c>
      <c r="G933" s="5"/>
      <c r="H933" s="5"/>
      <c r="I933" s="5"/>
      <c r="J933" s="5"/>
      <c r="K933" s="5"/>
      <c r="L933" s="5"/>
      <c r="M933" s="5"/>
      <c r="N933" s="5"/>
      <c r="O933" s="5"/>
      <c r="P933" s="5"/>
      <c r="Q933" s="5"/>
      <c r="R933" s="5"/>
      <c r="S933" s="5"/>
      <c r="T933" s="46"/>
      <c r="U933" s="1645" t="s">
        <v>599</v>
      </c>
      <c r="V933" s="1444"/>
      <c r="W933" s="1444"/>
      <c r="X933" s="1444"/>
      <c r="Y933" s="1444"/>
      <c r="Z933" s="1445"/>
      <c r="AA933" s="1646"/>
      <c r="AB933" s="1547"/>
      <c r="AC933" s="1547"/>
      <c r="AD933" s="1547"/>
      <c r="AE933" s="1547"/>
      <c r="AF933" s="164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05" customHeight="1">
      <c r="F934" s="66" t="s">
        <v>811</v>
      </c>
      <c r="G934" s="5"/>
      <c r="H934" s="5"/>
      <c r="I934" s="5"/>
      <c r="J934" s="5"/>
      <c r="K934" s="5"/>
      <c r="L934" s="5"/>
      <c r="M934" s="5"/>
      <c r="N934" s="5"/>
      <c r="O934" s="5"/>
      <c r="P934" s="5"/>
      <c r="Q934" s="5"/>
      <c r="R934" s="5"/>
      <c r="S934" s="5"/>
      <c r="T934" s="46"/>
      <c r="U934" s="1645" t="s">
        <v>599</v>
      </c>
      <c r="V934" s="1444"/>
      <c r="W934" s="1444"/>
      <c r="X934" s="1444"/>
      <c r="Y934" s="1444"/>
      <c r="Z934" s="1445"/>
      <c r="AA934" s="1646"/>
      <c r="AB934" s="1547"/>
      <c r="AC934" s="1547"/>
      <c r="AD934" s="1547"/>
      <c r="AE934" s="1547"/>
      <c r="AF934" s="164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05" customHeight="1">
      <c r="F935" s="1651" t="s">
        <v>2558</v>
      </c>
      <c r="G935" s="1652"/>
      <c r="H935" s="1652"/>
      <c r="I935" s="1652"/>
      <c r="J935" s="1652"/>
      <c r="K935" s="1652"/>
      <c r="L935" s="1652"/>
      <c r="M935" s="1652"/>
      <c r="N935" s="1652"/>
      <c r="O935" s="1652"/>
      <c r="P935" s="1652"/>
      <c r="Q935" s="1652"/>
      <c r="R935" s="1652"/>
      <c r="S935" s="1652"/>
      <c r="T935" s="1653"/>
      <c r="U935" s="1645" t="s">
        <v>599</v>
      </c>
      <c r="V935" s="1444"/>
      <c r="W935" s="1444"/>
      <c r="X935" s="1444"/>
      <c r="Y935" s="1444"/>
      <c r="Z935" s="1445"/>
      <c r="AA935" s="1646"/>
      <c r="AB935" s="1547"/>
      <c r="AC935" s="1547"/>
      <c r="AD935" s="1547"/>
      <c r="AE935" s="1547"/>
      <c r="AF935" s="164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05" customHeight="1">
      <c r="F936" s="1651" t="s">
        <v>2559</v>
      </c>
      <c r="G936" s="1652"/>
      <c r="H936" s="1652"/>
      <c r="I936" s="1652"/>
      <c r="J936" s="1652"/>
      <c r="K936" s="1652"/>
      <c r="L936" s="1652"/>
      <c r="M936" s="1652"/>
      <c r="N936" s="1652"/>
      <c r="O936" s="1652"/>
      <c r="P936" s="1652"/>
      <c r="Q936" s="1652"/>
      <c r="R936" s="1652"/>
      <c r="S936" s="1652"/>
      <c r="T936" s="1653"/>
      <c r="U936" s="1645" t="s">
        <v>599</v>
      </c>
      <c r="V936" s="1444"/>
      <c r="W936" s="1444"/>
      <c r="X936" s="1444"/>
      <c r="Y936" s="1444"/>
      <c r="Z936" s="1445"/>
      <c r="AA936" s="1646"/>
      <c r="AB936" s="1547"/>
      <c r="AC936" s="1547"/>
      <c r="AD936" s="1547"/>
      <c r="AE936" s="1547"/>
      <c r="AF936" s="164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05" customHeight="1">
      <c r="F937" s="1648" t="s">
        <v>2555</v>
      </c>
      <c r="G937" s="1649"/>
      <c r="H937" s="1649"/>
      <c r="I937" s="1649"/>
      <c r="J937" s="1649"/>
      <c r="K937" s="1649"/>
      <c r="L937" s="1649"/>
      <c r="M937" s="1649"/>
      <c r="N937" s="1649"/>
      <c r="O937" s="1649"/>
      <c r="P937" s="1649"/>
      <c r="Q937" s="1649"/>
      <c r="R937" s="1649"/>
      <c r="S937" s="1649"/>
      <c r="T937" s="1650"/>
      <c r="U937" s="1645" t="s">
        <v>599</v>
      </c>
      <c r="V937" s="1444"/>
      <c r="W937" s="1444"/>
      <c r="X937" s="1444"/>
      <c r="Y937" s="1444"/>
      <c r="Z937" s="1445"/>
      <c r="AA937" s="1646"/>
      <c r="AB937" s="1547"/>
      <c r="AC937" s="1547"/>
      <c r="AD937" s="1547"/>
      <c r="AE937" s="1547"/>
      <c r="AF937" s="164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05" customHeight="1">
      <c r="F938" s="1648" t="s">
        <v>2556</v>
      </c>
      <c r="G938" s="1649"/>
      <c r="H938" s="1649"/>
      <c r="I938" s="1649"/>
      <c r="J938" s="1649"/>
      <c r="K938" s="1649"/>
      <c r="L938" s="1649"/>
      <c r="M938" s="1649"/>
      <c r="N938" s="1649"/>
      <c r="O938" s="1649"/>
      <c r="P938" s="1649"/>
      <c r="Q938" s="1649"/>
      <c r="R938" s="1649"/>
      <c r="S938" s="1649"/>
      <c r="T938" s="1650"/>
      <c r="U938" s="1645" t="s">
        <v>599</v>
      </c>
      <c r="V938" s="1444"/>
      <c r="W938" s="1444"/>
      <c r="X938" s="1444"/>
      <c r="Y938" s="1444"/>
      <c r="Z938" s="144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05" customHeight="1">
      <c r="F939" s="1648" t="s">
        <v>2557</v>
      </c>
      <c r="G939" s="1649"/>
      <c r="H939" s="1649"/>
      <c r="I939" s="1649"/>
      <c r="J939" s="1649"/>
      <c r="K939" s="1649"/>
      <c r="L939" s="1649"/>
      <c r="M939" s="1649"/>
      <c r="N939" s="1649"/>
      <c r="O939" s="1649"/>
      <c r="P939" s="1649"/>
      <c r="Q939" s="1649"/>
      <c r="R939" s="1649"/>
      <c r="S939" s="1649"/>
      <c r="T939" s="1650"/>
      <c r="U939" s="1645" t="s">
        <v>599</v>
      </c>
      <c r="V939" s="1444"/>
      <c r="W939" s="1444"/>
      <c r="X939" s="1444"/>
      <c r="Y939" s="1444"/>
      <c r="Z939" s="144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05" customHeight="1">
      <c r="F940" s="121" t="s">
        <v>1371</v>
      </c>
      <c r="G940" s="5"/>
      <c r="H940" s="5"/>
      <c r="I940" s="5"/>
      <c r="J940" s="5"/>
      <c r="K940" s="5"/>
      <c r="L940" s="5"/>
      <c r="M940" s="5"/>
      <c r="N940" s="5"/>
      <c r="O940" s="5"/>
      <c r="P940" s="5"/>
      <c r="Q940" s="5"/>
      <c r="R940" s="5"/>
      <c r="S940" s="5"/>
      <c r="T940" s="46"/>
      <c r="U940" s="1645" t="s">
        <v>599</v>
      </c>
      <c r="V940" s="1444"/>
      <c r="W940" s="1444"/>
      <c r="X940" s="1444"/>
      <c r="Y940" s="1444"/>
      <c r="Z940" s="1445"/>
      <c r="AA940" s="1646"/>
      <c r="AB940" s="1547"/>
      <c r="AC940" s="1547"/>
      <c r="AD940" s="1547"/>
      <c r="AE940" s="1547"/>
      <c r="AF940" s="164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05" customHeight="1">
      <c r="F941" s="1651" t="s">
        <v>2560</v>
      </c>
      <c r="G941" s="1652"/>
      <c r="H941" s="1652"/>
      <c r="I941" s="1652"/>
      <c r="J941" s="1652"/>
      <c r="K941" s="1652"/>
      <c r="L941" s="1652"/>
      <c r="M941" s="1652"/>
      <c r="N941" s="1652"/>
      <c r="O941" s="1652"/>
      <c r="P941" s="1652"/>
      <c r="Q941" s="1652"/>
      <c r="R941" s="1652"/>
      <c r="S941" s="1652"/>
      <c r="T941" s="1653"/>
      <c r="U941" s="1645" t="s">
        <v>599</v>
      </c>
      <c r="V941" s="1444"/>
      <c r="W941" s="1444"/>
      <c r="X941" s="1444"/>
      <c r="Y941" s="1444"/>
      <c r="Z941" s="1445"/>
      <c r="AA941" s="1646"/>
      <c r="AB941" s="1547"/>
      <c r="AC941" s="1547"/>
      <c r="AD941" s="1547"/>
      <c r="AE941" s="1547"/>
      <c r="AF941" s="164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05" customHeight="1">
      <c r="F942" s="121" t="s">
        <v>1372</v>
      </c>
      <c r="G942" s="5"/>
      <c r="H942" s="5"/>
      <c r="I942" s="5"/>
      <c r="J942" s="5"/>
      <c r="K942" s="5"/>
      <c r="L942" s="5"/>
      <c r="M942" s="5"/>
      <c r="N942" s="5"/>
      <c r="O942" s="5"/>
      <c r="P942" s="5"/>
      <c r="Q942" s="5"/>
      <c r="R942" s="5"/>
      <c r="S942" s="5"/>
      <c r="T942" s="46"/>
      <c r="U942" s="1645" t="s">
        <v>599</v>
      </c>
      <c r="V942" s="1444"/>
      <c r="W942" s="1444"/>
      <c r="X942" s="1444"/>
      <c r="Y942" s="1444"/>
      <c r="Z942" s="1445"/>
      <c r="AA942" s="1646"/>
      <c r="AB942" s="1547"/>
      <c r="AC942" s="1547"/>
      <c r="AD942" s="1547"/>
      <c r="AE942" s="1547"/>
      <c r="AF942" s="164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05" customHeight="1">
      <c r="F943" s="1651" t="s">
        <v>2561</v>
      </c>
      <c r="G943" s="1652"/>
      <c r="H943" s="1652"/>
      <c r="I943" s="1652"/>
      <c r="J943" s="1652"/>
      <c r="K943" s="1652"/>
      <c r="L943" s="1652"/>
      <c r="M943" s="1652"/>
      <c r="N943" s="1652"/>
      <c r="O943" s="1652"/>
      <c r="P943" s="1652"/>
      <c r="Q943" s="1652"/>
      <c r="R943" s="1652"/>
      <c r="S943" s="1652"/>
      <c r="T943" s="1653"/>
      <c r="U943" s="1645" t="s">
        <v>599</v>
      </c>
      <c r="V943" s="1444"/>
      <c r="W943" s="1444"/>
      <c r="X943" s="1444"/>
      <c r="Y943" s="1444"/>
      <c r="Z943" s="1445"/>
      <c r="AA943" s="1646"/>
      <c r="AB943" s="1547"/>
      <c r="AC943" s="1547"/>
      <c r="AD943" s="1547"/>
      <c r="AE943" s="1547"/>
      <c r="AF943" s="164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05" customHeight="1">
      <c r="F944" s="45" t="s">
        <v>815</v>
      </c>
      <c r="G944" s="5"/>
      <c r="H944" s="5"/>
      <c r="I944" s="5"/>
      <c r="J944" s="5"/>
      <c r="K944" s="5"/>
      <c r="L944" s="5"/>
      <c r="M944" s="5"/>
      <c r="N944" s="5"/>
      <c r="O944" s="5"/>
      <c r="P944" s="1645" t="s">
        <v>677</v>
      </c>
      <c r="Q944" s="1444"/>
      <c r="R944" s="1444"/>
      <c r="S944" s="1444"/>
      <c r="T944" s="1445"/>
      <c r="U944" s="1645" t="s">
        <v>599</v>
      </c>
      <c r="V944" s="1444"/>
      <c r="W944" s="1444"/>
      <c r="X944" s="1444"/>
      <c r="Y944" s="1444"/>
      <c r="Z944" s="1445"/>
      <c r="AA944" s="1646"/>
      <c r="AB944" s="1547"/>
      <c r="AC944" s="1547"/>
      <c r="AD944" s="1547"/>
      <c r="AE944" s="1547"/>
      <c r="AF944" s="164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05" customHeight="1">
      <c r="F945" s="1648" t="s">
        <v>2548</v>
      </c>
      <c r="G945" s="1649"/>
      <c r="H945" s="1650"/>
      <c r="I945" s="1622" t="s">
        <v>335</v>
      </c>
      <c r="J945" s="1623"/>
      <c r="K945" s="1623"/>
      <c r="L945" s="1623"/>
      <c r="M945" s="1623"/>
      <c r="N945" s="1623"/>
      <c r="O945" s="1623"/>
      <c r="P945" s="1623"/>
      <c r="Q945" s="1623"/>
      <c r="R945" s="1623"/>
      <c r="S945" s="1623"/>
      <c r="T945" s="1629"/>
      <c r="U945" s="1645" t="s">
        <v>599</v>
      </c>
      <c r="V945" s="1444"/>
      <c r="W945" s="1444"/>
      <c r="X945" s="1444"/>
      <c r="Y945" s="1444"/>
      <c r="Z945" s="1445"/>
      <c r="AA945" s="1646"/>
      <c r="AB945" s="1547"/>
      <c r="AC945" s="1547"/>
      <c r="AD945" s="1547"/>
      <c r="AE945" s="1547"/>
      <c r="AF945" s="164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05" customHeight="1">
      <c r="F946" s="45" t="s">
        <v>86</v>
      </c>
      <c r="G946" s="48"/>
      <c r="H946" s="48"/>
      <c r="I946" s="1622" t="s">
        <v>335</v>
      </c>
      <c r="J946" s="1623"/>
      <c r="K946" s="1623"/>
      <c r="L946" s="1623"/>
      <c r="M946" s="1623"/>
      <c r="N946" s="1623"/>
      <c r="O946" s="1623"/>
      <c r="P946" s="1623"/>
      <c r="Q946" s="1623"/>
      <c r="R946" s="1623"/>
      <c r="S946" s="1623"/>
      <c r="T946" s="1629"/>
      <c r="U946" s="1645" t="s">
        <v>599</v>
      </c>
      <c r="V946" s="1444"/>
      <c r="W946" s="1444"/>
      <c r="X946" s="1444"/>
      <c r="Y946" s="1444"/>
      <c r="Z946" s="1445"/>
      <c r="AA946" s="1646"/>
      <c r="AB946" s="1547"/>
      <c r="AC946" s="1547"/>
      <c r="AD946" s="1547"/>
      <c r="AE946" s="1547"/>
      <c r="AF946" s="164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05" customHeight="1">
      <c r="F947" s="45" t="s">
        <v>10</v>
      </c>
      <c r="G947" s="48"/>
      <c r="H947" s="48"/>
      <c r="I947" s="1789" t="s">
        <v>335</v>
      </c>
      <c r="J947" s="1675"/>
      <c r="K947" s="1675"/>
      <c r="L947" s="1675"/>
      <c r="M947" s="1675"/>
      <c r="N947" s="1675"/>
      <c r="O947" s="1675"/>
      <c r="P947" s="1675"/>
      <c r="Q947" s="1675"/>
      <c r="R947" s="1675"/>
      <c r="S947" s="1675"/>
      <c r="T947" s="1676"/>
      <c r="U947" s="1645" t="s">
        <v>599</v>
      </c>
      <c r="V947" s="1444"/>
      <c r="W947" s="1444"/>
      <c r="X947" s="1444"/>
      <c r="Y947" s="1444"/>
      <c r="Z947" s="1445"/>
      <c r="AA947" s="1646"/>
      <c r="AB947" s="1547"/>
      <c r="AC947" s="1547"/>
      <c r="AD947" s="1547"/>
      <c r="AE947" s="1547"/>
      <c r="AF947" s="164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05" customHeight="1">
      <c r="F948" s="47" t="s">
        <v>170</v>
      </c>
      <c r="G948" s="48"/>
      <c r="H948" s="48"/>
      <c r="I948" s="1622" t="s">
        <v>2744</v>
      </c>
      <c r="J948" s="1675"/>
      <c r="K948" s="1675"/>
      <c r="L948" s="1675"/>
      <c r="M948" s="1675"/>
      <c r="N948" s="1675"/>
      <c r="O948" s="1675"/>
      <c r="P948" s="1675"/>
      <c r="Q948" s="1675"/>
      <c r="R948" s="1675"/>
      <c r="S948" s="1675"/>
      <c r="T948" s="1676"/>
      <c r="U948" s="1645" t="s">
        <v>553</v>
      </c>
      <c r="V948" s="1444"/>
      <c r="W948" s="1444"/>
      <c r="X948" s="1444"/>
      <c r="Y948" s="1444"/>
      <c r="Z948" s="1445"/>
      <c r="AA948" s="1646">
        <v>6000000</v>
      </c>
      <c r="AB948" s="1547"/>
      <c r="AC948" s="1547"/>
      <c r="AD948" s="1547"/>
      <c r="AE948" s="1547"/>
      <c r="AF948" s="164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05" customHeight="1">
      <c r="F949" s="47" t="s">
        <v>170</v>
      </c>
      <c r="G949" s="48"/>
      <c r="H949" s="48"/>
      <c r="I949" s="1789" t="s">
        <v>335</v>
      </c>
      <c r="J949" s="1675"/>
      <c r="K949" s="1675"/>
      <c r="L949" s="1675"/>
      <c r="M949" s="1675"/>
      <c r="N949" s="1675"/>
      <c r="O949" s="1675"/>
      <c r="P949" s="1675"/>
      <c r="Q949" s="1675"/>
      <c r="R949" s="1675"/>
      <c r="S949" s="1675"/>
      <c r="T949" s="1676"/>
      <c r="U949" s="1645" t="s">
        <v>599</v>
      </c>
      <c r="V949" s="1444"/>
      <c r="W949" s="1444"/>
      <c r="X949" s="1444"/>
      <c r="Y949" s="1444"/>
      <c r="Z949" s="1445"/>
      <c r="AA949" s="1646"/>
      <c r="AB949" s="1547"/>
      <c r="AC949" s="1547"/>
      <c r="AD949" s="1547"/>
      <c r="AE949" s="1547"/>
      <c r="AF949" s="164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0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0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0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0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05" customHeight="1">
      <c r="C954" s="66" t="s">
        <v>11</v>
      </c>
      <c r="D954" s="5"/>
      <c r="E954" s="5"/>
      <c r="F954" s="5"/>
      <c r="G954" s="5"/>
      <c r="H954" s="5"/>
      <c r="I954" s="5"/>
      <c r="J954" s="5"/>
      <c r="K954" s="5"/>
      <c r="L954" s="46"/>
      <c r="M954" s="1677">
        <v>45373</v>
      </c>
      <c r="N954" s="1612"/>
      <c r="O954" s="1612"/>
      <c r="P954" s="1612"/>
      <c r="Q954" s="1612"/>
      <c r="R954" s="1612"/>
      <c r="S954" s="1613"/>
      <c r="U954" s="66" t="s">
        <v>11</v>
      </c>
      <c r="V954" s="5"/>
      <c r="W954" s="5"/>
      <c r="X954" s="5"/>
      <c r="Y954" s="5"/>
      <c r="Z954" s="5"/>
      <c r="AA954" s="5"/>
      <c r="AB954" s="5"/>
      <c r="AC954" s="5"/>
      <c r="AD954" s="46"/>
      <c r="AE954" s="1677"/>
      <c r="AF954" s="1612"/>
      <c r="AG954" s="1612"/>
      <c r="AH954" s="1612"/>
      <c r="AI954" s="1612"/>
      <c r="AJ954" s="1612"/>
      <c r="AK954" s="161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05" customHeight="1">
      <c r="C955" s="66" t="s">
        <v>12</v>
      </c>
      <c r="D955" s="5"/>
      <c r="E955" s="5"/>
      <c r="F955" s="5"/>
      <c r="G955" s="5"/>
      <c r="H955" s="5"/>
      <c r="I955" s="5"/>
      <c r="J955" s="5"/>
      <c r="K955" s="5"/>
      <c r="L955" s="46"/>
      <c r="M955" s="1669" t="s">
        <v>2746</v>
      </c>
      <c r="N955" s="1522"/>
      <c r="O955" s="1522"/>
      <c r="P955" s="1522"/>
      <c r="Q955" s="1522"/>
      <c r="R955" s="1522"/>
      <c r="S955" s="1670"/>
      <c r="U955" s="66" t="s">
        <v>12</v>
      </c>
      <c r="V955" s="5"/>
      <c r="W955" s="5"/>
      <c r="X955" s="5"/>
      <c r="Y955" s="5"/>
      <c r="Z955" s="5"/>
      <c r="AA955" s="5"/>
      <c r="AB955" s="5"/>
      <c r="AC955" s="5"/>
      <c r="AD955" s="46"/>
      <c r="AE955" s="1669"/>
      <c r="AF955" s="1522"/>
      <c r="AG955" s="1522"/>
      <c r="AH955" s="1522"/>
      <c r="AI955" s="1522"/>
      <c r="AJ955" s="1522"/>
      <c r="AK955" s="1670"/>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05" customHeight="1">
      <c r="C956" s="66" t="s">
        <v>892</v>
      </c>
      <c r="D956" s="5"/>
      <c r="E956" s="5"/>
      <c r="J956" s="1671" t="s">
        <v>2745</v>
      </c>
      <c r="K956" s="1672"/>
      <c r="L956" s="1672"/>
      <c r="M956" s="1672"/>
      <c r="N956" s="1672"/>
      <c r="O956" s="1672"/>
      <c r="P956" s="1672"/>
      <c r="Q956" s="1672"/>
      <c r="R956" s="1672"/>
      <c r="S956" s="1673"/>
      <c r="U956" s="66" t="s">
        <v>892</v>
      </c>
      <c r="V956" s="5"/>
      <c r="W956" s="5"/>
      <c r="AB956" s="1671" t="s">
        <v>308</v>
      </c>
      <c r="AC956" s="1672"/>
      <c r="AD956" s="1672"/>
      <c r="AE956" s="1672"/>
      <c r="AF956" s="1672"/>
      <c r="AG956" s="1672"/>
      <c r="AH956" s="1672"/>
      <c r="AI956" s="1672"/>
      <c r="AJ956" s="1672"/>
      <c r="AK956" s="167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05" customHeight="1">
      <c r="C957" s="66" t="s">
        <v>13</v>
      </c>
      <c r="D957" s="5"/>
      <c r="E957" s="5"/>
      <c r="F957" s="5"/>
      <c r="G957" s="5"/>
      <c r="H957" s="5"/>
      <c r="I957" s="5"/>
      <c r="J957" s="5"/>
      <c r="K957" s="5"/>
      <c r="L957" s="46"/>
      <c r="M957" s="1865">
        <v>5.7000000000000002E-2</v>
      </c>
      <c r="N957" s="1715"/>
      <c r="O957" s="1715"/>
      <c r="P957" s="1715"/>
      <c r="Q957" s="1715"/>
      <c r="R957" s="1715"/>
      <c r="S957" s="1716"/>
      <c r="U957" s="66" t="s">
        <v>13</v>
      </c>
      <c r="V957" s="5"/>
      <c r="W957" s="5"/>
      <c r="X957" s="5"/>
      <c r="Y957" s="5"/>
      <c r="Z957" s="5"/>
      <c r="AA957" s="5"/>
      <c r="AB957" s="5"/>
      <c r="AC957" s="5"/>
      <c r="AD957" s="46"/>
      <c r="AE957" s="1714"/>
      <c r="AF957" s="1715"/>
      <c r="AG957" s="1715"/>
      <c r="AH957" s="1715"/>
      <c r="AI957" s="1715"/>
      <c r="AJ957" s="1715"/>
      <c r="AK957" s="171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05" customHeight="1">
      <c r="C958" s="66" t="s">
        <v>14</v>
      </c>
      <c r="D958" s="5"/>
      <c r="E958" s="5"/>
      <c r="F958" s="5"/>
      <c r="G958" s="5"/>
      <c r="H958" s="5"/>
      <c r="I958" s="5"/>
      <c r="J958" s="5"/>
      <c r="K958" s="5"/>
      <c r="L958" s="46"/>
      <c r="M958" s="1624">
        <v>8</v>
      </c>
      <c r="N958" s="1625"/>
      <c r="O958" s="1625"/>
      <c r="P958" s="1625"/>
      <c r="Q958" s="1625"/>
      <c r="R958" s="1625"/>
      <c r="S958" s="1626"/>
      <c r="U958" s="66" t="s">
        <v>14</v>
      </c>
      <c r="V958" s="5"/>
      <c r="W958" s="5"/>
      <c r="X958" s="5"/>
      <c r="Y958" s="5"/>
      <c r="Z958" s="5"/>
      <c r="AA958" s="5"/>
      <c r="AB958" s="5"/>
      <c r="AC958" s="5"/>
      <c r="AD958" s="46"/>
      <c r="AE958" s="1624"/>
      <c r="AF958" s="1625"/>
      <c r="AG958" s="1625"/>
      <c r="AH958" s="1625"/>
      <c r="AI958" s="1625"/>
      <c r="AJ958" s="1625"/>
      <c r="AK958" s="162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05" customHeight="1">
      <c r="C959" s="66" t="s">
        <v>15</v>
      </c>
      <c r="D959" s="5"/>
      <c r="E959" s="5"/>
      <c r="F959" s="5"/>
      <c r="G959" s="5"/>
      <c r="H959" s="5"/>
      <c r="I959" s="5"/>
      <c r="J959" s="5"/>
      <c r="K959" s="5"/>
      <c r="L959" s="46"/>
      <c r="M959" s="1646">
        <v>179194</v>
      </c>
      <c r="N959" s="1547"/>
      <c r="O959" s="1547"/>
      <c r="P959" s="1547"/>
      <c r="Q959" s="1547"/>
      <c r="R959" s="1547"/>
      <c r="S959" s="1647"/>
      <c r="U959" s="66" t="s">
        <v>15</v>
      </c>
      <c r="V959" s="5"/>
      <c r="W959" s="5"/>
      <c r="X959" s="5"/>
      <c r="Y959" s="5"/>
      <c r="Z959" s="5"/>
      <c r="AA959" s="5"/>
      <c r="AB959" s="5"/>
      <c r="AC959" s="5"/>
      <c r="AD959" s="46"/>
      <c r="AE959" s="1646"/>
      <c r="AF959" s="1547"/>
      <c r="AG959" s="1547"/>
      <c r="AH959" s="1547"/>
      <c r="AI959" s="1547"/>
      <c r="AJ959" s="1547"/>
      <c r="AK959" s="164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05" customHeight="1">
      <c r="C960" s="66" t="s">
        <v>16</v>
      </c>
      <c r="D960" s="5"/>
      <c r="E960" s="5"/>
      <c r="F960" s="5"/>
      <c r="G960" s="5"/>
      <c r="H960" s="5"/>
      <c r="I960" s="5"/>
      <c r="J960" s="5"/>
      <c r="K960" s="5"/>
      <c r="L960" s="46"/>
      <c r="M960" s="1646">
        <f>M959*20</f>
        <v>3583880</v>
      </c>
      <c r="N960" s="1547"/>
      <c r="O960" s="1547"/>
      <c r="P960" s="1547"/>
      <c r="Q960" s="1547"/>
      <c r="R960" s="1547"/>
      <c r="S960" s="1647"/>
      <c r="U960" s="66" t="s">
        <v>16</v>
      </c>
      <c r="V960" s="5"/>
      <c r="W960" s="5"/>
      <c r="X960" s="5"/>
      <c r="Y960" s="5"/>
      <c r="Z960" s="5"/>
      <c r="AA960" s="5"/>
      <c r="AB960" s="5"/>
      <c r="AC960" s="5"/>
      <c r="AD960" s="46"/>
      <c r="AE960" s="1646"/>
      <c r="AF960" s="1547"/>
      <c r="AG960" s="1547"/>
      <c r="AH960" s="1547"/>
      <c r="AI960" s="1547"/>
      <c r="AJ960" s="1547"/>
      <c r="AK960" s="164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05" customHeight="1">
      <c r="C961" s="121" t="s">
        <v>1775</v>
      </c>
      <c r="D961" s="5"/>
      <c r="E961" s="5"/>
      <c r="F961" s="5"/>
      <c r="G961" s="5"/>
      <c r="H961" s="5"/>
      <c r="I961" s="5"/>
      <c r="J961" s="5"/>
      <c r="K961" s="5"/>
      <c r="L961" s="46"/>
      <c r="M961" s="1682">
        <v>20</v>
      </c>
      <c r="N961" s="1683"/>
      <c r="O961" s="1683"/>
      <c r="P961" s="1683"/>
      <c r="Q961" s="1683"/>
      <c r="R961" s="1683"/>
      <c r="S961" s="1684"/>
      <c r="U961" s="121" t="s">
        <v>1775</v>
      </c>
      <c r="V961" s="5"/>
      <c r="W961" s="5"/>
      <c r="X961" s="5"/>
      <c r="Y961" s="5"/>
      <c r="Z961" s="5"/>
      <c r="AA961" s="5"/>
      <c r="AB961" s="5"/>
      <c r="AC961" s="5"/>
      <c r="AD961" s="46"/>
      <c r="AE961" s="1682"/>
      <c r="AF961" s="1683"/>
      <c r="AG961" s="1683"/>
      <c r="AH961" s="1683"/>
      <c r="AI961" s="1683"/>
      <c r="AJ961" s="1683"/>
      <c r="AK961" s="168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0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0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0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0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05" customHeight="1">
      <c r="A966"/>
      <c r="B966"/>
      <c r="C966"/>
      <c r="D966"/>
      <c r="E966"/>
      <c r="F966" s="45" t="s">
        <v>579</v>
      </c>
      <c r="G966" s="5"/>
      <c r="H966" s="5"/>
      <c r="I966" s="5"/>
      <c r="J966" s="5"/>
      <c r="K966" s="5"/>
      <c r="L966" s="46"/>
      <c r="M966" s="1657"/>
      <c r="N966" s="1658"/>
      <c r="O966" s="1658"/>
      <c r="P966" s="1658"/>
      <c r="Q966" s="1658"/>
      <c r="R966" s="1658"/>
      <c r="S966" s="1659"/>
      <c r="T966" s="66" t="s">
        <v>799</v>
      </c>
      <c r="U966" s="5"/>
      <c r="V966" s="5"/>
      <c r="W966" s="5"/>
      <c r="X966" s="5"/>
      <c r="Y966" s="5"/>
      <c r="Z966" s="46"/>
      <c r="AA966" s="1657"/>
      <c r="AB966" s="1658"/>
      <c r="AC966" s="1658"/>
      <c r="AD966" s="1658"/>
      <c r="AE966" s="1658"/>
      <c r="AF966" s="1658"/>
      <c r="AG966" s="165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05" customHeight="1">
      <c r="A967"/>
      <c r="B967"/>
      <c r="C967"/>
      <c r="D967"/>
      <c r="E967"/>
      <c r="F967" s="45" t="s">
        <v>580</v>
      </c>
      <c r="G967" s="5"/>
      <c r="H967" s="5"/>
      <c r="I967" s="5"/>
      <c r="J967" s="5"/>
      <c r="K967" s="5"/>
      <c r="L967" s="46"/>
      <c r="M967" s="1657"/>
      <c r="N967" s="1658"/>
      <c r="O967" s="1658"/>
      <c r="P967" s="1658"/>
      <c r="Q967" s="1658"/>
      <c r="R967" s="1658"/>
      <c r="S967" s="1659"/>
      <c r="T967" s="66" t="s">
        <v>798</v>
      </c>
      <c r="U967" s="5"/>
      <c r="V967" s="5"/>
      <c r="W967" s="5"/>
      <c r="X967" s="5"/>
      <c r="Y967" s="5"/>
      <c r="Z967" s="46"/>
      <c r="AA967" s="1657"/>
      <c r="AB967" s="1658"/>
      <c r="AC967" s="1658"/>
      <c r="AD967" s="1658"/>
      <c r="AE967" s="1658"/>
      <c r="AF967" s="1658"/>
      <c r="AG967" s="165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05" customHeight="1">
      <c r="A968"/>
      <c r="B968"/>
      <c r="C968"/>
      <c r="D968"/>
      <c r="E968"/>
      <c r="F968" s="45" t="s">
        <v>916</v>
      </c>
      <c r="G968" s="5"/>
      <c r="H968" s="5"/>
      <c r="I968" s="5"/>
      <c r="J968" s="5"/>
      <c r="K968" s="5"/>
      <c r="L968" s="46"/>
      <c r="M968" s="1678" t="s">
        <v>599</v>
      </c>
      <c r="N968" s="1679"/>
      <c r="O968" s="1679"/>
      <c r="P968" s="1679"/>
      <c r="Q968" s="1679"/>
      <c r="R968" s="1679"/>
      <c r="S968" s="1680"/>
      <c r="T968" s="45" t="s">
        <v>338</v>
      </c>
      <c r="U968" s="5"/>
      <c r="V968" s="5"/>
      <c r="W968" s="5"/>
      <c r="X968" s="5"/>
      <c r="Y968" s="5"/>
      <c r="Z968" s="46"/>
      <c r="AA968" s="1657"/>
      <c r="AB968" s="1658"/>
      <c r="AC968" s="1658"/>
      <c r="AD968" s="1658"/>
      <c r="AE968" s="1658"/>
      <c r="AF968" s="1658"/>
      <c r="AG968" s="165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05" customHeight="1">
      <c r="A969"/>
      <c r="B969"/>
      <c r="C969"/>
      <c r="D969"/>
      <c r="E969"/>
      <c r="F969" s="45" t="s">
        <v>581</v>
      </c>
      <c r="G969" s="5"/>
      <c r="H969" s="5"/>
      <c r="I969" s="5"/>
      <c r="J969" s="5"/>
      <c r="K969" s="5"/>
      <c r="L969" s="46"/>
      <c r="M969" s="1657"/>
      <c r="N969" s="1658"/>
      <c r="O969" s="1658"/>
      <c r="P969" s="1658"/>
      <c r="Q969" s="1658"/>
      <c r="R969" s="1658"/>
      <c r="S969" s="1659"/>
      <c r="T969" s="45" t="s">
        <v>339</v>
      </c>
      <c r="U969" s="5"/>
      <c r="V969" s="5"/>
      <c r="W969" s="5"/>
      <c r="X969" s="5"/>
      <c r="Y969" s="5"/>
      <c r="Z969" s="46"/>
      <c r="AA969" s="1657"/>
      <c r="AB969" s="1658"/>
      <c r="AC969" s="1658"/>
      <c r="AD969" s="1658"/>
      <c r="AE969" s="1658"/>
      <c r="AF969" s="1658"/>
      <c r="AG969" s="165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05" customHeight="1">
      <c r="A970"/>
      <c r="B970"/>
      <c r="C970"/>
      <c r="D970"/>
      <c r="E970"/>
      <c r="F970" s="45" t="s">
        <v>472</v>
      </c>
      <c r="G970" s="5"/>
      <c r="H970" s="5"/>
      <c r="I970" s="5"/>
      <c r="J970" s="5"/>
      <c r="K970" s="5"/>
      <c r="L970" s="46"/>
      <c r="M970" s="1657"/>
      <c r="N970" s="1658"/>
      <c r="O970" s="1658"/>
      <c r="P970" s="1658"/>
      <c r="Q970" s="1658"/>
      <c r="R970" s="1658"/>
      <c r="S970" s="1659"/>
      <c r="T970" s="45" t="s">
        <v>377</v>
      </c>
      <c r="U970" s="5"/>
      <c r="V970" s="5"/>
      <c r="W970" s="5"/>
      <c r="X970" s="5"/>
      <c r="Y970" s="5"/>
      <c r="Z970" s="46"/>
      <c r="AA970" s="1657"/>
      <c r="AB970" s="1658"/>
      <c r="AC970" s="1658"/>
      <c r="AD970" s="1658"/>
      <c r="AE970" s="1658"/>
      <c r="AF970" s="1658"/>
      <c r="AG970" s="165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05" customHeight="1">
      <c r="A971"/>
      <c r="B971"/>
      <c r="C971"/>
      <c r="D971"/>
      <c r="E971"/>
      <c r="F971" s="260" t="s">
        <v>892</v>
      </c>
      <c r="G971" s="42"/>
      <c r="H971" s="42"/>
      <c r="I971" s="42"/>
      <c r="J971" s="42"/>
      <c r="K971" s="42"/>
      <c r="L971" s="58"/>
      <c r="M971" s="1721" t="s">
        <v>308</v>
      </c>
      <c r="N971" s="1722"/>
      <c r="O971" s="1722"/>
      <c r="P971" s="1722"/>
      <c r="Q971" s="1722"/>
      <c r="R971" s="1722"/>
      <c r="S971" s="1723"/>
      <c r="T971" s="1654"/>
      <c r="U971" s="1655"/>
      <c r="V971" s="1655"/>
      <c r="W971" s="1655"/>
      <c r="X971" s="1655"/>
      <c r="Y971" s="1655"/>
      <c r="Z971" s="1656"/>
      <c r="AA971" s="1657"/>
      <c r="AB971" s="1658"/>
      <c r="AC971" s="1658"/>
      <c r="AD971" s="1658"/>
      <c r="AE971" s="1658"/>
      <c r="AF971" s="1658"/>
      <c r="AG971" s="165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05" customHeight="1">
      <c r="A972"/>
      <c r="B972"/>
      <c r="C972"/>
      <c r="D972"/>
      <c r="E972"/>
      <c r="F972" s="41" t="s">
        <v>473</v>
      </c>
      <c r="G972" s="42"/>
      <c r="H972" s="42"/>
      <c r="I972" s="42"/>
      <c r="J972" s="42"/>
      <c r="K972" s="42"/>
      <c r="L972" s="58"/>
      <c r="M972" s="1657"/>
      <c r="N972" s="1658"/>
      <c r="O972" s="1658"/>
      <c r="P972" s="1658"/>
      <c r="Q972" s="1658"/>
      <c r="R972" s="1658"/>
      <c r="S972" s="1659"/>
      <c r="T972" s="1654"/>
      <c r="U972" s="1655"/>
      <c r="V972" s="1655"/>
      <c r="W972" s="1655"/>
      <c r="X972" s="1655"/>
      <c r="Y972" s="1655"/>
      <c r="Z972" s="1656"/>
      <c r="AA972" s="1657"/>
      <c r="AB972" s="1658"/>
      <c r="AC972" s="1658"/>
      <c r="AD972" s="1658"/>
      <c r="AE972" s="1658"/>
      <c r="AF972" s="1658"/>
      <c r="AG972" s="165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05" customHeight="1">
      <c r="F973" s="41" t="s">
        <v>337</v>
      </c>
      <c r="G973" s="42"/>
      <c r="H973" s="42"/>
      <c r="I973" s="42"/>
      <c r="J973" s="42"/>
      <c r="K973" s="42"/>
      <c r="L973" s="42"/>
      <c r="M973" s="42"/>
      <c r="N973" s="42"/>
      <c r="O973" s="1483" t="s">
        <v>677</v>
      </c>
      <c r="P973" s="1484"/>
      <c r="Q973" s="92"/>
      <c r="R973" s="92"/>
      <c r="S973" s="93"/>
      <c r="T973" s="41" t="s">
        <v>170</v>
      </c>
      <c r="U973" s="42"/>
      <c r="V973" s="42"/>
      <c r="W973" s="1718" t="s">
        <v>335</v>
      </c>
      <c r="X973" s="1719"/>
      <c r="Y973" s="1719"/>
      <c r="Z973" s="1719"/>
      <c r="AA973" s="1719"/>
      <c r="AB973" s="1719"/>
      <c r="AC973" s="1719"/>
      <c r="AD973" s="1719"/>
      <c r="AE973" s="1719"/>
      <c r="AF973" s="1719"/>
      <c r="AG973" s="172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05" customHeight="1">
      <c r="F974" s="1627" t="s">
        <v>33</v>
      </c>
      <c r="G974" s="1373"/>
      <c r="H974" s="1373"/>
      <c r="I974" s="1373"/>
      <c r="J974" s="1373"/>
      <c r="K974" s="1373"/>
      <c r="L974" s="1373"/>
      <c r="M974" s="1657"/>
      <c r="N974" s="1658"/>
      <c r="O974" s="1658"/>
      <c r="P974" s="1658"/>
      <c r="Q974" s="1658"/>
      <c r="R974" s="1658"/>
      <c r="S974" s="1659"/>
      <c r="T974" s="47"/>
      <c r="U974" s="48"/>
      <c r="V974" s="48"/>
      <c r="W974" s="48"/>
      <c r="X974" s="48"/>
      <c r="Y974" s="48"/>
      <c r="Z974" s="124" t="s">
        <v>134</v>
      </c>
      <c r="AA974" s="1777"/>
      <c r="AB974" s="1778"/>
      <c r="AC974" s="1778"/>
      <c r="AD974" s="1778"/>
      <c r="AE974" s="1778"/>
      <c r="AF974" s="1778"/>
      <c r="AG974" s="177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05" customHeight="1">
      <c r="AU975" s="68"/>
      <c r="AV975" s="68"/>
      <c r="AW975" s="68"/>
      <c r="AX975" s="68"/>
      <c r="AY975" s="68"/>
      <c r="AZ975" s="14"/>
      <c r="BA975" s="14"/>
      <c r="BB975" s="14"/>
      <c r="BC975" s="14"/>
      <c r="BD975" s="14"/>
      <c r="BE975" s="14"/>
      <c r="BF975" s="14"/>
      <c r="BG975" s="1631"/>
      <c r="BH975" s="1631"/>
      <c r="BI975" s="1631"/>
      <c r="BJ975" s="1631"/>
      <c r="BK975" s="1631"/>
      <c r="BL975" s="163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0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0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05" customHeight="1">
      <c r="A978" s="1674" t="s">
        <v>556</v>
      </c>
      <c r="B978" s="1674"/>
      <c r="C978" s="1674"/>
      <c r="D978" s="1674"/>
      <c r="E978" s="1674"/>
      <c r="F978" s="1674"/>
      <c r="G978" s="1674"/>
      <c r="H978" s="1674"/>
      <c r="I978" s="1674"/>
      <c r="J978" s="1674"/>
      <c r="K978" s="1674"/>
      <c r="L978" s="1674"/>
      <c r="M978" s="1674"/>
      <c r="N978" s="1674"/>
      <c r="O978" s="1674"/>
      <c r="P978" s="1674"/>
      <c r="Q978" s="1674"/>
      <c r="R978" s="1674"/>
      <c r="S978" s="1674"/>
      <c r="T978" s="1674"/>
      <c r="U978" s="1674"/>
      <c r="V978" s="1674"/>
      <c r="W978" s="1674"/>
      <c r="X978" s="1674"/>
      <c r="Y978" s="1674"/>
      <c r="Z978" s="1674"/>
      <c r="AA978" s="1674"/>
      <c r="AB978" s="1674"/>
      <c r="AC978" s="1674"/>
      <c r="AD978" s="1674"/>
      <c r="AE978" s="1674"/>
      <c r="AF978" s="1674"/>
      <c r="AG978" s="1674"/>
      <c r="AH978" s="1674"/>
      <c r="AI978" s="1674"/>
      <c r="AJ978" s="1674"/>
      <c r="AK978" s="1674"/>
      <c r="AL978" s="1674"/>
      <c r="AM978" s="1674"/>
      <c r="AN978" s="1674"/>
      <c r="AO978" s="1674"/>
      <c r="AP978" s="1674"/>
      <c r="AQ978" s="1674"/>
      <c r="AR978" s="1674"/>
      <c r="AS978" s="1674"/>
      <c r="AT978" s="167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05" customHeight="1">
      <c r="A979" s="1674"/>
      <c r="B979" s="1674"/>
      <c r="C979" s="1674"/>
      <c r="D979" s="1674"/>
      <c r="E979" s="1674"/>
      <c r="F979" s="1674"/>
      <c r="G979" s="1674"/>
      <c r="H979" s="1674"/>
      <c r="I979" s="1674"/>
      <c r="J979" s="1674"/>
      <c r="K979" s="1674"/>
      <c r="L979" s="1674"/>
      <c r="M979" s="1674"/>
      <c r="N979" s="1674"/>
      <c r="O979" s="1674"/>
      <c r="P979" s="1674"/>
      <c r="Q979" s="1674"/>
      <c r="R979" s="1674"/>
      <c r="S979" s="1674"/>
      <c r="T979" s="1674"/>
      <c r="U979" s="1674"/>
      <c r="V979" s="1674"/>
      <c r="W979" s="1674"/>
      <c r="X979" s="1674"/>
      <c r="Y979" s="1674"/>
      <c r="Z979" s="1674"/>
      <c r="AA979" s="1674"/>
      <c r="AB979" s="1674"/>
      <c r="AC979" s="1674"/>
      <c r="AD979" s="1674"/>
      <c r="AE979" s="1674"/>
      <c r="AF979" s="1674"/>
      <c r="AG979" s="1674"/>
      <c r="AH979" s="1674"/>
      <c r="AI979" s="1674"/>
      <c r="AJ979" s="1674"/>
      <c r="AK979" s="1674"/>
      <c r="AL979" s="1674"/>
      <c r="AM979" s="1674"/>
      <c r="AN979" s="1674"/>
      <c r="AO979" s="1674"/>
      <c r="AP979" s="1674"/>
      <c r="AQ979" s="1674"/>
      <c r="AR979" s="1674"/>
      <c r="AS979" s="1674"/>
      <c r="AT979" s="167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05" customHeight="1">
      <c r="A980" s="1674"/>
      <c r="B980" s="1674"/>
      <c r="C980" s="1674"/>
      <c r="D980" s="1674"/>
      <c r="E980" s="1674"/>
      <c r="F980" s="1674"/>
      <c r="G980" s="1674"/>
      <c r="H980" s="1674"/>
      <c r="I980" s="1674"/>
      <c r="J980" s="1674"/>
      <c r="K980" s="1674"/>
      <c r="L980" s="1674"/>
      <c r="M980" s="1674"/>
      <c r="N980" s="1674"/>
      <c r="O980" s="1674"/>
      <c r="P980" s="1674"/>
      <c r="Q980" s="1674"/>
      <c r="R980" s="1674"/>
      <c r="S980" s="1674"/>
      <c r="T980" s="1674"/>
      <c r="U980" s="1674"/>
      <c r="V980" s="1674"/>
      <c r="W980" s="1674"/>
      <c r="X980" s="1674"/>
      <c r="Y980" s="1674"/>
      <c r="Z980" s="1674"/>
      <c r="AA980" s="1674"/>
      <c r="AB980" s="1674"/>
      <c r="AC980" s="1674"/>
      <c r="AD980" s="1674"/>
      <c r="AE980" s="1674"/>
      <c r="AF980" s="1674"/>
      <c r="AG980" s="1674"/>
      <c r="AH980" s="1674"/>
      <c r="AI980" s="1674"/>
      <c r="AJ980" s="1674"/>
      <c r="AK980" s="1674"/>
      <c r="AL980" s="1674"/>
      <c r="AM980" s="1674"/>
      <c r="AN980" s="1674"/>
      <c r="AO980" s="1674"/>
      <c r="AP980" s="1674"/>
      <c r="AQ980" s="1674"/>
      <c r="AR980" s="1674"/>
      <c r="AS980" s="1674"/>
      <c r="AT980" s="167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0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0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0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05" customHeight="1">
      <c r="A984" s="67"/>
      <c r="B984" s="79"/>
      <c r="C984" s="963"/>
      <c r="D984" s="1790" t="s">
        <v>646</v>
      </c>
      <c r="E984" s="1791"/>
      <c r="F984" s="1791"/>
      <c r="G984" s="1791"/>
      <c r="H984" s="1791"/>
      <c r="I984" s="1791"/>
      <c r="J984" s="1791"/>
      <c r="K984" s="1791"/>
      <c r="L984" s="1791"/>
      <c r="M984" s="1791"/>
      <c r="N984" s="1791"/>
      <c r="O984" s="1791"/>
      <c r="P984" s="1791"/>
      <c r="Q984" s="1792"/>
      <c r="R984" s="1790" t="s">
        <v>647</v>
      </c>
      <c r="S984" s="1791"/>
      <c r="T984" s="1791"/>
      <c r="U984" s="1791"/>
      <c r="V984" s="1791"/>
      <c r="W984" s="1791"/>
      <c r="X984" s="1791"/>
      <c r="Y984" s="1791"/>
      <c r="Z984" s="1791"/>
      <c r="AA984" s="1792"/>
      <c r="AB984" s="1790" t="s">
        <v>648</v>
      </c>
      <c r="AC984" s="1791"/>
      <c r="AD984" s="1791"/>
      <c r="AE984" s="1791"/>
      <c r="AF984" s="1791"/>
      <c r="AG984" s="1791"/>
      <c r="AH984" s="1791"/>
      <c r="AI984" s="1792"/>
      <c r="AJ984" s="1790" t="s">
        <v>649</v>
      </c>
      <c r="AK984" s="1791"/>
      <c r="AL984" s="1791"/>
      <c r="AM984" s="1791"/>
      <c r="AN984" s="1791"/>
      <c r="AO984" s="1791"/>
      <c r="AP984" s="1791"/>
      <c r="AQ984" s="179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05" customHeight="1">
      <c r="A985" s="14"/>
      <c r="B985" s="73"/>
      <c r="C985" s="964"/>
      <c r="D985" s="1532" t="s">
        <v>641</v>
      </c>
      <c r="E985" s="1533"/>
      <c r="F985" s="1533"/>
      <c r="G985" s="1533"/>
      <c r="H985" s="1533"/>
      <c r="I985" s="1533"/>
      <c r="J985" s="1533"/>
      <c r="K985" s="1533"/>
      <c r="L985" s="1533"/>
      <c r="M985" s="1533"/>
      <c r="N985" s="1533"/>
      <c r="O985" s="1533"/>
      <c r="P985" s="1533"/>
      <c r="Q985" s="1534"/>
      <c r="R985" s="1717">
        <f>IF(ISNA(IF($BN$796="4%",(INDEX($BP$806:$BT$863,MATCH($CB$796,$BO$806:$BO$863,0),MATCH(D985,$BP$805:$BT$805,0))),(INDEX($BW$806:$CA$863,MATCH($CB$796,$BV$806:$BV$863,0),MATCH(D985,$BW$805:$CA$805,0))))),0,IF($BN$796="4%",(INDEX($BP$806:$BT$863,MATCH($CB$796,$BO$806:$BO$863,0),MATCH(D985,$BP$805:$BT$805,0))),(INDEX($BW$806:$CA$863,MATCH($CB$796,$BV$806:$BV$863,0),MATCH(D985,$BW$805:$CA$805,0)))))</f>
        <v>331890</v>
      </c>
      <c r="S985" s="1717"/>
      <c r="T985" s="1717"/>
      <c r="U985" s="1717"/>
      <c r="V985" s="1717"/>
      <c r="W985" s="1717"/>
      <c r="X985" s="1717"/>
      <c r="Y985" s="1717"/>
      <c r="Z985" s="1717"/>
      <c r="AA985" s="1717"/>
      <c r="AB985" s="1862">
        <f>BN660</f>
        <v>0</v>
      </c>
      <c r="AC985" s="1863"/>
      <c r="AD985" s="1863"/>
      <c r="AE985" s="1863"/>
      <c r="AF985" s="1863"/>
      <c r="AG985" s="1863"/>
      <c r="AH985" s="1863"/>
      <c r="AI985" s="1864"/>
      <c r="AJ985" s="1711">
        <f>IF(ISERROR((R985*AB985)),0,(R985*AB985))</f>
        <v>0</v>
      </c>
      <c r="AK985" s="1712"/>
      <c r="AL985" s="1712"/>
      <c r="AM985" s="1712"/>
      <c r="AN985" s="1712"/>
      <c r="AO985" s="1712"/>
      <c r="AP985" s="1712"/>
      <c r="AQ985" s="171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05" customHeight="1">
      <c r="A986" s="14"/>
      <c r="B986" s="73"/>
      <c r="C986" s="83"/>
      <c r="D986" s="1532" t="s">
        <v>326</v>
      </c>
      <c r="E986" s="1533"/>
      <c r="F986" s="1533"/>
      <c r="G986" s="1533"/>
      <c r="H986" s="1533"/>
      <c r="I986" s="1533"/>
      <c r="J986" s="1533"/>
      <c r="K986" s="1533"/>
      <c r="L986" s="1533"/>
      <c r="M986" s="1533"/>
      <c r="N986" s="1533"/>
      <c r="O986" s="1533"/>
      <c r="P986" s="1533"/>
      <c r="Q986" s="1534"/>
      <c r="R986" s="1717">
        <f>IF(ISNA(IF($BN$796="4%",(INDEX($BP$806:$BT$863,MATCH($CB$796,$BO$806:$BO$863,0),MATCH(D986,$BP$805:$BT$805,0))),(INDEX($BW$806:$CA$863,MATCH($CB$796,$BV$806:$BV$863,0),MATCH(D986,$BW$805:$CA$805,0))))),0,IF($BN$796="4%",(INDEX($BP$806:$BT$863,MATCH($CB$796,$BO$806:$BO$863,0),MATCH(D986,$BP$805:$BT$805,0))),(INDEX($BW$806:$CA$863,MATCH($CB$796,$BV$806:$BV$863,0),MATCH(D986,$BW$805:$CA$805,0)))))</f>
        <v>382666</v>
      </c>
      <c r="S986" s="1717"/>
      <c r="T986" s="1717"/>
      <c r="U986" s="1717"/>
      <c r="V986" s="1717"/>
      <c r="W986" s="1717"/>
      <c r="X986" s="1717"/>
      <c r="Y986" s="1717"/>
      <c r="Z986" s="1717"/>
      <c r="AA986" s="1717"/>
      <c r="AB986" s="1862">
        <f>BS660</f>
        <v>42</v>
      </c>
      <c r="AC986" s="1863"/>
      <c r="AD986" s="1863"/>
      <c r="AE986" s="1863"/>
      <c r="AF986" s="1863"/>
      <c r="AG986" s="1863"/>
      <c r="AH986" s="1863"/>
      <c r="AI986" s="1864"/>
      <c r="AJ986" s="1711">
        <f>IF(ISERROR((R986*AB986)),0,(R986*AB986))</f>
        <v>16071972</v>
      </c>
      <c r="AK986" s="1712"/>
      <c r="AL986" s="1712"/>
      <c r="AM986" s="1712"/>
      <c r="AN986" s="1712"/>
      <c r="AO986" s="1712"/>
      <c r="AP986" s="1712"/>
      <c r="AQ986" s="171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05" customHeight="1">
      <c r="A987" s="14"/>
      <c r="B987" s="73"/>
      <c r="C987" s="83"/>
      <c r="D987" s="1532" t="s">
        <v>163</v>
      </c>
      <c r="E987" s="1533"/>
      <c r="F987" s="1533"/>
      <c r="G987" s="1533"/>
      <c r="H987" s="1533"/>
      <c r="I987" s="1533"/>
      <c r="J987" s="1533"/>
      <c r="K987" s="1533"/>
      <c r="L987" s="1533"/>
      <c r="M987" s="1533"/>
      <c r="N987" s="1533"/>
      <c r="O987" s="1533"/>
      <c r="P987" s="1533"/>
      <c r="Q987" s="1534"/>
      <c r="R987" s="1717">
        <f>IF(ISNA(IF($BN$796="4%",(INDEX($BP$806:$BT$863,MATCH($CB$796,$BO$806:$BO$863,0),MATCH(D987,$BP$805:$BT$805,0))),(INDEX($BW$806:$CA$863,MATCH($CB$796,$BV$806:$BV$863,0),MATCH(D987,$BW$805:$CA$805,0))))),0,IF($BN$796="4%",(INDEX($BP$806:$BT$863,MATCH($CB$796,$BO$806:$BO$863,0),MATCH(D987,$BP$805:$BT$805,0))),(INDEX($BW$806:$CA$863,MATCH($CB$796,$BV$806:$BV$863,0),MATCH(D987,$BW$805:$CA$805,0)))))</f>
        <v>461600</v>
      </c>
      <c r="S987" s="1717"/>
      <c r="T987" s="1717"/>
      <c r="U987" s="1717"/>
      <c r="V987" s="1717"/>
      <c r="W987" s="1717"/>
      <c r="X987" s="1717"/>
      <c r="Y987" s="1717"/>
      <c r="Z987" s="1717"/>
      <c r="AA987" s="1717"/>
      <c r="AB987" s="1862">
        <f>BX660</f>
        <v>48</v>
      </c>
      <c r="AC987" s="1863"/>
      <c r="AD987" s="1863"/>
      <c r="AE987" s="1863"/>
      <c r="AF987" s="1863"/>
      <c r="AG987" s="1863"/>
      <c r="AH987" s="1863"/>
      <c r="AI987" s="1864"/>
      <c r="AJ987" s="1711">
        <f>IF(ISERROR((R987*AB987)),0,(R987*AB987))</f>
        <v>22156800</v>
      </c>
      <c r="AK987" s="1712"/>
      <c r="AL987" s="1712"/>
      <c r="AM987" s="1712"/>
      <c r="AN987" s="1712"/>
      <c r="AO987" s="1712"/>
      <c r="AP987" s="1712"/>
      <c r="AQ987" s="171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05" customHeight="1">
      <c r="A988" s="14"/>
      <c r="B988" s="73"/>
      <c r="C988" s="83"/>
      <c r="D988" s="1532" t="s">
        <v>164</v>
      </c>
      <c r="E988" s="1533"/>
      <c r="F988" s="1533"/>
      <c r="G988" s="1533"/>
      <c r="H988" s="1533"/>
      <c r="I988" s="1533"/>
      <c r="J988" s="1533"/>
      <c r="K988" s="1533"/>
      <c r="L988" s="1533"/>
      <c r="M988" s="1533"/>
      <c r="N988" s="1533"/>
      <c r="O988" s="1533"/>
      <c r="P988" s="1533"/>
      <c r="Q988" s="1534"/>
      <c r="R988" s="1717">
        <f>IF(ISNA(IF($BN$796="4%",(INDEX($BP$806:$BT$863,MATCH($CB$796,$BO$806:$BO$863,0),MATCH(D988,$BP$805:$BT$805,0))),(INDEX($BW$806:$CA$863,MATCH($CB$796,$BV$806:$BV$863,0),MATCH(D988,$BW$805:$CA$805,0))))),0,IF($BN$796="4%",(INDEX($BP$806:$BT$863,MATCH($CB$796,$BO$806:$BO$863,0),MATCH(D988,$BP$805:$BT$805,0))),(INDEX($BW$806:$CA$863,MATCH($CB$796,$BV$806:$BV$863,0),MATCH(D988,$BW$805:$CA$805,0)))))</f>
        <v>590848</v>
      </c>
      <c r="S988" s="1717"/>
      <c r="T988" s="1717"/>
      <c r="U988" s="1717"/>
      <c r="V988" s="1717"/>
      <c r="W988" s="1717"/>
      <c r="X988" s="1717"/>
      <c r="Y988" s="1717"/>
      <c r="Z988" s="1717"/>
      <c r="AA988" s="1717"/>
      <c r="AB988" s="1862">
        <f>CC660</f>
        <v>50</v>
      </c>
      <c r="AC988" s="1863"/>
      <c r="AD988" s="1863"/>
      <c r="AE988" s="1863"/>
      <c r="AF988" s="1863"/>
      <c r="AG988" s="1863"/>
      <c r="AH988" s="1863"/>
      <c r="AI988" s="1864"/>
      <c r="AJ988" s="1711">
        <f>IF(ISERROR((R988*AB988)),0,(R988*AB988))</f>
        <v>29542400</v>
      </c>
      <c r="AK988" s="1712"/>
      <c r="AL988" s="1712"/>
      <c r="AM988" s="1712"/>
      <c r="AN988" s="1712"/>
      <c r="AO988" s="1712"/>
      <c r="AP988" s="1712"/>
      <c r="AQ988" s="171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05" customHeight="1">
      <c r="A989" s="14"/>
      <c r="B989" s="47"/>
      <c r="C989" s="78"/>
      <c r="D989" s="1532" t="s">
        <v>468</v>
      </c>
      <c r="E989" s="1533"/>
      <c r="F989" s="1533"/>
      <c r="G989" s="1533"/>
      <c r="H989" s="1533"/>
      <c r="I989" s="1533"/>
      <c r="J989" s="1533"/>
      <c r="K989" s="1533"/>
      <c r="L989" s="1533"/>
      <c r="M989" s="1533"/>
      <c r="N989" s="1533"/>
      <c r="O989" s="1533"/>
      <c r="P989" s="1533"/>
      <c r="Q989" s="1534"/>
      <c r="R989" s="1717">
        <f>IF(ISNA(IF($BN$796="4%",(INDEX($BP$806:$BT$863,MATCH($CB$796,$BO$806:$BO$863,0),MATCH(D989,$BP$805:$BT$805,0))),(INDEX($BW$806:$CA$863,MATCH($CB$796,$BV$806:$BV$863,0),MATCH(D989,$BW$805:$CA$805,0))))),0,IF($BN$796="4%",(INDEX($BP$806:$BT$863,MATCH($CB$796,$BO$806:$BO$863,0),MATCH(D989,$BP$805:$BT$805,0))),(INDEX($BW$806:$CA$863,MATCH($CB$796,$BV$806:$BV$863,0),MATCH(D989,$BW$805:$CA$805,0)))))</f>
        <v>658242</v>
      </c>
      <c r="S989" s="1717"/>
      <c r="T989" s="1717"/>
      <c r="U989" s="1717"/>
      <c r="V989" s="1717"/>
      <c r="W989" s="1717"/>
      <c r="X989" s="1717"/>
      <c r="Y989" s="1717"/>
      <c r="Z989" s="1717"/>
      <c r="AA989" s="1717"/>
      <c r="AB989" s="1862">
        <f>CM660+CH660</f>
        <v>0</v>
      </c>
      <c r="AC989" s="1863"/>
      <c r="AD989" s="1863"/>
      <c r="AE989" s="1863"/>
      <c r="AF989" s="1863"/>
      <c r="AG989" s="1863"/>
      <c r="AH989" s="1863"/>
      <c r="AI989" s="1864"/>
      <c r="AJ989" s="1711">
        <f>IF(ISERROR((R989*AB989)),0,(R989*AB989))</f>
        <v>0</v>
      </c>
      <c r="AK989" s="1712"/>
      <c r="AL989" s="1712"/>
      <c r="AM989" s="1712"/>
      <c r="AN989" s="1712"/>
      <c r="AO989" s="1712"/>
      <c r="AP989" s="1712"/>
      <c r="AQ989" s="171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05" customHeight="1">
      <c r="A990" s="14"/>
      <c r="B990" s="1823" t="s">
        <v>800</v>
      </c>
      <c r="C990" s="1824"/>
      <c r="D990" s="1824"/>
      <c r="E990" s="1824"/>
      <c r="F990" s="1824"/>
      <c r="G990" s="1824"/>
      <c r="H990" s="1824"/>
      <c r="I990" s="1824"/>
      <c r="J990" s="1824"/>
      <c r="K990" s="1824"/>
      <c r="L990" s="1824"/>
      <c r="M990" s="1824"/>
      <c r="N990" s="1824"/>
      <c r="O990" s="1824"/>
      <c r="P990" s="1824"/>
      <c r="Q990" s="1824"/>
      <c r="R990" s="1824"/>
      <c r="S990" s="1824"/>
      <c r="T990" s="1824"/>
      <c r="U990" s="1824"/>
      <c r="V990" s="1824"/>
      <c r="W990" s="1824"/>
      <c r="X990" s="1824"/>
      <c r="Y990" s="1824"/>
      <c r="Z990" s="1824"/>
      <c r="AA990" s="1825"/>
      <c r="AB990" s="1862">
        <f>SUM(AB985:AI989)</f>
        <v>140</v>
      </c>
      <c r="AC990" s="1863"/>
      <c r="AD990" s="1863"/>
      <c r="AE990" s="1863"/>
      <c r="AF990" s="1863"/>
      <c r="AG990" s="1863"/>
      <c r="AH990" s="1863"/>
      <c r="AI990" s="1864"/>
      <c r="AJ990" s="1711"/>
      <c r="AK990" s="1712"/>
      <c r="AL990" s="1712"/>
      <c r="AM990" s="1712"/>
      <c r="AN990" s="1712"/>
      <c r="AO990" s="1712"/>
      <c r="AP990" s="1712"/>
      <c r="AQ990" s="171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05" customHeight="1">
      <c r="A991" s="14"/>
      <c r="B991" s="1866" t="s">
        <v>520</v>
      </c>
      <c r="C991" s="1867"/>
      <c r="D991" s="1867"/>
      <c r="E991" s="1867"/>
      <c r="F991" s="1867"/>
      <c r="G991" s="1867"/>
      <c r="H991" s="1867"/>
      <c r="I991" s="1867"/>
      <c r="J991" s="1867"/>
      <c r="K991" s="1867"/>
      <c r="L991" s="1867"/>
      <c r="M991" s="1867"/>
      <c r="N991" s="1867"/>
      <c r="O991" s="1867"/>
      <c r="P991" s="1867"/>
      <c r="Q991" s="1867"/>
      <c r="R991" s="1867"/>
      <c r="S991" s="1867"/>
      <c r="T991" s="1867"/>
      <c r="U991" s="1867"/>
      <c r="V991" s="1867"/>
      <c r="W991" s="1867"/>
      <c r="X991" s="1867"/>
      <c r="Y991" s="1867"/>
      <c r="Z991" s="1867"/>
      <c r="AA991" s="1867"/>
      <c r="AB991" s="1867"/>
      <c r="AC991" s="1867"/>
      <c r="AD991" s="1867"/>
      <c r="AE991" s="1867"/>
      <c r="AF991" s="1867"/>
      <c r="AG991" s="1867"/>
      <c r="AH991" s="1867"/>
      <c r="AI991" s="1868"/>
      <c r="AJ991" s="1711">
        <f>SUM(AJ985:AQ989)</f>
        <v>67771172</v>
      </c>
      <c r="AK991" s="1712"/>
      <c r="AL991" s="1712"/>
      <c r="AM991" s="1712"/>
      <c r="AN991" s="1712"/>
      <c r="AO991" s="1712"/>
      <c r="AP991" s="1712"/>
      <c r="AQ991" s="171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05" customHeight="1">
      <c r="A992" s="14"/>
      <c r="B992" s="1817"/>
      <c r="C992" s="1818"/>
      <c r="D992" s="1818"/>
      <c r="E992" s="1818"/>
      <c r="F992" s="1818"/>
      <c r="G992" s="1818"/>
      <c r="H992" s="1818"/>
      <c r="I992" s="1818"/>
      <c r="J992" s="1818"/>
      <c r="K992" s="1818"/>
      <c r="L992" s="1818"/>
      <c r="M992" s="1818"/>
      <c r="N992" s="1818"/>
      <c r="O992" s="1818"/>
      <c r="P992" s="1818"/>
      <c r="Q992" s="1818"/>
      <c r="R992" s="1818"/>
      <c r="S992" s="1818"/>
      <c r="T992" s="1818"/>
      <c r="U992" s="1818"/>
      <c r="V992" s="1818"/>
      <c r="W992" s="1818"/>
      <c r="X992" s="1818"/>
      <c r="Y992" s="1818"/>
      <c r="Z992" s="1818"/>
      <c r="AA992" s="1818"/>
      <c r="AB992" s="1818"/>
      <c r="AC992" s="1818"/>
      <c r="AD992" s="1818"/>
      <c r="AE992" s="1819"/>
      <c r="AF992" s="1872" t="s">
        <v>674</v>
      </c>
      <c r="AG992" s="1873"/>
      <c r="AH992" s="1873"/>
      <c r="AI992" s="1874"/>
      <c r="AJ992" s="1817"/>
      <c r="AK992" s="1818"/>
      <c r="AL992" s="1818"/>
      <c r="AM992" s="1818"/>
      <c r="AN992" s="1818"/>
      <c r="AO992" s="1818"/>
      <c r="AP992" s="1818"/>
      <c r="AQ992" s="181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05" customHeight="1">
      <c r="A993" s="14"/>
      <c r="B993" s="73"/>
      <c r="C993" s="962" t="s">
        <v>676</v>
      </c>
      <c r="D993" s="1820" t="s">
        <v>1326</v>
      </c>
      <c r="E993" s="1821"/>
      <c r="F993" s="1821"/>
      <c r="G993" s="1821"/>
      <c r="H993" s="1821"/>
      <c r="I993" s="1821"/>
      <c r="J993" s="1821"/>
      <c r="K993" s="1821"/>
      <c r="L993" s="1821"/>
      <c r="M993" s="1821"/>
      <c r="N993" s="1821"/>
      <c r="O993" s="1821"/>
      <c r="P993" s="1821"/>
      <c r="Q993" s="1821"/>
      <c r="R993" s="1821"/>
      <c r="S993" s="1821"/>
      <c r="T993" s="1821"/>
      <c r="U993" s="1821"/>
      <c r="V993" s="1821"/>
      <c r="W993" s="1821"/>
      <c r="X993" s="1821"/>
      <c r="Y993" s="1821"/>
      <c r="Z993" s="1821"/>
      <c r="AA993" s="1821"/>
      <c r="AB993" s="1821"/>
      <c r="AC993" s="1821"/>
      <c r="AD993" s="1821"/>
      <c r="AE993" s="1822"/>
      <c r="AF993" s="79"/>
      <c r="AG993" s="1875" t="s">
        <v>677</v>
      </c>
      <c r="AH993" s="1876"/>
      <c r="AI993" s="87"/>
      <c r="AJ993" s="1798">
        <f>ROUND(IF(AND(AG993="yes",D999&gt;0),AJ991*0.2,0),0)</f>
        <v>0</v>
      </c>
      <c r="AK993" s="1799"/>
      <c r="AL993" s="1799"/>
      <c r="AM993" s="1799"/>
      <c r="AN993" s="1799"/>
      <c r="AO993" s="1799"/>
      <c r="AP993" s="1799"/>
      <c r="AQ993" s="180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05" customHeight="1">
      <c r="A994" s="14"/>
      <c r="B994" s="277"/>
      <c r="C994" s="276"/>
      <c r="D994" s="1783" t="s">
        <v>2562</v>
      </c>
      <c r="E994" s="1784"/>
      <c r="F994" s="1784"/>
      <c r="G994" s="1784"/>
      <c r="H994" s="1784"/>
      <c r="I994" s="1784"/>
      <c r="J994" s="1784"/>
      <c r="K994" s="1784"/>
      <c r="L994" s="1784"/>
      <c r="M994" s="1784"/>
      <c r="N994" s="1784"/>
      <c r="O994" s="1784"/>
      <c r="P994" s="1784"/>
      <c r="Q994" s="1784"/>
      <c r="R994" s="1784"/>
      <c r="S994" s="1784"/>
      <c r="T994" s="1784"/>
      <c r="U994" s="1784"/>
      <c r="V994" s="1784"/>
      <c r="W994" s="1784"/>
      <c r="X994" s="1784"/>
      <c r="Y994" s="1784"/>
      <c r="Z994" s="1784"/>
      <c r="AA994" s="1784"/>
      <c r="AB994" s="1784"/>
      <c r="AC994" s="1784"/>
      <c r="AD994" s="1784"/>
      <c r="AE994" s="1785"/>
      <c r="AF994" s="73"/>
      <c r="AG994" s="14"/>
      <c r="AH994" s="14"/>
      <c r="AI994" s="83"/>
      <c r="AJ994" s="1801"/>
      <c r="AK994" s="1802"/>
      <c r="AL994" s="1802"/>
      <c r="AM994" s="1802"/>
      <c r="AN994" s="1802"/>
      <c r="AO994" s="1802"/>
      <c r="AP994" s="1802"/>
      <c r="AQ994" s="180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05" customHeight="1">
      <c r="A995" s="14"/>
      <c r="B995" s="277"/>
      <c r="C995" s="276"/>
      <c r="D995" s="1783"/>
      <c r="E995" s="1784"/>
      <c r="F995" s="1784"/>
      <c r="G995" s="1784"/>
      <c r="H995" s="1784"/>
      <c r="I995" s="1784"/>
      <c r="J995" s="1784"/>
      <c r="K995" s="1784"/>
      <c r="L995" s="1784"/>
      <c r="M995" s="1784"/>
      <c r="N995" s="1784"/>
      <c r="O995" s="1784"/>
      <c r="P995" s="1784"/>
      <c r="Q995" s="1784"/>
      <c r="R995" s="1784"/>
      <c r="S995" s="1784"/>
      <c r="T995" s="1784"/>
      <c r="U995" s="1784"/>
      <c r="V995" s="1784"/>
      <c r="W995" s="1784"/>
      <c r="X995" s="1784"/>
      <c r="Y995" s="1784"/>
      <c r="Z995" s="1784"/>
      <c r="AA995" s="1784"/>
      <c r="AB995" s="1784"/>
      <c r="AC995" s="1784"/>
      <c r="AD995" s="1784"/>
      <c r="AE995" s="1785"/>
      <c r="AF995" s="73"/>
      <c r="AG995" s="14"/>
      <c r="AH995" s="14"/>
      <c r="AI995" s="83"/>
      <c r="AJ995" s="1801"/>
      <c r="AK995" s="1802"/>
      <c r="AL995" s="1802"/>
      <c r="AM995" s="1802"/>
      <c r="AN995" s="1802"/>
      <c r="AO995" s="1802"/>
      <c r="AP995" s="1802"/>
      <c r="AQ995" s="180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05" customHeight="1">
      <c r="A996" s="14"/>
      <c r="B996" s="277"/>
      <c r="C996" s="276"/>
      <c r="D996" s="1783"/>
      <c r="E996" s="1784"/>
      <c r="F996" s="1784"/>
      <c r="G996" s="1784"/>
      <c r="H996" s="1784"/>
      <c r="I996" s="1784"/>
      <c r="J996" s="1784"/>
      <c r="K996" s="1784"/>
      <c r="L996" s="1784"/>
      <c r="M996" s="1784"/>
      <c r="N996" s="1784"/>
      <c r="O996" s="1784"/>
      <c r="P996" s="1784"/>
      <c r="Q996" s="1784"/>
      <c r="R996" s="1784"/>
      <c r="S996" s="1784"/>
      <c r="T996" s="1784"/>
      <c r="U996" s="1784"/>
      <c r="V996" s="1784"/>
      <c r="W996" s="1784"/>
      <c r="X996" s="1784"/>
      <c r="Y996" s="1784"/>
      <c r="Z996" s="1784"/>
      <c r="AA996" s="1784"/>
      <c r="AB996" s="1784"/>
      <c r="AC996" s="1784"/>
      <c r="AD996" s="1784"/>
      <c r="AE996" s="1785"/>
      <c r="AF996" s="73"/>
      <c r="AG996" s="14"/>
      <c r="AH996" s="14"/>
      <c r="AI996" s="83"/>
      <c r="AJ996" s="1801"/>
      <c r="AK996" s="1802"/>
      <c r="AL996" s="1802"/>
      <c r="AM996" s="1802"/>
      <c r="AN996" s="1802"/>
      <c r="AO996" s="1802"/>
      <c r="AP996" s="1802"/>
      <c r="AQ996" s="180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05" customHeight="1">
      <c r="A997" s="14"/>
      <c r="B997" s="277"/>
      <c r="C997" s="276"/>
      <c r="D997" s="1783"/>
      <c r="E997" s="1784"/>
      <c r="F997" s="1784"/>
      <c r="G997" s="1784"/>
      <c r="H997" s="1784"/>
      <c r="I997" s="1784"/>
      <c r="J997" s="1784"/>
      <c r="K997" s="1784"/>
      <c r="L997" s="1784"/>
      <c r="M997" s="1784"/>
      <c r="N997" s="1784"/>
      <c r="O997" s="1784"/>
      <c r="P997" s="1784"/>
      <c r="Q997" s="1784"/>
      <c r="R997" s="1784"/>
      <c r="S997" s="1784"/>
      <c r="T997" s="1784"/>
      <c r="U997" s="1784"/>
      <c r="V997" s="1784"/>
      <c r="W997" s="1784"/>
      <c r="X997" s="1784"/>
      <c r="Y997" s="1784"/>
      <c r="Z997" s="1784"/>
      <c r="AA997" s="1784"/>
      <c r="AB997" s="1784"/>
      <c r="AC997" s="1784"/>
      <c r="AD997" s="1784"/>
      <c r="AE997" s="1785"/>
      <c r="AF997" s="73"/>
      <c r="AG997" s="14"/>
      <c r="AH997" s="14"/>
      <c r="AI997" s="83"/>
      <c r="AJ997" s="1801"/>
      <c r="AK997" s="1802"/>
      <c r="AL997" s="1802"/>
      <c r="AM997" s="1802"/>
      <c r="AN997" s="1802"/>
      <c r="AO997" s="1802"/>
      <c r="AP997" s="1802"/>
      <c r="AQ997" s="180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05" customHeight="1">
      <c r="A998" s="14"/>
      <c r="B998" s="277"/>
      <c r="C998" s="276"/>
      <c r="D998" s="1786" t="s">
        <v>2563</v>
      </c>
      <c r="E998" s="1787"/>
      <c r="F998" s="1787"/>
      <c r="G998" s="1787"/>
      <c r="H998" s="1787"/>
      <c r="I998" s="1787"/>
      <c r="J998" s="1787"/>
      <c r="K998" s="1787"/>
      <c r="L998" s="1787"/>
      <c r="M998" s="1787"/>
      <c r="N998" s="1787"/>
      <c r="O998" s="1787"/>
      <c r="P998" s="1787"/>
      <c r="Q998" s="1787"/>
      <c r="R998" s="1787"/>
      <c r="S998" s="1787"/>
      <c r="T998" s="1787"/>
      <c r="U998" s="1787"/>
      <c r="V998" s="1787"/>
      <c r="W998" s="1787"/>
      <c r="X998" s="1787"/>
      <c r="Y998" s="1787"/>
      <c r="Z998" s="1787"/>
      <c r="AA998" s="1787"/>
      <c r="AB998" s="1787"/>
      <c r="AC998" s="1787"/>
      <c r="AD998" s="1787"/>
      <c r="AE998" s="1788"/>
      <c r="AF998" s="73"/>
      <c r="AG998" s="14"/>
      <c r="AH998" s="14"/>
      <c r="AI998" s="83"/>
      <c r="AJ998" s="1801"/>
      <c r="AK998" s="1802"/>
      <c r="AL998" s="1802"/>
      <c r="AM998" s="1802"/>
      <c r="AN998" s="1802"/>
      <c r="AO998" s="1802"/>
      <c r="AP998" s="1802"/>
      <c r="AQ998" s="180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05" customHeight="1">
      <c r="A999" s="14"/>
      <c r="B999" s="277"/>
      <c r="C999" s="276"/>
      <c r="D999" s="1780"/>
      <c r="E999" s="1781"/>
      <c r="F999" s="1781"/>
      <c r="G999" s="1781"/>
      <c r="H999" s="1781"/>
      <c r="I999" s="1781"/>
      <c r="J999" s="1781"/>
      <c r="K999" s="1781"/>
      <c r="L999" s="1781"/>
      <c r="M999" s="1781"/>
      <c r="N999" s="1781"/>
      <c r="O999" s="1781"/>
      <c r="P999" s="1781"/>
      <c r="Q999" s="1781"/>
      <c r="R999" s="1781"/>
      <c r="S999" s="1781"/>
      <c r="T999" s="1781"/>
      <c r="U999" s="1781"/>
      <c r="V999" s="1781"/>
      <c r="W999" s="1781"/>
      <c r="X999" s="1781"/>
      <c r="Y999" s="1781"/>
      <c r="Z999" s="1781"/>
      <c r="AA999" s="1781"/>
      <c r="AB999" s="1781"/>
      <c r="AC999" s="1781"/>
      <c r="AD999" s="1781"/>
      <c r="AE999" s="1782"/>
      <c r="AF999" s="77"/>
      <c r="AG999" s="7"/>
      <c r="AH999" s="7"/>
      <c r="AI999" s="78"/>
      <c r="AJ999" s="1804"/>
      <c r="AK999" s="1805"/>
      <c r="AL999" s="1805"/>
      <c r="AM999" s="1805"/>
      <c r="AN999" s="1805"/>
      <c r="AO999" s="1805"/>
      <c r="AP999" s="1805"/>
      <c r="AQ999" s="180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05" customHeight="1">
      <c r="A1000" s="14"/>
      <c r="B1000" s="275"/>
      <c r="C1000" s="344"/>
      <c r="D1000" s="1757" t="s">
        <v>1396</v>
      </c>
      <c r="E1000" s="1758"/>
      <c r="F1000" s="1758"/>
      <c r="G1000" s="1758"/>
      <c r="H1000" s="1758"/>
      <c r="I1000" s="1758"/>
      <c r="J1000" s="1758"/>
      <c r="K1000" s="1758"/>
      <c r="L1000" s="1758"/>
      <c r="M1000" s="1758"/>
      <c r="N1000" s="1758"/>
      <c r="O1000" s="1758"/>
      <c r="P1000" s="1758"/>
      <c r="Q1000" s="1758"/>
      <c r="R1000" s="1758"/>
      <c r="S1000" s="1758"/>
      <c r="T1000" s="1758"/>
      <c r="U1000" s="1758"/>
      <c r="V1000" s="1758"/>
      <c r="W1000" s="1758"/>
      <c r="X1000" s="1758"/>
      <c r="Y1000" s="1758"/>
      <c r="Z1000" s="1758"/>
      <c r="AA1000" s="1758"/>
      <c r="AB1000" s="1758"/>
      <c r="AC1000" s="1758"/>
      <c r="AD1000" s="1758"/>
      <c r="AE1000" s="1759"/>
      <c r="AF1000" s="79"/>
      <c r="AG1000" s="1769" t="s">
        <v>677</v>
      </c>
      <c r="AH1000" s="1770"/>
      <c r="AI1000" s="87"/>
      <c r="AJ1000" s="1798">
        <f>ROUND(IF(AG1000="yes",AJ991*0.05,0),0)</f>
        <v>0</v>
      </c>
      <c r="AK1000" s="1799"/>
      <c r="AL1000" s="1799"/>
      <c r="AM1000" s="1799"/>
      <c r="AN1000" s="1799"/>
      <c r="AO1000" s="1799"/>
      <c r="AP1000" s="1799"/>
      <c r="AQ1000" s="180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05" customHeight="1">
      <c r="A1001" s="14"/>
      <c r="B1001" s="277"/>
      <c r="C1001" s="82"/>
      <c r="D1001" s="1783" t="s">
        <v>1394</v>
      </c>
      <c r="E1001" s="1784"/>
      <c r="F1001" s="1784"/>
      <c r="G1001" s="1784"/>
      <c r="H1001" s="1784"/>
      <c r="I1001" s="1784"/>
      <c r="J1001" s="1784"/>
      <c r="K1001" s="1784"/>
      <c r="L1001" s="1784"/>
      <c r="M1001" s="1784"/>
      <c r="N1001" s="1784"/>
      <c r="O1001" s="1784"/>
      <c r="P1001" s="1784"/>
      <c r="Q1001" s="1784"/>
      <c r="R1001" s="1784"/>
      <c r="S1001" s="1784"/>
      <c r="T1001" s="1784"/>
      <c r="U1001" s="1784"/>
      <c r="V1001" s="1784"/>
      <c r="W1001" s="1784"/>
      <c r="X1001" s="1784"/>
      <c r="Y1001" s="1784"/>
      <c r="Z1001" s="1784"/>
      <c r="AA1001" s="1784"/>
      <c r="AB1001" s="1784"/>
      <c r="AC1001" s="1784"/>
      <c r="AD1001" s="1784"/>
      <c r="AE1001" s="1785"/>
      <c r="AF1001" s="73"/>
      <c r="AG1001" s="14"/>
      <c r="AH1001" s="14"/>
      <c r="AI1001" s="83"/>
      <c r="AJ1001" s="1801"/>
      <c r="AK1001" s="1802"/>
      <c r="AL1001" s="1802"/>
      <c r="AM1001" s="1802"/>
      <c r="AN1001" s="1802"/>
      <c r="AO1001" s="1802"/>
      <c r="AP1001" s="1802"/>
      <c r="AQ1001" s="180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05" customHeight="1">
      <c r="A1002" s="14"/>
      <c r="B1002" s="277"/>
      <c r="C1002" s="82"/>
      <c r="D1002" s="1783"/>
      <c r="E1002" s="1784"/>
      <c r="F1002" s="1784"/>
      <c r="G1002" s="1784"/>
      <c r="H1002" s="1784"/>
      <c r="I1002" s="1784"/>
      <c r="J1002" s="1784"/>
      <c r="K1002" s="1784"/>
      <c r="L1002" s="1784"/>
      <c r="M1002" s="1784"/>
      <c r="N1002" s="1784"/>
      <c r="O1002" s="1784"/>
      <c r="P1002" s="1784"/>
      <c r="Q1002" s="1784"/>
      <c r="R1002" s="1784"/>
      <c r="S1002" s="1784"/>
      <c r="T1002" s="1784"/>
      <c r="U1002" s="1784"/>
      <c r="V1002" s="1784"/>
      <c r="W1002" s="1784"/>
      <c r="X1002" s="1784"/>
      <c r="Y1002" s="1784"/>
      <c r="Z1002" s="1784"/>
      <c r="AA1002" s="1784"/>
      <c r="AB1002" s="1784"/>
      <c r="AC1002" s="1784"/>
      <c r="AD1002" s="1784"/>
      <c r="AE1002" s="1785"/>
      <c r="AF1002" s="73"/>
      <c r="AG1002" s="14"/>
      <c r="AH1002" s="14"/>
      <c r="AI1002" s="83"/>
      <c r="AJ1002" s="1801"/>
      <c r="AK1002" s="1802"/>
      <c r="AL1002" s="1802"/>
      <c r="AM1002" s="1802"/>
      <c r="AN1002" s="1802"/>
      <c r="AO1002" s="1802"/>
      <c r="AP1002" s="1802"/>
      <c r="AQ1002" s="1803"/>
      <c r="AR1002" s="68"/>
      <c r="AS1002" s="68"/>
      <c r="AT1002" s="68"/>
      <c r="AU1002" s="68"/>
      <c r="AV1002" s="68"/>
      <c r="AW1002" s="68"/>
      <c r="AX1002" s="68"/>
      <c r="AY1002" s="949">
        <f>G753+O797</f>
        <v>139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05" customHeight="1">
      <c r="A1003" s="14"/>
      <c r="B1003" s="277"/>
      <c r="C1003" s="82"/>
      <c r="D1003" s="1783"/>
      <c r="E1003" s="1784"/>
      <c r="F1003" s="1784"/>
      <c r="G1003" s="1784"/>
      <c r="H1003" s="1784"/>
      <c r="I1003" s="1784"/>
      <c r="J1003" s="1784"/>
      <c r="K1003" s="1784"/>
      <c r="L1003" s="1784"/>
      <c r="M1003" s="1784"/>
      <c r="N1003" s="1784"/>
      <c r="O1003" s="1784"/>
      <c r="P1003" s="1784"/>
      <c r="Q1003" s="1784"/>
      <c r="R1003" s="1784"/>
      <c r="S1003" s="1784"/>
      <c r="T1003" s="1784"/>
      <c r="U1003" s="1784"/>
      <c r="V1003" s="1784"/>
      <c r="W1003" s="1784"/>
      <c r="X1003" s="1784"/>
      <c r="Y1003" s="1784"/>
      <c r="Z1003" s="1784"/>
      <c r="AA1003" s="1784"/>
      <c r="AB1003" s="1784"/>
      <c r="AC1003" s="1784"/>
      <c r="AD1003" s="1784"/>
      <c r="AE1003" s="1785"/>
      <c r="AF1003" s="73"/>
      <c r="AG1003" s="14"/>
      <c r="AH1003" s="14"/>
      <c r="AI1003" s="83"/>
      <c r="AJ1003" s="1801"/>
      <c r="AK1003" s="1802"/>
      <c r="AL1003" s="1802"/>
      <c r="AM1003" s="1802"/>
      <c r="AN1003" s="1802"/>
      <c r="AO1003" s="1802"/>
      <c r="AP1003" s="1802"/>
      <c r="AQ1003" s="180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05" customHeight="1">
      <c r="A1004" s="14"/>
      <c r="B1004" s="277"/>
      <c r="C1004" s="82"/>
      <c r="D1004" s="1783"/>
      <c r="E1004" s="1784"/>
      <c r="F1004" s="1784"/>
      <c r="G1004" s="1784"/>
      <c r="H1004" s="1784"/>
      <c r="I1004" s="1784"/>
      <c r="J1004" s="1784"/>
      <c r="K1004" s="1784"/>
      <c r="L1004" s="1784"/>
      <c r="M1004" s="1784"/>
      <c r="N1004" s="1784"/>
      <c r="O1004" s="1784"/>
      <c r="P1004" s="1784"/>
      <c r="Q1004" s="1784"/>
      <c r="R1004" s="1784"/>
      <c r="S1004" s="1784"/>
      <c r="T1004" s="1784"/>
      <c r="U1004" s="1784"/>
      <c r="V1004" s="1784"/>
      <c r="W1004" s="1784"/>
      <c r="X1004" s="1784"/>
      <c r="Y1004" s="1784"/>
      <c r="Z1004" s="1784"/>
      <c r="AA1004" s="1784"/>
      <c r="AB1004" s="1784"/>
      <c r="AC1004" s="1784"/>
      <c r="AD1004" s="1784"/>
      <c r="AE1004" s="1785"/>
      <c r="AF1004" s="73"/>
      <c r="AG1004" s="14"/>
      <c r="AH1004" s="14"/>
      <c r="AI1004" s="83"/>
      <c r="AJ1004" s="1801"/>
      <c r="AK1004" s="1802"/>
      <c r="AL1004" s="1802"/>
      <c r="AM1004" s="1802"/>
      <c r="AN1004" s="1802"/>
      <c r="AO1004" s="1802"/>
      <c r="AP1004" s="1802"/>
      <c r="AQ1004" s="1803"/>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05" customHeight="1">
      <c r="A1005" s="14"/>
      <c r="B1005" s="75"/>
      <c r="C1005" s="76"/>
      <c r="D1005" s="1786"/>
      <c r="E1005" s="1787"/>
      <c r="F1005" s="1787"/>
      <c r="G1005" s="1787"/>
      <c r="H1005" s="1787"/>
      <c r="I1005" s="1787"/>
      <c r="J1005" s="1787"/>
      <c r="K1005" s="1787"/>
      <c r="L1005" s="1787"/>
      <c r="M1005" s="1787"/>
      <c r="N1005" s="1787"/>
      <c r="O1005" s="1787"/>
      <c r="P1005" s="1787"/>
      <c r="Q1005" s="1787"/>
      <c r="R1005" s="1787"/>
      <c r="S1005" s="1787"/>
      <c r="T1005" s="1787"/>
      <c r="U1005" s="1787"/>
      <c r="V1005" s="1787"/>
      <c r="W1005" s="1787"/>
      <c r="X1005" s="1787"/>
      <c r="Y1005" s="1787"/>
      <c r="Z1005" s="1787"/>
      <c r="AA1005" s="1787"/>
      <c r="AB1005" s="1787"/>
      <c r="AC1005" s="1787"/>
      <c r="AD1005" s="1787"/>
      <c r="AE1005" s="1788"/>
      <c r="AF1005" s="77"/>
      <c r="AG1005" s="7"/>
      <c r="AH1005" s="7"/>
      <c r="AI1005" s="78"/>
      <c r="AJ1005" s="1804"/>
      <c r="AK1005" s="1805"/>
      <c r="AL1005" s="1805"/>
      <c r="AM1005" s="1805"/>
      <c r="AN1005" s="1805"/>
      <c r="AO1005" s="1805"/>
      <c r="AP1005" s="1805"/>
      <c r="AQ1005" s="1806"/>
      <c r="AR1005" s="68"/>
      <c r="AS1005" s="68"/>
      <c r="AT1005" s="68"/>
      <c r="AU1005" s="68"/>
      <c r="AV1005" s="68"/>
      <c r="AW1005" s="68"/>
      <c r="AX1005" s="68"/>
      <c r="AY1005" s="948">
        <f>ROUNDDOWN(X1051/I1051,2)</f>
        <v>0.3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05" customHeight="1">
      <c r="A1006" s="14"/>
      <c r="B1006" s="275"/>
      <c r="C1006" s="80" t="s">
        <v>680</v>
      </c>
      <c r="D1006" s="1757" t="s">
        <v>1873</v>
      </c>
      <c r="E1006" s="1758"/>
      <c r="F1006" s="1758"/>
      <c r="G1006" s="1758"/>
      <c r="H1006" s="1758"/>
      <c r="I1006" s="1758"/>
      <c r="J1006" s="1758"/>
      <c r="K1006" s="1758"/>
      <c r="L1006" s="1758"/>
      <c r="M1006" s="1758"/>
      <c r="N1006" s="1758"/>
      <c r="O1006" s="1758"/>
      <c r="P1006" s="1758"/>
      <c r="Q1006" s="1758"/>
      <c r="R1006" s="1758"/>
      <c r="S1006" s="1758"/>
      <c r="T1006" s="1758"/>
      <c r="U1006" s="1758"/>
      <c r="V1006" s="1758"/>
      <c r="W1006" s="1758"/>
      <c r="X1006" s="1758"/>
      <c r="Y1006" s="1758"/>
      <c r="Z1006" s="1758"/>
      <c r="AA1006" s="1758"/>
      <c r="AB1006" s="1758"/>
      <c r="AC1006" s="1758"/>
      <c r="AD1006" s="1758"/>
      <c r="AE1006" s="1759"/>
      <c r="AF1006" s="86"/>
      <c r="AG1006" s="1769" t="s">
        <v>677</v>
      </c>
      <c r="AH1006" s="1770"/>
      <c r="AI1006" s="87"/>
      <c r="AJ1006" s="1798">
        <f>ROUND(IF(AG1006="yes",AJ991*0.1,0),0)</f>
        <v>0</v>
      </c>
      <c r="AK1006" s="1799"/>
      <c r="AL1006" s="1799"/>
      <c r="AM1006" s="1799"/>
      <c r="AN1006" s="1799"/>
      <c r="AO1006" s="1799"/>
      <c r="AP1006" s="1799"/>
      <c r="AQ1006" s="1800"/>
      <c r="AR1006" s="68"/>
      <c r="AS1006" s="68"/>
      <c r="AT1006" s="68"/>
      <c r="AU1006" s="68"/>
      <c r="AV1006" s="68"/>
      <c r="AW1006" s="68"/>
      <c r="AX1006" s="68"/>
      <c r="BB1006" s="34"/>
      <c r="BD1006" s="34"/>
      <c r="BE1006" s="34"/>
      <c r="BF1006" s="34"/>
    </row>
    <row r="1007" spans="1:157" ht="13.05" customHeight="1">
      <c r="A1007" s="14"/>
      <c r="B1007" s="73"/>
      <c r="C1007" s="74"/>
      <c r="D1007" s="1760" t="s">
        <v>1395</v>
      </c>
      <c r="E1007" s="1761"/>
      <c r="F1007" s="1761"/>
      <c r="G1007" s="1761"/>
      <c r="H1007" s="1761"/>
      <c r="I1007" s="1761"/>
      <c r="J1007" s="1761"/>
      <c r="K1007" s="1761"/>
      <c r="L1007" s="1761"/>
      <c r="M1007" s="1761"/>
      <c r="N1007" s="1761"/>
      <c r="O1007" s="1761"/>
      <c r="P1007" s="1761"/>
      <c r="Q1007" s="1761"/>
      <c r="R1007" s="1761"/>
      <c r="S1007" s="1761"/>
      <c r="T1007" s="1761"/>
      <c r="U1007" s="1761"/>
      <c r="V1007" s="1761"/>
      <c r="W1007" s="1761"/>
      <c r="X1007" s="1761"/>
      <c r="Y1007" s="1761"/>
      <c r="Z1007" s="1761"/>
      <c r="AA1007" s="1761"/>
      <c r="AB1007" s="1761"/>
      <c r="AC1007" s="1761"/>
      <c r="AD1007" s="1761"/>
      <c r="AE1007" s="1762"/>
      <c r="AF1007" s="73"/>
      <c r="AI1007" s="83"/>
      <c r="AJ1007" s="1801"/>
      <c r="AK1007" s="1802"/>
      <c r="AL1007" s="1802"/>
      <c r="AM1007" s="1802"/>
      <c r="AN1007" s="1802"/>
      <c r="AO1007" s="1802"/>
      <c r="AP1007" s="1802"/>
      <c r="AQ1007" s="1803"/>
      <c r="AR1007" s="68"/>
      <c r="AS1007" s="68"/>
      <c r="AT1007" s="68"/>
      <c r="AU1007" s="68"/>
      <c r="AV1007" s="68"/>
      <c r="AW1007" s="68"/>
      <c r="AX1007" s="68"/>
    </row>
    <row r="1008" spans="1:157" ht="13.05" customHeight="1">
      <c r="A1008" s="14"/>
      <c r="B1008" s="73"/>
      <c r="C1008" s="74"/>
      <c r="D1008" s="1760"/>
      <c r="E1008" s="1761"/>
      <c r="F1008" s="1761"/>
      <c r="G1008" s="1761"/>
      <c r="H1008" s="1761"/>
      <c r="I1008" s="1761"/>
      <c r="J1008" s="1761"/>
      <c r="K1008" s="1761"/>
      <c r="L1008" s="1761"/>
      <c r="M1008" s="1761"/>
      <c r="N1008" s="1761"/>
      <c r="O1008" s="1761"/>
      <c r="P1008" s="1761"/>
      <c r="Q1008" s="1761"/>
      <c r="R1008" s="1761"/>
      <c r="S1008" s="1761"/>
      <c r="T1008" s="1761"/>
      <c r="U1008" s="1761"/>
      <c r="V1008" s="1761"/>
      <c r="W1008" s="1761"/>
      <c r="X1008" s="1761"/>
      <c r="Y1008" s="1761"/>
      <c r="Z1008" s="1761"/>
      <c r="AA1008" s="1761"/>
      <c r="AB1008" s="1761"/>
      <c r="AC1008" s="1761"/>
      <c r="AD1008" s="1761"/>
      <c r="AE1008" s="1762"/>
      <c r="AF1008" s="73"/>
      <c r="AG1008" s="14"/>
      <c r="AH1008" s="14"/>
      <c r="AI1008" s="83"/>
      <c r="AJ1008" s="1801"/>
      <c r="AK1008" s="1802"/>
      <c r="AL1008" s="1802"/>
      <c r="AM1008" s="1802"/>
      <c r="AN1008" s="1802"/>
      <c r="AO1008" s="1802"/>
      <c r="AP1008" s="1802"/>
      <c r="AQ1008" s="1803"/>
      <c r="AR1008" s="68"/>
      <c r="AS1008" s="68"/>
      <c r="AT1008" s="68"/>
      <c r="AU1008" s="68"/>
      <c r="AV1008" s="68"/>
      <c r="AW1008" s="68"/>
      <c r="AX1008" s="68"/>
    </row>
    <row r="1009" spans="1:51" ht="13.05" customHeight="1">
      <c r="A1009" s="14"/>
      <c r="B1009" s="85"/>
      <c r="C1009" s="76"/>
      <c r="D1009" s="1773"/>
      <c r="E1009" s="1774"/>
      <c r="F1009" s="1774"/>
      <c r="G1009" s="1774"/>
      <c r="H1009" s="1774"/>
      <c r="I1009" s="1774"/>
      <c r="J1009" s="1774"/>
      <c r="K1009" s="1774"/>
      <c r="L1009" s="1774"/>
      <c r="M1009" s="1774"/>
      <c r="N1009" s="1774"/>
      <c r="O1009" s="1774"/>
      <c r="P1009" s="1774"/>
      <c r="Q1009" s="1774"/>
      <c r="R1009" s="1774"/>
      <c r="S1009" s="1774"/>
      <c r="T1009" s="1774"/>
      <c r="U1009" s="1774"/>
      <c r="V1009" s="1774"/>
      <c r="W1009" s="1774"/>
      <c r="X1009" s="1774"/>
      <c r="Y1009" s="1774"/>
      <c r="Z1009" s="1774"/>
      <c r="AA1009" s="1774"/>
      <c r="AB1009" s="1774"/>
      <c r="AC1009" s="1774"/>
      <c r="AD1009" s="1774"/>
      <c r="AE1009" s="1775"/>
      <c r="AF1009" s="77"/>
      <c r="AG1009" s="7"/>
      <c r="AH1009" s="7"/>
      <c r="AI1009" s="78"/>
      <c r="AJ1009" s="1804"/>
      <c r="AK1009" s="1805"/>
      <c r="AL1009" s="1805"/>
      <c r="AM1009" s="1805"/>
      <c r="AN1009" s="1805"/>
      <c r="AO1009" s="1805"/>
      <c r="AP1009" s="1805"/>
      <c r="AQ1009" s="1806"/>
      <c r="AR1009" s="68"/>
      <c r="AS1009" s="68"/>
      <c r="AT1009" s="68"/>
      <c r="AU1009" s="68"/>
      <c r="AV1009" s="68"/>
      <c r="AW1009" s="68"/>
      <c r="AX1009" s="68"/>
    </row>
    <row r="1010" spans="1:51" ht="13.05" customHeight="1">
      <c r="A1010" s="14"/>
      <c r="B1010" s="79"/>
      <c r="C1010" s="80" t="s">
        <v>213</v>
      </c>
      <c r="D1010" s="1757" t="s">
        <v>1397</v>
      </c>
      <c r="E1010" s="1758"/>
      <c r="F1010" s="1758"/>
      <c r="G1010" s="1758"/>
      <c r="H1010" s="1758"/>
      <c r="I1010" s="1758"/>
      <c r="J1010" s="1758"/>
      <c r="K1010" s="1758"/>
      <c r="L1010" s="1758"/>
      <c r="M1010" s="1758"/>
      <c r="N1010" s="1758"/>
      <c r="O1010" s="1758"/>
      <c r="P1010" s="1758"/>
      <c r="Q1010" s="1758"/>
      <c r="R1010" s="1758"/>
      <c r="S1010" s="1758"/>
      <c r="T1010" s="1758"/>
      <c r="U1010" s="1758"/>
      <c r="V1010" s="1758"/>
      <c r="W1010" s="1758"/>
      <c r="X1010" s="1758"/>
      <c r="Y1010" s="1758"/>
      <c r="Z1010" s="1758"/>
      <c r="AA1010" s="1758"/>
      <c r="AB1010" s="1758"/>
      <c r="AC1010" s="1758"/>
      <c r="AD1010" s="1758"/>
      <c r="AE1010" s="1759"/>
      <c r="AF1010" s="79"/>
      <c r="AG1010" s="1769" t="s">
        <v>677</v>
      </c>
      <c r="AH1010" s="1770"/>
      <c r="AI1010" s="87"/>
      <c r="AJ1010" s="1798">
        <f>ROUND(IF(AG1010="yes",AJ991*0.02,0),0)</f>
        <v>0</v>
      </c>
      <c r="AK1010" s="1799"/>
      <c r="AL1010" s="1799"/>
      <c r="AM1010" s="1799"/>
      <c r="AN1010" s="1799"/>
      <c r="AO1010" s="1799"/>
      <c r="AP1010" s="1799"/>
      <c r="AQ1010" s="1800"/>
      <c r="AR1010" s="68"/>
      <c r="AS1010" s="68"/>
      <c r="AT1010" s="68"/>
      <c r="AU1010" s="68"/>
      <c r="AV1010" s="68"/>
      <c r="AW1010" s="68"/>
      <c r="AX1010" s="68"/>
      <c r="AY1010" s="215">
        <f>IF(SUM(AY1012:AY1020)&lt;=0.1,SUM(AY1012:AY1020),0.1)</f>
        <v>0</v>
      </c>
    </row>
    <row r="1011" spans="1:51" ht="14.25" customHeight="1">
      <c r="A1011" s="14"/>
      <c r="B1011" s="73"/>
      <c r="C1011" s="74"/>
      <c r="D1011" s="1773" t="s">
        <v>1398</v>
      </c>
      <c r="E1011" s="1774"/>
      <c r="F1011" s="1774"/>
      <c r="G1011" s="1774"/>
      <c r="H1011" s="1774"/>
      <c r="I1011" s="1774"/>
      <c r="J1011" s="1774"/>
      <c r="K1011" s="1774"/>
      <c r="L1011" s="1774"/>
      <c r="M1011" s="1774"/>
      <c r="N1011" s="1774"/>
      <c r="O1011" s="1774"/>
      <c r="P1011" s="1774"/>
      <c r="Q1011" s="1774"/>
      <c r="R1011" s="1774"/>
      <c r="S1011" s="1774"/>
      <c r="T1011" s="1774"/>
      <c r="U1011" s="1774"/>
      <c r="V1011" s="1774"/>
      <c r="W1011" s="1774"/>
      <c r="X1011" s="1774"/>
      <c r="Y1011" s="1774"/>
      <c r="Z1011" s="1774"/>
      <c r="AA1011" s="1774"/>
      <c r="AB1011" s="1774"/>
      <c r="AC1011" s="1774"/>
      <c r="AD1011" s="1774"/>
      <c r="AE1011" s="1775"/>
      <c r="AF1011" s="77"/>
      <c r="AG1011" s="7"/>
      <c r="AH1011" s="7"/>
      <c r="AI1011" s="78"/>
      <c r="AJ1011" s="1804"/>
      <c r="AK1011" s="1805"/>
      <c r="AL1011" s="1805"/>
      <c r="AM1011" s="1805"/>
      <c r="AN1011" s="1805"/>
      <c r="AO1011" s="1805"/>
      <c r="AP1011" s="1805"/>
      <c r="AQ1011" s="1806"/>
      <c r="AR1011" s="68"/>
      <c r="AS1011" s="68"/>
      <c r="AT1011" s="68"/>
      <c r="AU1011" s="68"/>
      <c r="AV1011" s="68"/>
      <c r="AW1011" s="68"/>
      <c r="AX1011" s="68"/>
    </row>
    <row r="1012" spans="1:51" ht="13.05" customHeight="1">
      <c r="A1012" s="14"/>
      <c r="B1012" s="79"/>
      <c r="C1012" s="80" t="s">
        <v>216</v>
      </c>
      <c r="D1012" s="1757" t="s">
        <v>1399</v>
      </c>
      <c r="E1012" s="1758"/>
      <c r="F1012" s="1758"/>
      <c r="G1012" s="1758"/>
      <c r="H1012" s="1758"/>
      <c r="I1012" s="1758"/>
      <c r="J1012" s="1758"/>
      <c r="K1012" s="1758"/>
      <c r="L1012" s="1758"/>
      <c r="M1012" s="1758"/>
      <c r="N1012" s="1758"/>
      <c r="O1012" s="1758"/>
      <c r="P1012" s="1758"/>
      <c r="Q1012" s="1758"/>
      <c r="R1012" s="1758"/>
      <c r="S1012" s="1758"/>
      <c r="T1012" s="1758"/>
      <c r="U1012" s="1758"/>
      <c r="V1012" s="1758"/>
      <c r="W1012" s="1758"/>
      <c r="X1012" s="1758"/>
      <c r="Y1012" s="1758"/>
      <c r="Z1012" s="1758"/>
      <c r="AA1012" s="1758"/>
      <c r="AB1012" s="1758"/>
      <c r="AC1012" s="1758"/>
      <c r="AD1012" s="1758"/>
      <c r="AE1012" s="1759"/>
      <c r="AF1012" s="79"/>
      <c r="AG1012" s="1769" t="s">
        <v>677</v>
      </c>
      <c r="AH1012" s="1770"/>
      <c r="AI1012" s="79"/>
      <c r="AJ1012" s="1798">
        <f>ROUND(IF(AG1012="yes",AJ991*0.02,0),0)</f>
        <v>0</v>
      </c>
      <c r="AK1012" s="1799"/>
      <c r="AL1012" s="1799"/>
      <c r="AM1012" s="1799"/>
      <c r="AN1012" s="1799"/>
      <c r="AO1012" s="1799"/>
      <c r="AP1012" s="1799"/>
      <c r="AQ1012" s="1800"/>
      <c r="AR1012" s="68"/>
      <c r="AS1012" s="68"/>
      <c r="AT1012" s="68"/>
      <c r="AU1012" s="68"/>
      <c r="AV1012" s="68"/>
      <c r="AW1012" s="68"/>
      <c r="AX1012" s="68"/>
      <c r="AY1012" s="213">
        <f>IF(A1064="Yes",0.05,0)</f>
        <v>0</v>
      </c>
    </row>
    <row r="1013" spans="1:51" ht="13.05" customHeight="1">
      <c r="A1013" s="14"/>
      <c r="B1013" s="73"/>
      <c r="C1013" s="74"/>
      <c r="D1013" s="1760" t="s">
        <v>1400</v>
      </c>
      <c r="E1013" s="1761"/>
      <c r="F1013" s="1761"/>
      <c r="G1013" s="1761"/>
      <c r="H1013" s="1761"/>
      <c r="I1013" s="1761"/>
      <c r="J1013" s="1761"/>
      <c r="K1013" s="1761"/>
      <c r="L1013" s="1761"/>
      <c r="M1013" s="1761"/>
      <c r="N1013" s="1761"/>
      <c r="O1013" s="1761"/>
      <c r="P1013" s="1761"/>
      <c r="Q1013" s="1761"/>
      <c r="R1013" s="1761"/>
      <c r="S1013" s="1761"/>
      <c r="T1013" s="1761"/>
      <c r="U1013" s="1761"/>
      <c r="V1013" s="1761"/>
      <c r="W1013" s="1761"/>
      <c r="X1013" s="1761"/>
      <c r="Y1013" s="1761"/>
      <c r="Z1013" s="1761"/>
      <c r="AA1013" s="1761"/>
      <c r="AB1013" s="1761"/>
      <c r="AC1013" s="1761"/>
      <c r="AD1013" s="1761"/>
      <c r="AE1013" s="1762"/>
      <c r="AF1013" s="1845" t="str">
        <f>IF(AND(AG1012="yes",AB212&lt;&gt;1),"The project may not be eligible for this boost","")</f>
        <v/>
      </c>
      <c r="AG1013" s="1846"/>
      <c r="AH1013" s="1846"/>
      <c r="AI1013" s="1847"/>
      <c r="AJ1013" s="1801"/>
      <c r="AK1013" s="1802"/>
      <c r="AL1013" s="1802"/>
      <c r="AM1013" s="1802"/>
      <c r="AN1013" s="1802"/>
      <c r="AO1013" s="1802"/>
      <c r="AP1013" s="1802"/>
      <c r="AQ1013" s="1803"/>
      <c r="AR1013" s="68"/>
      <c r="AS1013" s="68"/>
      <c r="AT1013" s="68"/>
      <c r="AU1013" s="68"/>
      <c r="AV1013" s="68"/>
      <c r="AW1013" s="68"/>
      <c r="AX1013" s="68"/>
      <c r="AY1013" s="213">
        <f>IF(A1070="Yes",0.02,0)</f>
        <v>0</v>
      </c>
    </row>
    <row r="1014" spans="1:51" ht="13.05" customHeight="1">
      <c r="A1014" s="14"/>
      <c r="B1014" s="75"/>
      <c r="C1014" s="76"/>
      <c r="D1014" s="1773"/>
      <c r="E1014" s="1774"/>
      <c r="F1014" s="1774"/>
      <c r="G1014" s="1774"/>
      <c r="H1014" s="1774"/>
      <c r="I1014" s="1774"/>
      <c r="J1014" s="1774"/>
      <c r="K1014" s="1774"/>
      <c r="L1014" s="1774"/>
      <c r="M1014" s="1774"/>
      <c r="N1014" s="1774"/>
      <c r="O1014" s="1774"/>
      <c r="P1014" s="1774"/>
      <c r="Q1014" s="1774"/>
      <c r="R1014" s="1774"/>
      <c r="S1014" s="1774"/>
      <c r="T1014" s="1774"/>
      <c r="U1014" s="1774"/>
      <c r="V1014" s="1774"/>
      <c r="W1014" s="1774"/>
      <c r="X1014" s="1774"/>
      <c r="Y1014" s="1774"/>
      <c r="Z1014" s="1774"/>
      <c r="AA1014" s="1774"/>
      <c r="AB1014" s="1774"/>
      <c r="AC1014" s="1774"/>
      <c r="AD1014" s="1774"/>
      <c r="AE1014" s="1775"/>
      <c r="AF1014" s="1848"/>
      <c r="AG1014" s="1849"/>
      <c r="AH1014" s="1849"/>
      <c r="AI1014" s="1850"/>
      <c r="AJ1014" s="1804"/>
      <c r="AK1014" s="1805"/>
      <c r="AL1014" s="1805"/>
      <c r="AM1014" s="1805"/>
      <c r="AN1014" s="1805"/>
      <c r="AO1014" s="1805"/>
      <c r="AP1014" s="1805"/>
      <c r="AQ1014" s="1806"/>
      <c r="AR1014" s="68"/>
      <c r="AS1014" s="68"/>
      <c r="AT1014" s="68"/>
      <c r="AU1014" s="68"/>
      <c r="AV1014" s="68"/>
      <c r="AW1014" s="68"/>
      <c r="AX1014" s="68"/>
      <c r="AY1014" s="213">
        <f>IF(A1076="Yes",0.04,0)</f>
        <v>0</v>
      </c>
    </row>
    <row r="1015" spans="1:51" ht="13.05" customHeight="1">
      <c r="A1015" s="14"/>
      <c r="B1015" s="79"/>
      <c r="C1015" s="80" t="s">
        <v>219</v>
      </c>
      <c r="D1015" s="1820" t="s">
        <v>1401</v>
      </c>
      <c r="E1015" s="1821"/>
      <c r="F1015" s="1821"/>
      <c r="G1015" s="1821"/>
      <c r="H1015" s="1821"/>
      <c r="I1015" s="1821"/>
      <c r="J1015" s="1821"/>
      <c r="K1015" s="1821"/>
      <c r="L1015" s="1821"/>
      <c r="M1015" s="1821"/>
      <c r="N1015" s="1821"/>
      <c r="O1015" s="1821"/>
      <c r="P1015" s="1821"/>
      <c r="Q1015" s="1821"/>
      <c r="R1015" s="1821"/>
      <c r="S1015" s="1821"/>
      <c r="T1015" s="1821"/>
      <c r="U1015" s="1821"/>
      <c r="V1015" s="1821"/>
      <c r="W1015" s="1821"/>
      <c r="X1015" s="1821"/>
      <c r="Y1015" s="1821"/>
      <c r="Z1015" s="1821"/>
      <c r="AA1015" s="1821"/>
      <c r="AB1015" s="1821"/>
      <c r="AC1015" s="1821"/>
      <c r="AD1015" s="1821"/>
      <c r="AE1015" s="1822"/>
      <c r="AF1015" s="79"/>
      <c r="AG1015" s="1769" t="s">
        <v>677</v>
      </c>
      <c r="AH1015" s="1770"/>
      <c r="AI1015" s="87"/>
      <c r="AJ1015" s="1798">
        <f>IF(AG1015="yes",AJ991*AY1010,0)</f>
        <v>0</v>
      </c>
      <c r="AK1015" s="1799"/>
      <c r="AL1015" s="1799"/>
      <c r="AM1015" s="1799"/>
      <c r="AN1015" s="1799"/>
      <c r="AO1015" s="1799"/>
      <c r="AP1015" s="1799"/>
      <c r="AQ1015" s="1800"/>
      <c r="AR1015" s="68"/>
      <c r="AS1015" s="68"/>
      <c r="AT1015" s="68"/>
      <c r="AU1015" s="68"/>
      <c r="AV1015" s="68"/>
      <c r="AW1015" s="68"/>
      <c r="AX1015" s="68"/>
      <c r="AY1015" s="213">
        <f>IF(A1083="Yes",0.04,0)</f>
        <v>0</v>
      </c>
    </row>
    <row r="1016" spans="1:51" ht="13.05" customHeight="1">
      <c r="A1016" s="14"/>
      <c r="B1016" s="73"/>
      <c r="C1016" s="74"/>
      <c r="D1016" s="1760" t="s">
        <v>1402</v>
      </c>
      <c r="E1016" s="1761"/>
      <c r="F1016" s="1761"/>
      <c r="G1016" s="1761"/>
      <c r="H1016" s="1761"/>
      <c r="I1016" s="1761"/>
      <c r="J1016" s="1761"/>
      <c r="K1016" s="1761"/>
      <c r="L1016" s="1761"/>
      <c r="M1016" s="1761"/>
      <c r="N1016" s="1761"/>
      <c r="O1016" s="1761"/>
      <c r="P1016" s="1761"/>
      <c r="Q1016" s="1761"/>
      <c r="R1016" s="1761"/>
      <c r="S1016" s="1761"/>
      <c r="T1016" s="1761"/>
      <c r="U1016" s="1761"/>
      <c r="V1016" s="1761"/>
      <c r="W1016" s="1761"/>
      <c r="X1016" s="1761"/>
      <c r="Y1016" s="1761"/>
      <c r="Z1016" s="1761"/>
      <c r="AA1016" s="1761"/>
      <c r="AB1016" s="1761"/>
      <c r="AC1016" s="1761"/>
      <c r="AD1016" s="1761"/>
      <c r="AE1016" s="1762"/>
      <c r="AF1016" s="1839" t="str">
        <f>IF(AND(AG1015="Yes",AY1010=0),AY1022,"")</f>
        <v/>
      </c>
      <c r="AG1016" s="1840"/>
      <c r="AH1016" s="1840"/>
      <c r="AI1016" s="1841"/>
      <c r="AJ1016" s="1801"/>
      <c r="AK1016" s="1802"/>
      <c r="AL1016" s="1802"/>
      <c r="AM1016" s="1802"/>
      <c r="AN1016" s="1802"/>
      <c r="AO1016" s="1802"/>
      <c r="AP1016" s="1802"/>
      <c r="AQ1016" s="1803"/>
      <c r="AR1016" s="68"/>
      <c r="AS1016" s="68"/>
      <c r="AT1016" s="68"/>
      <c r="AU1016" s="68"/>
      <c r="AV1016" s="68"/>
      <c r="AW1016" s="68"/>
      <c r="AX1016" s="68"/>
      <c r="AY1016" s="213">
        <f>IF(A1086="Yes",0.01,0)</f>
        <v>0</v>
      </c>
    </row>
    <row r="1017" spans="1:51" ht="13.05" customHeight="1">
      <c r="A1017" s="14"/>
      <c r="B1017" s="73"/>
      <c r="C1017" s="74"/>
      <c r="D1017" s="1760"/>
      <c r="E1017" s="1761"/>
      <c r="F1017" s="1761"/>
      <c r="G1017" s="1761"/>
      <c r="H1017" s="1761"/>
      <c r="I1017" s="1761"/>
      <c r="J1017" s="1761"/>
      <c r="K1017" s="1761"/>
      <c r="L1017" s="1761"/>
      <c r="M1017" s="1761"/>
      <c r="N1017" s="1761"/>
      <c r="O1017" s="1761"/>
      <c r="P1017" s="1761"/>
      <c r="Q1017" s="1761"/>
      <c r="R1017" s="1761"/>
      <c r="S1017" s="1761"/>
      <c r="T1017" s="1761"/>
      <c r="U1017" s="1761"/>
      <c r="V1017" s="1761"/>
      <c r="W1017" s="1761"/>
      <c r="X1017" s="1761"/>
      <c r="Y1017" s="1761"/>
      <c r="Z1017" s="1761"/>
      <c r="AA1017" s="1761"/>
      <c r="AB1017" s="1761"/>
      <c r="AC1017" s="1761"/>
      <c r="AD1017" s="1761"/>
      <c r="AE1017" s="1762"/>
      <c r="AF1017" s="1839"/>
      <c r="AG1017" s="1840"/>
      <c r="AH1017" s="1840"/>
      <c r="AI1017" s="1841"/>
      <c r="AJ1017" s="1801"/>
      <c r="AK1017" s="1802"/>
      <c r="AL1017" s="1802"/>
      <c r="AM1017" s="1802"/>
      <c r="AN1017" s="1802"/>
      <c r="AO1017" s="1802"/>
      <c r="AP1017" s="1802"/>
      <c r="AQ1017" s="1803"/>
      <c r="AR1017" s="68"/>
      <c r="AS1017" s="68"/>
      <c r="AT1017" s="68"/>
      <c r="AU1017" s="68"/>
      <c r="AV1017" s="68"/>
      <c r="AW1017" s="68"/>
      <c r="AX1017" s="68"/>
      <c r="AY1017" s="213">
        <f>IF(A1091="Yes",0.01,0)</f>
        <v>0</v>
      </c>
    </row>
    <row r="1018" spans="1:51" ht="13.05" customHeight="1">
      <c r="A1018" s="14"/>
      <c r="B1018" s="81"/>
      <c r="C1018" s="82"/>
      <c r="D1018" s="1773"/>
      <c r="E1018" s="1774"/>
      <c r="F1018" s="1774"/>
      <c r="G1018" s="1774"/>
      <c r="H1018" s="1774"/>
      <c r="I1018" s="1774"/>
      <c r="J1018" s="1774"/>
      <c r="K1018" s="1774"/>
      <c r="L1018" s="1774"/>
      <c r="M1018" s="1774"/>
      <c r="N1018" s="1774"/>
      <c r="O1018" s="1774"/>
      <c r="P1018" s="1774"/>
      <c r="Q1018" s="1774"/>
      <c r="R1018" s="1774"/>
      <c r="S1018" s="1774"/>
      <c r="T1018" s="1774"/>
      <c r="U1018" s="1774"/>
      <c r="V1018" s="1774"/>
      <c r="W1018" s="1774"/>
      <c r="X1018" s="1774"/>
      <c r="Y1018" s="1774"/>
      <c r="Z1018" s="1774"/>
      <c r="AA1018" s="1774"/>
      <c r="AB1018" s="1774"/>
      <c r="AC1018" s="1774"/>
      <c r="AD1018" s="1774"/>
      <c r="AE1018" s="1775"/>
      <c r="AF1018" s="1842"/>
      <c r="AG1018" s="1843"/>
      <c r="AH1018" s="1843"/>
      <c r="AI1018" s="1844"/>
      <c r="AJ1018" s="1804"/>
      <c r="AK1018" s="1805"/>
      <c r="AL1018" s="1805"/>
      <c r="AM1018" s="1805"/>
      <c r="AN1018" s="1805"/>
      <c r="AO1018" s="1805"/>
      <c r="AP1018" s="1805"/>
      <c r="AQ1018" s="1806"/>
      <c r="AR1018" s="68"/>
      <c r="AS1018" s="68"/>
      <c r="AT1018" s="68"/>
      <c r="AU1018" s="68"/>
      <c r="AV1018" s="68"/>
      <c r="AW1018" s="68"/>
      <c r="AX1018" s="68"/>
      <c r="AY1018" s="213">
        <f>IF(A1094="Yes",0.01,0)</f>
        <v>0</v>
      </c>
    </row>
    <row r="1019" spans="1:51" ht="13.05" customHeight="1">
      <c r="A1019" s="14"/>
      <c r="B1019" s="79"/>
      <c r="C1019" s="80" t="s">
        <v>224</v>
      </c>
      <c r="D1019" s="1856" t="s">
        <v>1403</v>
      </c>
      <c r="E1019" s="1857"/>
      <c r="F1019" s="1857"/>
      <c r="G1019" s="1857"/>
      <c r="H1019" s="1857"/>
      <c r="I1019" s="1857"/>
      <c r="J1019" s="1857"/>
      <c r="K1019" s="1857"/>
      <c r="L1019" s="1857"/>
      <c r="M1019" s="1857"/>
      <c r="N1019" s="1857"/>
      <c r="O1019" s="1857"/>
      <c r="P1019" s="1857"/>
      <c r="Q1019" s="1857"/>
      <c r="R1019" s="1857"/>
      <c r="S1019" s="1857"/>
      <c r="T1019" s="1857"/>
      <c r="U1019" s="1857"/>
      <c r="V1019" s="1857"/>
      <c r="W1019" s="1857"/>
      <c r="X1019" s="1857"/>
      <c r="Y1019" s="1857"/>
      <c r="Z1019" s="1857"/>
      <c r="AA1019" s="1857"/>
      <c r="AB1019" s="1857"/>
      <c r="AC1019" s="1857"/>
      <c r="AD1019" s="1857"/>
      <c r="AE1019" s="1858"/>
      <c r="AF1019" s="79"/>
      <c r="AG1019" s="1769" t="s">
        <v>677</v>
      </c>
      <c r="AH1019" s="1770"/>
      <c r="AI1019" s="87"/>
      <c r="AJ1019" s="1798">
        <f>ROUND(IF(AND(AG1019="Yes",J1023&lt;&gt;"N/A",AF1022&lt;&gt;""),MIN(AF1022,(0.15*AJ991)),0),0)</f>
        <v>0</v>
      </c>
      <c r="AK1019" s="1799"/>
      <c r="AL1019" s="1799"/>
      <c r="AM1019" s="1799"/>
      <c r="AN1019" s="1799"/>
      <c r="AO1019" s="1799"/>
      <c r="AP1019" s="1799"/>
      <c r="AQ1019" s="1800"/>
      <c r="AR1019" s="68"/>
      <c r="AS1019" s="68"/>
      <c r="AT1019" s="68"/>
      <c r="AU1019" s="68"/>
      <c r="AV1019" s="68"/>
      <c r="AW1019" s="68"/>
      <c r="AX1019" s="68"/>
      <c r="AY1019" s="213">
        <f>IF(A1098="Yes",0.02,0)</f>
        <v>0</v>
      </c>
    </row>
    <row r="1020" spans="1:51" ht="13.05" customHeight="1">
      <c r="A1020" s="14"/>
      <c r="B1020" s="81"/>
      <c r="C1020" s="84"/>
      <c r="D1020" s="1859"/>
      <c r="E1020" s="1860"/>
      <c r="F1020" s="1860"/>
      <c r="G1020" s="1860"/>
      <c r="H1020" s="1860"/>
      <c r="I1020" s="1860"/>
      <c r="J1020" s="1860"/>
      <c r="K1020" s="1860"/>
      <c r="L1020" s="1860"/>
      <c r="M1020" s="1860"/>
      <c r="N1020" s="1860"/>
      <c r="O1020" s="1860"/>
      <c r="P1020" s="1860"/>
      <c r="Q1020" s="1860"/>
      <c r="R1020" s="1860"/>
      <c r="S1020" s="1860"/>
      <c r="T1020" s="1860"/>
      <c r="U1020" s="1860"/>
      <c r="V1020" s="1860"/>
      <c r="W1020" s="1860"/>
      <c r="X1020" s="1860"/>
      <c r="Y1020" s="1860"/>
      <c r="Z1020" s="1860"/>
      <c r="AA1020" s="1860"/>
      <c r="AB1020" s="1860"/>
      <c r="AC1020" s="1860"/>
      <c r="AD1020" s="1860"/>
      <c r="AE1020" s="1861"/>
      <c r="AF1020" s="1807" t="str">
        <f>IF(AG1019="yes","Please Select Type and Enter Amount:","")</f>
        <v/>
      </c>
      <c r="AG1020" s="1808"/>
      <c r="AH1020" s="1808"/>
      <c r="AI1020" s="1809"/>
      <c r="AJ1020" s="1801"/>
      <c r="AK1020" s="1802"/>
      <c r="AL1020" s="1802"/>
      <c r="AM1020" s="1802"/>
      <c r="AN1020" s="1802"/>
      <c r="AO1020" s="1802"/>
      <c r="AP1020" s="1802"/>
      <c r="AQ1020" s="1803"/>
      <c r="AR1020" s="68"/>
      <c r="AS1020" s="68"/>
      <c r="AT1020" s="68"/>
      <c r="AU1020" s="68"/>
      <c r="AV1020" s="68"/>
      <c r="AW1020" s="68"/>
      <c r="AX1020" s="68"/>
      <c r="AY1020" s="214">
        <f>IF(A1103="Yes",0.02,0)</f>
        <v>0</v>
      </c>
    </row>
    <row r="1021" spans="1:51" ht="13.05" customHeight="1">
      <c r="A1021" s="14"/>
      <c r="B1021" s="81"/>
      <c r="C1021" s="84"/>
      <c r="D1021" s="1760" t="s">
        <v>1404</v>
      </c>
      <c r="E1021" s="1761"/>
      <c r="F1021" s="1761"/>
      <c r="G1021" s="1761"/>
      <c r="H1021" s="1761"/>
      <c r="I1021" s="1761"/>
      <c r="J1021" s="1761"/>
      <c r="K1021" s="1761"/>
      <c r="L1021" s="1761"/>
      <c r="M1021" s="1761"/>
      <c r="N1021" s="1761"/>
      <c r="O1021" s="1761"/>
      <c r="P1021" s="1761"/>
      <c r="Q1021" s="1761"/>
      <c r="R1021" s="1761"/>
      <c r="S1021" s="1761"/>
      <c r="T1021" s="1761"/>
      <c r="U1021" s="1761"/>
      <c r="V1021" s="1761"/>
      <c r="W1021" s="1761"/>
      <c r="X1021" s="1761"/>
      <c r="Y1021" s="1761"/>
      <c r="Z1021" s="1761"/>
      <c r="AA1021" s="1761"/>
      <c r="AB1021" s="1761"/>
      <c r="AC1021" s="1761"/>
      <c r="AD1021" s="1761"/>
      <c r="AE1021" s="1762"/>
      <c r="AF1021" s="1807"/>
      <c r="AG1021" s="1808"/>
      <c r="AH1021" s="1808"/>
      <c r="AI1021" s="1809"/>
      <c r="AJ1021" s="1801"/>
      <c r="AK1021" s="1802"/>
      <c r="AL1021" s="1802"/>
      <c r="AM1021" s="1802"/>
      <c r="AN1021" s="1802"/>
      <c r="AO1021" s="1802"/>
      <c r="AP1021" s="1802"/>
      <c r="AQ1021" s="1803"/>
      <c r="AR1021" s="68"/>
      <c r="AS1021" s="68"/>
      <c r="AT1021" s="68"/>
      <c r="AU1021" s="68"/>
      <c r="AV1021" s="68"/>
      <c r="AW1021" s="68"/>
      <c r="AX1021" s="68"/>
      <c r="AY1021" s="68"/>
    </row>
    <row r="1022" spans="1:51" ht="13.05" customHeight="1">
      <c r="A1022" s="14"/>
      <c r="B1022" s="81"/>
      <c r="C1022" s="84"/>
      <c r="D1022" s="1760"/>
      <c r="E1022" s="1761"/>
      <c r="F1022" s="1761"/>
      <c r="G1022" s="1761"/>
      <c r="H1022" s="1761"/>
      <c r="I1022" s="1761"/>
      <c r="J1022" s="1761"/>
      <c r="K1022" s="1761"/>
      <c r="L1022" s="1761"/>
      <c r="M1022" s="1761"/>
      <c r="N1022" s="1761"/>
      <c r="O1022" s="1761"/>
      <c r="P1022" s="1761"/>
      <c r="Q1022" s="1761"/>
      <c r="R1022" s="1761"/>
      <c r="S1022" s="1761"/>
      <c r="T1022" s="1761"/>
      <c r="U1022" s="1761"/>
      <c r="V1022" s="1761"/>
      <c r="W1022" s="1761"/>
      <c r="X1022" s="1761"/>
      <c r="Y1022" s="1761"/>
      <c r="Z1022" s="1761"/>
      <c r="AA1022" s="1761"/>
      <c r="AB1022" s="1761"/>
      <c r="AC1022" s="1761"/>
      <c r="AD1022" s="1761"/>
      <c r="AE1022" s="1762"/>
      <c r="AF1022" s="1810"/>
      <c r="AG1022" s="1810"/>
      <c r="AH1022" s="1810"/>
      <c r="AI1022" s="1810"/>
      <c r="AJ1022" s="1801"/>
      <c r="AK1022" s="1802"/>
      <c r="AL1022" s="1802"/>
      <c r="AM1022" s="1802"/>
      <c r="AN1022" s="1802"/>
      <c r="AO1022" s="1802"/>
      <c r="AP1022" s="1802"/>
      <c r="AQ1022" s="1803"/>
      <c r="AR1022" s="68"/>
      <c r="AS1022" s="68"/>
      <c r="AT1022" s="68"/>
      <c r="AU1022" s="68"/>
      <c r="AV1022" s="68"/>
      <c r="AW1022" s="68"/>
      <c r="AX1022" s="68"/>
      <c r="AY1022" s="68" t="str">
        <f>"Select items beginning on row #"&amp;TEXT(ROW(A1060),"#")&amp;" to claim this boost"</f>
        <v>Select items beginning on row #1060 to claim this boost</v>
      </c>
    </row>
    <row r="1023" spans="1:51" ht="13.05" customHeight="1">
      <c r="A1023" s="14"/>
      <c r="B1023" s="81"/>
      <c r="C1023" s="84"/>
      <c r="D1023" s="560" t="s">
        <v>360</v>
      </c>
      <c r="E1023" s="90"/>
      <c r="F1023" s="90"/>
      <c r="G1023" s="104"/>
      <c r="H1023" s="104"/>
      <c r="I1023" s="49"/>
      <c r="J1023" s="1869" t="s">
        <v>599</v>
      </c>
      <c r="K1023" s="1870"/>
      <c r="L1023" s="1870"/>
      <c r="M1023" s="1870"/>
      <c r="N1023" s="1870"/>
      <c r="O1023" s="1870"/>
      <c r="P1023" s="1870"/>
      <c r="Q1023" s="1870"/>
      <c r="R1023" s="1870"/>
      <c r="S1023" s="1870"/>
      <c r="T1023" s="1870"/>
      <c r="U1023" s="1870"/>
      <c r="V1023" s="1870"/>
      <c r="W1023" s="1870"/>
      <c r="X1023" s="1870"/>
      <c r="Y1023" s="1870"/>
      <c r="Z1023" s="1870"/>
      <c r="AA1023" s="1870"/>
      <c r="AB1023" s="1870"/>
      <c r="AC1023" s="1870"/>
      <c r="AD1023" s="1870"/>
      <c r="AE1023" s="1871"/>
      <c r="AF1023" s="1810"/>
      <c r="AG1023" s="1810"/>
      <c r="AH1023" s="1810"/>
      <c r="AI1023" s="1810"/>
      <c r="AJ1023" s="1804"/>
      <c r="AK1023" s="1805"/>
      <c r="AL1023" s="1805"/>
      <c r="AM1023" s="1805"/>
      <c r="AN1023" s="1805"/>
      <c r="AO1023" s="1805"/>
      <c r="AP1023" s="1805"/>
      <c r="AQ1023" s="1806"/>
      <c r="AR1023" s="68"/>
      <c r="AS1023" s="68"/>
      <c r="AT1023" s="68"/>
      <c r="AU1023" s="68"/>
      <c r="AV1023" s="68"/>
      <c r="AW1023" s="68"/>
      <c r="AX1023" s="68"/>
      <c r="AY1023" s="68"/>
    </row>
    <row r="1024" spans="1:51" ht="13.05" customHeight="1">
      <c r="A1024" s="14"/>
      <c r="B1024" s="79"/>
      <c r="C1024" s="80" t="s">
        <v>230</v>
      </c>
      <c r="D1024" s="1757" t="s">
        <v>1405</v>
      </c>
      <c r="E1024" s="1758"/>
      <c r="F1024" s="1758"/>
      <c r="G1024" s="1758"/>
      <c r="H1024" s="1758"/>
      <c r="I1024" s="1758"/>
      <c r="J1024" s="1758"/>
      <c r="K1024" s="1758"/>
      <c r="L1024" s="1758"/>
      <c r="M1024" s="1758"/>
      <c r="N1024" s="1758"/>
      <c r="O1024" s="1758"/>
      <c r="P1024" s="1758"/>
      <c r="Q1024" s="1758"/>
      <c r="R1024" s="1758"/>
      <c r="S1024" s="1758"/>
      <c r="T1024" s="1758"/>
      <c r="U1024" s="1758"/>
      <c r="V1024" s="1758"/>
      <c r="W1024" s="1758"/>
      <c r="X1024" s="1758"/>
      <c r="Y1024" s="1758"/>
      <c r="Z1024" s="1758"/>
      <c r="AA1024" s="1758"/>
      <c r="AB1024" s="1758"/>
      <c r="AC1024" s="1758"/>
      <c r="AD1024" s="1758"/>
      <c r="AE1024" s="1759"/>
      <c r="AF1024" s="79"/>
      <c r="AG1024" s="1769" t="s">
        <v>553</v>
      </c>
      <c r="AH1024" s="1770"/>
      <c r="AI1024" s="87"/>
      <c r="AJ1024" s="1798">
        <f>ROUND(IF(AG1024="Yes",AF1026,0),0)</f>
        <v>8757322</v>
      </c>
      <c r="AK1024" s="1799"/>
      <c r="AL1024" s="1799"/>
      <c r="AM1024" s="1799"/>
      <c r="AN1024" s="1799"/>
      <c r="AO1024" s="1799"/>
      <c r="AP1024" s="1799"/>
      <c r="AQ1024" s="1800"/>
      <c r="AR1024" s="68"/>
      <c r="AS1024" s="68"/>
      <c r="AT1024" s="68"/>
      <c r="AU1024" s="68"/>
      <c r="AV1024" s="68"/>
      <c r="AW1024" s="68"/>
      <c r="AX1024" s="68"/>
      <c r="AY1024" s="68"/>
    </row>
    <row r="1025" spans="1:51" ht="13.05" customHeight="1">
      <c r="A1025" s="14"/>
      <c r="B1025" s="73"/>
      <c r="C1025" s="74"/>
      <c r="D1025" s="1760" t="s">
        <v>1880</v>
      </c>
      <c r="E1025" s="1761"/>
      <c r="F1025" s="1761"/>
      <c r="G1025" s="1761"/>
      <c r="H1025" s="1761"/>
      <c r="I1025" s="1761"/>
      <c r="J1025" s="1761"/>
      <c r="K1025" s="1761"/>
      <c r="L1025" s="1761"/>
      <c r="M1025" s="1761"/>
      <c r="N1025" s="1761"/>
      <c r="O1025" s="1761"/>
      <c r="P1025" s="1761"/>
      <c r="Q1025" s="1761"/>
      <c r="R1025" s="1761"/>
      <c r="S1025" s="1761"/>
      <c r="T1025" s="1761"/>
      <c r="U1025" s="1761"/>
      <c r="V1025" s="1761"/>
      <c r="W1025" s="1761"/>
      <c r="X1025" s="1761"/>
      <c r="Y1025" s="1761"/>
      <c r="Z1025" s="1761"/>
      <c r="AA1025" s="1761"/>
      <c r="AB1025" s="1761"/>
      <c r="AC1025" s="1761"/>
      <c r="AD1025" s="1761"/>
      <c r="AE1025" s="1762"/>
      <c r="AF1025" s="1853" t="str">
        <f>IF(AG1024="yes","Enter Amount:","")</f>
        <v>Enter Amount:</v>
      </c>
      <c r="AG1025" s="1854"/>
      <c r="AH1025" s="1854"/>
      <c r="AI1025" s="1855"/>
      <c r="AJ1025" s="1801"/>
      <c r="AK1025" s="1802"/>
      <c r="AL1025" s="1802"/>
      <c r="AM1025" s="1802"/>
      <c r="AN1025" s="1802"/>
      <c r="AO1025" s="1802"/>
      <c r="AP1025" s="1802"/>
      <c r="AQ1025" s="1803"/>
      <c r="AR1025" s="68"/>
      <c r="AS1025" s="68"/>
      <c r="AT1025" s="68"/>
      <c r="AU1025" s="68"/>
      <c r="AV1025" s="68"/>
      <c r="AW1025" s="68"/>
      <c r="AX1025" s="68"/>
      <c r="AY1025" s="68"/>
    </row>
    <row r="1026" spans="1:51" ht="13.05" customHeight="1">
      <c r="A1026" s="14"/>
      <c r="B1026" s="73"/>
      <c r="C1026" s="74"/>
      <c r="D1026" s="1760"/>
      <c r="E1026" s="1761"/>
      <c r="F1026" s="1761"/>
      <c r="G1026" s="1761"/>
      <c r="H1026" s="1761"/>
      <c r="I1026" s="1761"/>
      <c r="J1026" s="1761"/>
      <c r="K1026" s="1761"/>
      <c r="L1026" s="1761"/>
      <c r="M1026" s="1761"/>
      <c r="N1026" s="1761"/>
      <c r="O1026" s="1761"/>
      <c r="P1026" s="1761"/>
      <c r="Q1026" s="1761"/>
      <c r="R1026" s="1761"/>
      <c r="S1026" s="1761"/>
      <c r="T1026" s="1761"/>
      <c r="U1026" s="1761"/>
      <c r="V1026" s="1761"/>
      <c r="W1026" s="1761"/>
      <c r="X1026" s="1761"/>
      <c r="Y1026" s="1761"/>
      <c r="Z1026" s="1761"/>
      <c r="AA1026" s="1761"/>
      <c r="AB1026" s="1761"/>
      <c r="AC1026" s="1761"/>
      <c r="AD1026" s="1761"/>
      <c r="AE1026" s="1762"/>
      <c r="AF1026" s="1810">
        <v>8757322</v>
      </c>
      <c r="AG1026" s="1810"/>
      <c r="AH1026" s="1810"/>
      <c r="AI1026" s="1810"/>
      <c r="AJ1026" s="1801"/>
      <c r="AK1026" s="1802"/>
      <c r="AL1026" s="1802"/>
      <c r="AM1026" s="1802"/>
      <c r="AN1026" s="1802"/>
      <c r="AO1026" s="1802"/>
      <c r="AP1026" s="1802"/>
      <c r="AQ1026" s="1803"/>
      <c r="AR1026" s="68"/>
      <c r="AS1026" s="68"/>
      <c r="AT1026" s="68"/>
      <c r="AU1026" s="68"/>
      <c r="AV1026" s="68"/>
      <c r="AW1026" s="68"/>
      <c r="AX1026" s="68"/>
      <c r="AY1026" s="68"/>
    </row>
    <row r="1027" spans="1:51" ht="13.05" customHeight="1">
      <c r="A1027" s="14"/>
      <c r="B1027" s="85"/>
      <c r="C1027" s="84"/>
      <c r="D1027" s="1773"/>
      <c r="E1027" s="1774"/>
      <c r="F1027" s="1774"/>
      <c r="G1027" s="1774"/>
      <c r="H1027" s="1774"/>
      <c r="I1027" s="1774"/>
      <c r="J1027" s="1774"/>
      <c r="K1027" s="1774"/>
      <c r="L1027" s="1774"/>
      <c r="M1027" s="1774"/>
      <c r="N1027" s="1774"/>
      <c r="O1027" s="1774"/>
      <c r="P1027" s="1774"/>
      <c r="Q1027" s="1774"/>
      <c r="R1027" s="1774"/>
      <c r="S1027" s="1774"/>
      <c r="T1027" s="1774"/>
      <c r="U1027" s="1774"/>
      <c r="V1027" s="1774"/>
      <c r="W1027" s="1774"/>
      <c r="X1027" s="1774"/>
      <c r="Y1027" s="1774"/>
      <c r="Z1027" s="1774"/>
      <c r="AA1027" s="1774"/>
      <c r="AB1027" s="1774"/>
      <c r="AC1027" s="1774"/>
      <c r="AD1027" s="1774"/>
      <c r="AE1027" s="1775"/>
      <c r="AF1027" s="1810"/>
      <c r="AG1027" s="1810"/>
      <c r="AH1027" s="1810"/>
      <c r="AI1027" s="1810"/>
      <c r="AJ1027" s="1804"/>
      <c r="AK1027" s="1805"/>
      <c r="AL1027" s="1805"/>
      <c r="AM1027" s="1805"/>
      <c r="AN1027" s="1805"/>
      <c r="AO1027" s="1805"/>
      <c r="AP1027" s="1805"/>
      <c r="AQ1027" s="1806"/>
      <c r="AR1027" s="68"/>
      <c r="AS1027" s="68"/>
      <c r="AT1027" s="68"/>
      <c r="AU1027" s="68"/>
      <c r="AV1027" s="68"/>
      <c r="AW1027" s="68"/>
      <c r="AX1027" s="68"/>
      <c r="AY1027" s="68"/>
    </row>
    <row r="1028" spans="1:51" ht="13.05" customHeight="1">
      <c r="A1028" s="14"/>
      <c r="B1028" s="79"/>
      <c r="C1028" s="80" t="s">
        <v>235</v>
      </c>
      <c r="D1028" s="1820" t="s">
        <v>1406</v>
      </c>
      <c r="E1028" s="1821"/>
      <c r="F1028" s="1821"/>
      <c r="G1028" s="1821"/>
      <c r="H1028" s="1821"/>
      <c r="I1028" s="1821"/>
      <c r="J1028" s="1821"/>
      <c r="K1028" s="1821"/>
      <c r="L1028" s="1821"/>
      <c r="M1028" s="1821"/>
      <c r="N1028" s="1821"/>
      <c r="O1028" s="1821"/>
      <c r="P1028" s="1821"/>
      <c r="Q1028" s="1821"/>
      <c r="R1028" s="1821"/>
      <c r="S1028" s="1821"/>
      <c r="T1028" s="1821"/>
      <c r="U1028" s="1821"/>
      <c r="V1028" s="1821"/>
      <c r="W1028" s="1821"/>
      <c r="X1028" s="1821"/>
      <c r="Y1028" s="1821"/>
      <c r="Z1028" s="1821"/>
      <c r="AA1028" s="1821"/>
      <c r="AB1028" s="1821"/>
      <c r="AC1028" s="1821"/>
      <c r="AD1028" s="1821"/>
      <c r="AE1028" s="1822"/>
      <c r="AF1028" s="79"/>
      <c r="AG1028" s="1769" t="s">
        <v>677</v>
      </c>
      <c r="AH1028" s="1770"/>
      <c r="AI1028" s="87"/>
      <c r="AJ1028" s="1798">
        <f>ROUND(IF(AG1028="yes",(AJ991*0.1),0),0)</f>
        <v>0</v>
      </c>
      <c r="AK1028" s="1799"/>
      <c r="AL1028" s="1799"/>
      <c r="AM1028" s="1799"/>
      <c r="AN1028" s="1799"/>
      <c r="AO1028" s="1799"/>
      <c r="AP1028" s="1799"/>
      <c r="AQ1028" s="1800"/>
      <c r="AR1028" s="68"/>
      <c r="AS1028" s="68"/>
      <c r="AT1028" s="68"/>
      <c r="AU1028" s="68"/>
      <c r="AV1028" s="68"/>
      <c r="AW1028" s="68"/>
      <c r="AX1028" s="68"/>
      <c r="AY1028" s="68"/>
    </row>
    <row r="1029" spans="1:51" ht="13.05" customHeight="1">
      <c r="A1029" s="14"/>
      <c r="B1029" s="73"/>
      <c r="C1029" s="74"/>
      <c r="D1029" s="1760" t="s">
        <v>1407</v>
      </c>
      <c r="E1029" s="1761"/>
      <c r="F1029" s="1761"/>
      <c r="G1029" s="1761"/>
      <c r="H1029" s="1761"/>
      <c r="I1029" s="1761"/>
      <c r="J1029" s="1761"/>
      <c r="K1029" s="1761"/>
      <c r="L1029" s="1761"/>
      <c r="M1029" s="1761"/>
      <c r="N1029" s="1761"/>
      <c r="O1029" s="1761"/>
      <c r="P1029" s="1761"/>
      <c r="Q1029" s="1761"/>
      <c r="R1029" s="1761"/>
      <c r="S1029" s="1761"/>
      <c r="T1029" s="1761"/>
      <c r="U1029" s="1761"/>
      <c r="V1029" s="1761"/>
      <c r="W1029" s="1761"/>
      <c r="X1029" s="1761"/>
      <c r="Y1029" s="1761"/>
      <c r="Z1029" s="1761"/>
      <c r="AA1029" s="1761"/>
      <c r="AB1029" s="1761"/>
      <c r="AC1029" s="1761"/>
      <c r="AD1029" s="1761"/>
      <c r="AE1029" s="1762"/>
      <c r="AF1029" s="73"/>
      <c r="AG1029" s="14"/>
      <c r="AH1029" s="14"/>
      <c r="AI1029" s="83"/>
      <c r="AJ1029" s="1801"/>
      <c r="AK1029" s="1802"/>
      <c r="AL1029" s="1802"/>
      <c r="AM1029" s="1802"/>
      <c r="AN1029" s="1802"/>
      <c r="AO1029" s="1802"/>
      <c r="AP1029" s="1802"/>
      <c r="AQ1029" s="1803"/>
      <c r="AR1029" s="68"/>
      <c r="AS1029" s="68"/>
      <c r="AT1029" s="68"/>
      <c r="AU1029" s="68"/>
      <c r="AV1029" s="68"/>
      <c r="AW1029" s="68"/>
      <c r="AX1029" s="68"/>
      <c r="AY1029" s="68"/>
    </row>
    <row r="1030" spans="1:51" ht="13.05" customHeight="1">
      <c r="A1030" s="14"/>
      <c r="B1030" s="77"/>
      <c r="C1030" s="74"/>
      <c r="D1030" s="1773"/>
      <c r="E1030" s="1774"/>
      <c r="F1030" s="1774"/>
      <c r="G1030" s="1774"/>
      <c r="H1030" s="1774"/>
      <c r="I1030" s="1774"/>
      <c r="J1030" s="1774"/>
      <c r="K1030" s="1774"/>
      <c r="L1030" s="1774"/>
      <c r="M1030" s="1774"/>
      <c r="N1030" s="1774"/>
      <c r="O1030" s="1774"/>
      <c r="P1030" s="1774"/>
      <c r="Q1030" s="1774"/>
      <c r="R1030" s="1774"/>
      <c r="S1030" s="1774"/>
      <c r="T1030" s="1774"/>
      <c r="U1030" s="1774"/>
      <c r="V1030" s="1774"/>
      <c r="W1030" s="1774"/>
      <c r="X1030" s="1774"/>
      <c r="Y1030" s="1774"/>
      <c r="Z1030" s="1774"/>
      <c r="AA1030" s="1774"/>
      <c r="AB1030" s="1774"/>
      <c r="AC1030" s="1774"/>
      <c r="AD1030" s="1774"/>
      <c r="AE1030" s="1775"/>
      <c r="AF1030" s="73"/>
      <c r="AG1030" s="14"/>
      <c r="AH1030" s="14"/>
      <c r="AI1030" s="83"/>
      <c r="AJ1030" s="1804"/>
      <c r="AK1030" s="1805"/>
      <c r="AL1030" s="1805"/>
      <c r="AM1030" s="1805"/>
      <c r="AN1030" s="1805"/>
      <c r="AO1030" s="1805"/>
      <c r="AP1030" s="1805"/>
      <c r="AQ1030" s="1806"/>
      <c r="AR1030" s="68"/>
      <c r="AS1030" s="68"/>
      <c r="AT1030" s="68"/>
      <c r="AU1030" s="68"/>
      <c r="AV1030" s="68"/>
      <c r="AW1030" s="68"/>
      <c r="AX1030" s="68"/>
      <c r="AY1030" s="68"/>
    </row>
    <row r="1031" spans="1:51" ht="13.05" customHeight="1">
      <c r="A1031" s="14"/>
      <c r="B1031" s="73"/>
      <c r="C1031" s="367" t="s">
        <v>696</v>
      </c>
      <c r="D1031" s="1757" t="s">
        <v>1876</v>
      </c>
      <c r="E1031" s="1758"/>
      <c r="F1031" s="1758"/>
      <c r="G1031" s="1758"/>
      <c r="H1031" s="1758"/>
      <c r="I1031" s="1758"/>
      <c r="J1031" s="1758"/>
      <c r="K1031" s="1758"/>
      <c r="L1031" s="1758"/>
      <c r="M1031" s="1758"/>
      <c r="N1031" s="1758"/>
      <c r="O1031" s="1758"/>
      <c r="P1031" s="1758"/>
      <c r="Q1031" s="1758"/>
      <c r="R1031" s="1758"/>
      <c r="S1031" s="1758"/>
      <c r="T1031" s="1758"/>
      <c r="U1031" s="1758"/>
      <c r="V1031" s="1758"/>
      <c r="W1031" s="1758"/>
      <c r="X1031" s="1758"/>
      <c r="Y1031" s="1758"/>
      <c r="Z1031" s="1758"/>
      <c r="AA1031" s="1758"/>
      <c r="AB1031" s="1758"/>
      <c r="AC1031" s="1758"/>
      <c r="AD1031" s="1758"/>
      <c r="AE1031" s="1759"/>
      <c r="AF1031" s="79"/>
      <c r="AG1031" s="1769" t="s">
        <v>677</v>
      </c>
      <c r="AH1031" s="1770"/>
      <c r="AI1031" s="87"/>
      <c r="AJ1031" s="1798">
        <f>ROUND(IF(AG1031="yes",(AJ991*0.15),0),0)</f>
        <v>0</v>
      </c>
      <c r="AK1031" s="1799"/>
      <c r="AL1031" s="1799"/>
      <c r="AM1031" s="1799"/>
      <c r="AN1031" s="1799"/>
      <c r="AO1031" s="1799"/>
      <c r="AP1031" s="1799"/>
      <c r="AQ1031" s="1800"/>
      <c r="AR1031" s="68"/>
      <c r="AS1031" s="68"/>
      <c r="AT1031" s="68"/>
      <c r="AU1031" s="68"/>
      <c r="AV1031" s="68"/>
      <c r="AW1031" s="68"/>
      <c r="AX1031" s="68"/>
      <c r="AY1031" s="68"/>
    </row>
    <row r="1032" spans="1:51" ht="13.05" customHeight="1">
      <c r="A1032" s="14"/>
      <c r="B1032" s="73"/>
      <c r="C1032" s="74"/>
      <c r="D1032" s="1793" t="s">
        <v>1877</v>
      </c>
      <c r="E1032" s="1275"/>
      <c r="F1032" s="1275"/>
      <c r="G1032" s="1275"/>
      <c r="H1032" s="1275"/>
      <c r="I1032" s="1275"/>
      <c r="J1032" s="1275"/>
      <c r="K1032" s="1275"/>
      <c r="L1032" s="1275"/>
      <c r="M1032" s="1275"/>
      <c r="N1032" s="1275"/>
      <c r="O1032" s="1275"/>
      <c r="P1032" s="1275"/>
      <c r="Q1032" s="1275"/>
      <c r="R1032" s="1275"/>
      <c r="S1032" s="1275"/>
      <c r="T1032" s="1275"/>
      <c r="U1032" s="1275"/>
      <c r="V1032" s="1275"/>
      <c r="W1032" s="1275"/>
      <c r="X1032" s="1275"/>
      <c r="Y1032" s="1275"/>
      <c r="Z1032" s="1275"/>
      <c r="AA1032" s="1275"/>
      <c r="AB1032" s="1275"/>
      <c r="AC1032" s="1275"/>
      <c r="AD1032" s="1275"/>
      <c r="AE1032" s="1794"/>
      <c r="AF1032" s="950"/>
      <c r="AG1032" s="951"/>
      <c r="AH1032" s="951"/>
      <c r="AI1032" s="952"/>
      <c r="AJ1032" s="1801"/>
      <c r="AK1032" s="1802"/>
      <c r="AL1032" s="1802"/>
      <c r="AM1032" s="1802"/>
      <c r="AN1032" s="1802"/>
      <c r="AO1032" s="1802"/>
      <c r="AP1032" s="1802"/>
      <c r="AQ1032" s="1803"/>
      <c r="AR1032" s="68"/>
      <c r="AS1032" s="68"/>
      <c r="AT1032" s="68"/>
      <c r="AU1032" s="68"/>
      <c r="AV1032" s="68"/>
      <c r="AW1032" s="68"/>
      <c r="AX1032" s="68"/>
      <c r="AY1032" s="68"/>
    </row>
    <row r="1033" spans="1:51" ht="13.05" customHeight="1">
      <c r="A1033" s="14"/>
      <c r="B1033" s="73"/>
      <c r="C1033" s="74"/>
      <c r="D1033" s="1793"/>
      <c r="E1033" s="1275"/>
      <c r="F1033" s="1275"/>
      <c r="G1033" s="1275"/>
      <c r="H1033" s="1275"/>
      <c r="I1033" s="1275"/>
      <c r="J1033" s="1275"/>
      <c r="K1033" s="1275"/>
      <c r="L1033" s="1275"/>
      <c r="M1033" s="1275"/>
      <c r="N1033" s="1275"/>
      <c r="O1033" s="1275"/>
      <c r="P1033" s="1275"/>
      <c r="Q1033" s="1275"/>
      <c r="R1033" s="1275"/>
      <c r="S1033" s="1275"/>
      <c r="T1033" s="1275"/>
      <c r="U1033" s="1275"/>
      <c r="V1033" s="1275"/>
      <c r="W1033" s="1275"/>
      <c r="X1033" s="1275"/>
      <c r="Y1033" s="1275"/>
      <c r="Z1033" s="1275"/>
      <c r="AA1033" s="1275"/>
      <c r="AB1033" s="1275"/>
      <c r="AC1033" s="1275"/>
      <c r="AD1033" s="1275"/>
      <c r="AE1033" s="1794"/>
      <c r="AF1033" s="950"/>
      <c r="AG1033" s="951"/>
      <c r="AH1033" s="951"/>
      <c r="AI1033" s="952"/>
      <c r="AJ1033" s="1801"/>
      <c r="AK1033" s="1802"/>
      <c r="AL1033" s="1802"/>
      <c r="AM1033" s="1802"/>
      <c r="AN1033" s="1802"/>
      <c r="AO1033" s="1802"/>
      <c r="AP1033" s="1802"/>
      <c r="AQ1033" s="1803"/>
      <c r="AR1033" s="68"/>
      <c r="AS1033" s="68"/>
      <c r="AT1033" s="68"/>
      <c r="AU1033" s="68"/>
      <c r="AV1033" s="68"/>
      <c r="AW1033" s="68"/>
      <c r="AX1033" s="68"/>
      <c r="AY1033" s="68"/>
    </row>
    <row r="1034" spans="1:51" ht="13.05" customHeight="1">
      <c r="A1034" s="14"/>
      <c r="B1034" s="73"/>
      <c r="C1034" s="74"/>
      <c r="D1034" s="1795"/>
      <c r="E1034" s="1796"/>
      <c r="F1034" s="1796"/>
      <c r="G1034" s="1796"/>
      <c r="H1034" s="1796"/>
      <c r="I1034" s="1796"/>
      <c r="J1034" s="1796"/>
      <c r="K1034" s="1796"/>
      <c r="L1034" s="1796"/>
      <c r="M1034" s="1796"/>
      <c r="N1034" s="1796"/>
      <c r="O1034" s="1796"/>
      <c r="P1034" s="1796"/>
      <c r="Q1034" s="1796"/>
      <c r="R1034" s="1796"/>
      <c r="S1034" s="1796"/>
      <c r="T1034" s="1796"/>
      <c r="U1034" s="1796"/>
      <c r="V1034" s="1796"/>
      <c r="W1034" s="1796"/>
      <c r="X1034" s="1796"/>
      <c r="Y1034" s="1796"/>
      <c r="Z1034" s="1796"/>
      <c r="AA1034" s="1796"/>
      <c r="AB1034" s="1796"/>
      <c r="AC1034" s="1796"/>
      <c r="AD1034" s="1796"/>
      <c r="AE1034" s="1797"/>
      <c r="AF1034" s="953"/>
      <c r="AG1034" s="954"/>
      <c r="AH1034" s="954"/>
      <c r="AI1034" s="955"/>
      <c r="AJ1034" s="1804"/>
      <c r="AK1034" s="1805"/>
      <c r="AL1034" s="1805"/>
      <c r="AM1034" s="1805"/>
      <c r="AN1034" s="1805"/>
      <c r="AO1034" s="1805"/>
      <c r="AP1034" s="1805"/>
      <c r="AQ1034" s="1806"/>
      <c r="AR1034" s="68"/>
      <c r="AS1034" s="68"/>
      <c r="AT1034" s="68"/>
      <c r="AU1034" s="68"/>
      <c r="AV1034" s="68"/>
      <c r="AW1034" s="68"/>
      <c r="AX1034" s="68"/>
      <c r="AY1034" s="68"/>
    </row>
    <row r="1035" spans="1:51" ht="13.05" customHeight="1">
      <c r="A1035" s="14"/>
      <c r="B1035" s="73"/>
      <c r="C1035" s="367" t="s">
        <v>696</v>
      </c>
      <c r="D1035" s="1820" t="s">
        <v>1878</v>
      </c>
      <c r="E1035" s="1821"/>
      <c r="F1035" s="1821"/>
      <c r="G1035" s="1821"/>
      <c r="H1035" s="1821"/>
      <c r="I1035" s="1821"/>
      <c r="J1035" s="1821"/>
      <c r="K1035" s="1821"/>
      <c r="L1035" s="1821"/>
      <c r="M1035" s="1821"/>
      <c r="N1035" s="1821"/>
      <c r="O1035" s="1821"/>
      <c r="P1035" s="1821"/>
      <c r="Q1035" s="1821"/>
      <c r="R1035" s="1821"/>
      <c r="S1035" s="1821"/>
      <c r="T1035" s="1821"/>
      <c r="U1035" s="1821"/>
      <c r="V1035" s="1821"/>
      <c r="W1035" s="1821"/>
      <c r="X1035" s="1821"/>
      <c r="Y1035" s="1821"/>
      <c r="Z1035" s="1821"/>
      <c r="AA1035" s="1821"/>
      <c r="AB1035" s="1821"/>
      <c r="AC1035" s="1821"/>
      <c r="AD1035" s="1821"/>
      <c r="AE1035" s="1822"/>
      <c r="AF1035" s="73"/>
      <c r="AG1035" s="1771" t="s">
        <v>677</v>
      </c>
      <c r="AH1035" s="1772"/>
      <c r="AI1035" s="83"/>
      <c r="AJ1035" s="1798">
        <f>ROUND(IF(AND(AG1035="yes",AJ1031=0),(AJ991*0.1),0),0)</f>
        <v>0</v>
      </c>
      <c r="AK1035" s="1799"/>
      <c r="AL1035" s="1799"/>
      <c r="AM1035" s="1799"/>
      <c r="AN1035" s="1799"/>
      <c r="AO1035" s="1799"/>
      <c r="AP1035" s="1799"/>
      <c r="AQ1035" s="1800"/>
      <c r="AR1035" s="68"/>
      <c r="AS1035" s="68"/>
      <c r="AT1035" s="68"/>
      <c r="AU1035" s="68"/>
      <c r="AV1035" s="68"/>
      <c r="AW1035" s="68"/>
      <c r="AX1035" s="68"/>
      <c r="AY1035" s="68"/>
    </row>
    <row r="1036" spans="1:51" ht="13.05" customHeight="1">
      <c r="A1036" s="14"/>
      <c r="B1036" s="73"/>
      <c r="C1036" s="74"/>
      <c r="D1036" s="1793" t="s">
        <v>1879</v>
      </c>
      <c r="E1036" s="1275"/>
      <c r="F1036" s="1275"/>
      <c r="G1036" s="1275"/>
      <c r="H1036" s="1275"/>
      <c r="I1036" s="1275"/>
      <c r="J1036" s="1275"/>
      <c r="K1036" s="1275"/>
      <c r="L1036" s="1275"/>
      <c r="M1036" s="1275"/>
      <c r="N1036" s="1275"/>
      <c r="O1036" s="1275"/>
      <c r="P1036" s="1275"/>
      <c r="Q1036" s="1275"/>
      <c r="R1036" s="1275"/>
      <c r="S1036" s="1275"/>
      <c r="T1036" s="1275"/>
      <c r="U1036" s="1275"/>
      <c r="V1036" s="1275"/>
      <c r="W1036" s="1275"/>
      <c r="X1036" s="1275"/>
      <c r="Y1036" s="1275"/>
      <c r="Z1036" s="1275"/>
      <c r="AA1036" s="1275"/>
      <c r="AB1036" s="1275"/>
      <c r="AC1036" s="1275"/>
      <c r="AD1036" s="1275"/>
      <c r="AE1036" s="1794"/>
      <c r="AF1036" s="73"/>
      <c r="AG1036" s="14"/>
      <c r="AH1036" s="14"/>
      <c r="AI1036" s="83"/>
      <c r="AJ1036" s="1801"/>
      <c r="AK1036" s="1802"/>
      <c r="AL1036" s="1802"/>
      <c r="AM1036" s="1802"/>
      <c r="AN1036" s="1802"/>
      <c r="AO1036" s="1802"/>
      <c r="AP1036" s="1802"/>
      <c r="AQ1036" s="1803"/>
      <c r="AR1036" s="68"/>
      <c r="AS1036" s="68"/>
      <c r="AT1036" s="68"/>
      <c r="AU1036" s="68"/>
      <c r="AV1036" s="68"/>
      <c r="AW1036" s="68"/>
      <c r="AX1036" s="68"/>
      <c r="AY1036" s="68"/>
    </row>
    <row r="1037" spans="1:51" ht="13.05" customHeight="1">
      <c r="A1037" s="14"/>
      <c r="B1037" s="73"/>
      <c r="C1037" s="74"/>
      <c r="D1037" s="1793"/>
      <c r="E1037" s="1275"/>
      <c r="F1037" s="1275"/>
      <c r="G1037" s="1275"/>
      <c r="H1037" s="1275"/>
      <c r="I1037" s="1275"/>
      <c r="J1037" s="1275"/>
      <c r="K1037" s="1275"/>
      <c r="L1037" s="1275"/>
      <c r="M1037" s="1275"/>
      <c r="N1037" s="1275"/>
      <c r="O1037" s="1275"/>
      <c r="P1037" s="1275"/>
      <c r="Q1037" s="1275"/>
      <c r="R1037" s="1275"/>
      <c r="S1037" s="1275"/>
      <c r="T1037" s="1275"/>
      <c r="U1037" s="1275"/>
      <c r="V1037" s="1275"/>
      <c r="W1037" s="1275"/>
      <c r="X1037" s="1275"/>
      <c r="Y1037" s="1275"/>
      <c r="Z1037" s="1275"/>
      <c r="AA1037" s="1275"/>
      <c r="AB1037" s="1275"/>
      <c r="AC1037" s="1275"/>
      <c r="AD1037" s="1275"/>
      <c r="AE1037" s="1794"/>
      <c r="AF1037" s="73"/>
      <c r="AG1037" s="14"/>
      <c r="AH1037" s="14"/>
      <c r="AI1037" s="83"/>
      <c r="AJ1037" s="1801"/>
      <c r="AK1037" s="1802"/>
      <c r="AL1037" s="1802"/>
      <c r="AM1037" s="1802"/>
      <c r="AN1037" s="1802"/>
      <c r="AO1037" s="1802"/>
      <c r="AP1037" s="1802"/>
      <c r="AQ1037" s="1803"/>
      <c r="AR1037" s="68"/>
      <c r="AS1037" s="68"/>
      <c r="AT1037" s="68"/>
      <c r="AU1037" s="68"/>
      <c r="AV1037" s="68"/>
      <c r="AW1037" s="68"/>
      <c r="AX1037" s="68"/>
      <c r="AY1037" s="68"/>
    </row>
    <row r="1038" spans="1:51" ht="13.05" customHeight="1">
      <c r="A1038" s="14"/>
      <c r="B1038" s="73"/>
      <c r="C1038" s="74"/>
      <c r="D1038" s="1793"/>
      <c r="E1038" s="1275"/>
      <c r="F1038" s="1275"/>
      <c r="G1038" s="1275"/>
      <c r="H1038" s="1275"/>
      <c r="I1038" s="1275"/>
      <c r="J1038" s="1275"/>
      <c r="K1038" s="1275"/>
      <c r="L1038" s="1275"/>
      <c r="M1038" s="1275"/>
      <c r="N1038" s="1275"/>
      <c r="O1038" s="1275"/>
      <c r="P1038" s="1275"/>
      <c r="Q1038" s="1275"/>
      <c r="R1038" s="1275"/>
      <c r="S1038" s="1275"/>
      <c r="T1038" s="1275"/>
      <c r="U1038" s="1275"/>
      <c r="V1038" s="1275"/>
      <c r="W1038" s="1275"/>
      <c r="X1038" s="1275"/>
      <c r="Y1038" s="1275"/>
      <c r="Z1038" s="1275"/>
      <c r="AA1038" s="1275"/>
      <c r="AB1038" s="1275"/>
      <c r="AC1038" s="1275"/>
      <c r="AD1038" s="1275"/>
      <c r="AE1038" s="1794"/>
      <c r="AF1038" s="73"/>
      <c r="AG1038" s="14"/>
      <c r="AH1038" s="14"/>
      <c r="AI1038" s="83"/>
      <c r="AJ1038" s="1801"/>
      <c r="AK1038" s="1802"/>
      <c r="AL1038" s="1802"/>
      <c r="AM1038" s="1802"/>
      <c r="AN1038" s="1802"/>
      <c r="AO1038" s="1802"/>
      <c r="AP1038" s="1802"/>
      <c r="AQ1038" s="1803"/>
      <c r="AR1038" s="68"/>
      <c r="AS1038" s="68"/>
      <c r="AT1038" s="68"/>
      <c r="AU1038" s="68"/>
      <c r="AV1038" s="68"/>
      <c r="AW1038" s="68"/>
      <c r="AX1038" s="68"/>
      <c r="AY1038" s="68"/>
    </row>
    <row r="1039" spans="1:51" ht="13.05" customHeight="1">
      <c r="A1039" s="14"/>
      <c r="B1039" s="73"/>
      <c r="C1039" s="74"/>
      <c r="D1039" s="1795"/>
      <c r="E1039" s="1796"/>
      <c r="F1039" s="1796"/>
      <c r="G1039" s="1796"/>
      <c r="H1039" s="1796"/>
      <c r="I1039" s="1796"/>
      <c r="J1039" s="1796"/>
      <c r="K1039" s="1796"/>
      <c r="L1039" s="1796"/>
      <c r="M1039" s="1796"/>
      <c r="N1039" s="1796"/>
      <c r="O1039" s="1796"/>
      <c r="P1039" s="1796"/>
      <c r="Q1039" s="1796"/>
      <c r="R1039" s="1796"/>
      <c r="S1039" s="1796"/>
      <c r="T1039" s="1796"/>
      <c r="U1039" s="1796"/>
      <c r="V1039" s="1796"/>
      <c r="W1039" s="1796"/>
      <c r="X1039" s="1796"/>
      <c r="Y1039" s="1796"/>
      <c r="Z1039" s="1796"/>
      <c r="AA1039" s="1796"/>
      <c r="AB1039" s="1796"/>
      <c r="AC1039" s="1796"/>
      <c r="AD1039" s="1796"/>
      <c r="AE1039" s="1797"/>
      <c r="AF1039" s="73"/>
      <c r="AG1039" s="14"/>
      <c r="AH1039" s="14"/>
      <c r="AI1039" s="83"/>
      <c r="AJ1039" s="1801"/>
      <c r="AK1039" s="1802"/>
      <c r="AL1039" s="1802"/>
      <c r="AM1039" s="1802"/>
      <c r="AN1039" s="1802"/>
      <c r="AO1039" s="1802"/>
      <c r="AP1039" s="1802"/>
      <c r="AQ1039" s="1803"/>
      <c r="AR1039" s="68"/>
      <c r="AS1039" s="68"/>
      <c r="AT1039" s="68"/>
      <c r="AU1039" s="68"/>
      <c r="AV1039" s="68"/>
      <c r="AW1039" s="68"/>
      <c r="AX1039" s="68"/>
      <c r="AY1039" s="68"/>
    </row>
    <row r="1040" spans="1:51" ht="13.05" customHeight="1">
      <c r="A1040" s="14"/>
      <c r="B1040" s="79"/>
      <c r="C1040" s="131" t="s">
        <v>1034</v>
      </c>
      <c r="D1040" s="1757" t="s">
        <v>1408</v>
      </c>
      <c r="E1040" s="1758"/>
      <c r="F1040" s="1758"/>
      <c r="G1040" s="1758"/>
      <c r="H1040" s="1758"/>
      <c r="I1040" s="1758"/>
      <c r="J1040" s="1758"/>
      <c r="K1040" s="1758"/>
      <c r="L1040" s="1758"/>
      <c r="M1040" s="1758"/>
      <c r="N1040" s="1758"/>
      <c r="O1040" s="1758"/>
      <c r="P1040" s="1758"/>
      <c r="Q1040" s="1758"/>
      <c r="R1040" s="1758"/>
      <c r="S1040" s="1758"/>
      <c r="T1040" s="1758"/>
      <c r="U1040" s="1758"/>
      <c r="V1040" s="1758"/>
      <c r="W1040" s="1758"/>
      <c r="X1040" s="1758"/>
      <c r="Y1040" s="1758"/>
      <c r="Z1040" s="1758"/>
      <c r="AA1040" s="1758"/>
      <c r="AB1040" s="1758"/>
      <c r="AC1040" s="1758"/>
      <c r="AD1040" s="1758"/>
      <c r="AE1040" s="1759"/>
      <c r="AF1040" s="79"/>
      <c r="AG1040" s="1769" t="s">
        <v>553</v>
      </c>
      <c r="AH1040" s="1770"/>
      <c r="AI1040" s="87"/>
      <c r="AJ1040" s="1798">
        <f>ROUND(IF(AG1040="yes",(AJ991*0.1),0),0)</f>
        <v>6777117</v>
      </c>
      <c r="AK1040" s="1799"/>
      <c r="AL1040" s="1799"/>
      <c r="AM1040" s="1799"/>
      <c r="AN1040" s="1799"/>
      <c r="AO1040" s="1799"/>
      <c r="AP1040" s="1799"/>
      <c r="AQ1040" s="1800"/>
      <c r="AR1040" s="68"/>
      <c r="AS1040" s="68"/>
      <c r="AT1040" s="68"/>
      <c r="AU1040" s="68"/>
      <c r="AV1040" s="68"/>
      <c r="AW1040" s="68"/>
      <c r="AX1040" s="68"/>
      <c r="AY1040" s="68"/>
    </row>
    <row r="1041" spans="1:51" ht="13.05" customHeight="1">
      <c r="A1041" s="14"/>
      <c r="B1041" s="73"/>
      <c r="C1041" s="74"/>
      <c r="D1041" s="1760" t="s">
        <v>2496</v>
      </c>
      <c r="E1041" s="1761"/>
      <c r="F1041" s="1761"/>
      <c r="G1041" s="1761"/>
      <c r="H1041" s="1761"/>
      <c r="I1041" s="1761"/>
      <c r="J1041" s="1761"/>
      <c r="K1041" s="1761"/>
      <c r="L1041" s="1761"/>
      <c r="M1041" s="1761"/>
      <c r="N1041" s="1761"/>
      <c r="O1041" s="1761"/>
      <c r="P1041" s="1761"/>
      <c r="Q1041" s="1761"/>
      <c r="R1041" s="1761"/>
      <c r="S1041" s="1761"/>
      <c r="T1041" s="1761"/>
      <c r="U1041" s="1761"/>
      <c r="V1041" s="1761"/>
      <c r="W1041" s="1761"/>
      <c r="X1041" s="1761"/>
      <c r="Y1041" s="1761"/>
      <c r="Z1041" s="1761"/>
      <c r="AA1041" s="1761"/>
      <c r="AB1041" s="1761"/>
      <c r="AC1041" s="1761"/>
      <c r="AD1041" s="1761"/>
      <c r="AE1041" s="1762"/>
      <c r="AF1041" s="73"/>
      <c r="AG1041" s="14"/>
      <c r="AH1041" s="14"/>
      <c r="AI1041" s="83"/>
      <c r="AJ1041" s="1801"/>
      <c r="AK1041" s="1802"/>
      <c r="AL1041" s="1802"/>
      <c r="AM1041" s="1802"/>
      <c r="AN1041" s="1802"/>
      <c r="AO1041" s="1802"/>
      <c r="AP1041" s="1802"/>
      <c r="AQ1041" s="1803"/>
      <c r="AR1041" s="68"/>
      <c r="AS1041" s="68"/>
      <c r="AT1041" s="68"/>
      <c r="AU1041" s="68"/>
      <c r="AV1041" s="68"/>
      <c r="AW1041" s="68"/>
      <c r="AX1041" s="68"/>
      <c r="AY1041" s="68"/>
    </row>
    <row r="1042" spans="1:51" ht="13.05" customHeight="1">
      <c r="A1042" s="14"/>
      <c r="B1042" s="73"/>
      <c r="C1042" s="74"/>
      <c r="D1042" s="1760"/>
      <c r="E1042" s="1761"/>
      <c r="F1042" s="1761"/>
      <c r="G1042" s="1761"/>
      <c r="H1042" s="1761"/>
      <c r="I1042" s="1761"/>
      <c r="J1042" s="1761"/>
      <c r="K1042" s="1761"/>
      <c r="L1042" s="1761"/>
      <c r="M1042" s="1761"/>
      <c r="N1042" s="1761"/>
      <c r="O1042" s="1761"/>
      <c r="P1042" s="1761"/>
      <c r="Q1042" s="1761"/>
      <c r="R1042" s="1761"/>
      <c r="S1042" s="1761"/>
      <c r="T1042" s="1761"/>
      <c r="U1042" s="1761"/>
      <c r="V1042" s="1761"/>
      <c r="W1042" s="1761"/>
      <c r="X1042" s="1761"/>
      <c r="Y1042" s="1761"/>
      <c r="Z1042" s="1761"/>
      <c r="AA1042" s="1761"/>
      <c r="AB1042" s="1761"/>
      <c r="AC1042" s="1761"/>
      <c r="AD1042" s="1761"/>
      <c r="AE1042" s="1762"/>
      <c r="AF1042" s="73"/>
      <c r="AG1042" s="14"/>
      <c r="AH1042" s="14"/>
      <c r="AI1042" s="83"/>
      <c r="AJ1042" s="1801"/>
      <c r="AK1042" s="1802"/>
      <c r="AL1042" s="1802"/>
      <c r="AM1042" s="1802"/>
      <c r="AN1042" s="1802"/>
      <c r="AO1042" s="1802"/>
      <c r="AP1042" s="1802"/>
      <c r="AQ1042" s="1803"/>
      <c r="AR1042" s="68"/>
      <c r="AS1042" s="68"/>
      <c r="AT1042" s="68"/>
      <c r="AU1042" s="68"/>
      <c r="AV1042" s="68"/>
      <c r="AW1042" s="68"/>
      <c r="AX1042" s="68"/>
      <c r="AY1042" s="68"/>
    </row>
    <row r="1043" spans="1:51" ht="13.05" customHeight="1">
      <c r="A1043" s="14"/>
      <c r="B1043" s="73"/>
      <c r="C1043" s="74"/>
      <c r="D1043" s="1773"/>
      <c r="E1043" s="1774"/>
      <c r="F1043" s="1774"/>
      <c r="G1043" s="1774"/>
      <c r="H1043" s="1774"/>
      <c r="I1043" s="1774"/>
      <c r="J1043" s="1774"/>
      <c r="K1043" s="1774"/>
      <c r="L1043" s="1774"/>
      <c r="M1043" s="1774"/>
      <c r="N1043" s="1774"/>
      <c r="O1043" s="1774"/>
      <c r="P1043" s="1774"/>
      <c r="Q1043" s="1774"/>
      <c r="R1043" s="1774"/>
      <c r="S1043" s="1774"/>
      <c r="T1043" s="1774"/>
      <c r="U1043" s="1774"/>
      <c r="V1043" s="1774"/>
      <c r="W1043" s="1774"/>
      <c r="X1043" s="1774"/>
      <c r="Y1043" s="1774"/>
      <c r="Z1043" s="1774"/>
      <c r="AA1043" s="1774"/>
      <c r="AB1043" s="1774"/>
      <c r="AC1043" s="1774"/>
      <c r="AD1043" s="1774"/>
      <c r="AE1043" s="1775"/>
      <c r="AF1043" s="73"/>
      <c r="AG1043" s="14"/>
      <c r="AH1043" s="14"/>
      <c r="AI1043" s="83"/>
      <c r="AJ1043" s="1804"/>
      <c r="AK1043" s="1805"/>
      <c r="AL1043" s="1805"/>
      <c r="AM1043" s="1805"/>
      <c r="AN1043" s="1805"/>
      <c r="AO1043" s="1805"/>
      <c r="AP1043" s="1805"/>
      <c r="AQ1043" s="1806"/>
      <c r="AR1043" s="68"/>
      <c r="AS1043" s="68"/>
      <c r="AT1043" s="68"/>
      <c r="AU1043" s="68"/>
      <c r="AV1043" s="68"/>
      <c r="AW1043" s="68"/>
      <c r="AX1043" s="68"/>
      <c r="AY1043" s="68"/>
    </row>
    <row r="1044" spans="1:51" ht="13.05" customHeight="1">
      <c r="A1044" s="14"/>
      <c r="B1044" s="79"/>
      <c r="C1044" s="131" t="s">
        <v>1874</v>
      </c>
      <c r="D1044" s="1820" t="s">
        <v>2056</v>
      </c>
      <c r="E1044" s="1821"/>
      <c r="F1044" s="1821"/>
      <c r="G1044" s="1821"/>
      <c r="H1044" s="1821"/>
      <c r="I1044" s="1821"/>
      <c r="J1044" s="1821"/>
      <c r="K1044" s="1821"/>
      <c r="L1044" s="1821"/>
      <c r="M1044" s="1821"/>
      <c r="N1044" s="1821"/>
      <c r="O1044" s="1821"/>
      <c r="P1044" s="1821"/>
      <c r="Q1044" s="1821"/>
      <c r="R1044" s="1821"/>
      <c r="S1044" s="1821"/>
      <c r="T1044" s="1821"/>
      <c r="U1044" s="1821"/>
      <c r="V1044" s="1821"/>
      <c r="W1044" s="1821"/>
      <c r="X1044" s="1821"/>
      <c r="Y1044" s="1821"/>
      <c r="Z1044" s="1821"/>
      <c r="AA1044" s="1821"/>
      <c r="AB1044" s="1821"/>
      <c r="AC1044" s="1821"/>
      <c r="AD1044" s="1821"/>
      <c r="AE1044" s="1822"/>
      <c r="AF1044" s="79"/>
      <c r="AG1044" s="1767" t="str">
        <f>IF(X1047&gt;0,"Yes","No")</f>
        <v>No</v>
      </c>
      <c r="AH1044" s="1768"/>
      <c r="AI1044" s="87"/>
      <c r="AJ1044" s="1798">
        <f>IF((X1047=0),0,AY1004*AJ991)</f>
        <v>0</v>
      </c>
      <c r="AK1044" s="1799"/>
      <c r="AL1044" s="1799"/>
      <c r="AM1044" s="1799"/>
      <c r="AN1044" s="1799"/>
      <c r="AO1044" s="1799"/>
      <c r="AP1044" s="1799"/>
      <c r="AQ1044" s="1800"/>
      <c r="AR1044" s="68"/>
      <c r="AS1044" s="68"/>
      <c r="AT1044" s="68"/>
      <c r="AU1044" s="68"/>
      <c r="AV1044" s="68"/>
      <c r="AW1044" s="68"/>
      <c r="AX1044" s="68"/>
      <c r="AY1044" s="68"/>
    </row>
    <row r="1045" spans="1:51" ht="13.05" customHeight="1">
      <c r="A1045" s="14"/>
      <c r="B1045" s="73"/>
      <c r="C1045" s="476"/>
      <c r="D1045" s="1760" t="s">
        <v>1410</v>
      </c>
      <c r="E1045" s="1761"/>
      <c r="F1045" s="1761"/>
      <c r="G1045" s="1761"/>
      <c r="H1045" s="1761"/>
      <c r="I1045" s="1761"/>
      <c r="J1045" s="1761"/>
      <c r="K1045" s="1761"/>
      <c r="L1045" s="1761"/>
      <c r="M1045" s="1761"/>
      <c r="N1045" s="1761"/>
      <c r="O1045" s="1761"/>
      <c r="P1045" s="1761"/>
      <c r="Q1045" s="1761"/>
      <c r="R1045" s="1761"/>
      <c r="S1045" s="1761"/>
      <c r="T1045" s="1761"/>
      <c r="U1045" s="1761"/>
      <c r="V1045" s="1761"/>
      <c r="W1045" s="1761"/>
      <c r="X1045" s="1761"/>
      <c r="Y1045" s="1761"/>
      <c r="Z1045" s="1761"/>
      <c r="AA1045" s="1761"/>
      <c r="AB1045" s="1761"/>
      <c r="AC1045" s="1761"/>
      <c r="AD1045" s="1761"/>
      <c r="AE1045" s="1762"/>
      <c r="AF1045" s="73"/>
      <c r="AG1045" s="477"/>
      <c r="AH1045" s="477"/>
      <c r="AI1045" s="83"/>
      <c r="AJ1045" s="1801"/>
      <c r="AK1045" s="1802"/>
      <c r="AL1045" s="1802"/>
      <c r="AM1045" s="1802"/>
      <c r="AN1045" s="1802"/>
      <c r="AO1045" s="1802"/>
      <c r="AP1045" s="1802"/>
      <c r="AQ1045" s="1803"/>
      <c r="AR1045" s="68"/>
      <c r="AS1045" s="68"/>
      <c r="AT1045" s="68"/>
      <c r="AU1045" s="13"/>
      <c r="AV1045" s="68"/>
      <c r="AW1045" s="68"/>
      <c r="AX1045" s="68"/>
      <c r="AY1045" s="68"/>
    </row>
    <row r="1046" spans="1:51" ht="13.05" customHeight="1">
      <c r="A1046" s="14"/>
      <c r="B1046" s="73"/>
      <c r="C1046" s="476"/>
      <c r="D1046" s="1760"/>
      <c r="E1046" s="1761"/>
      <c r="F1046" s="1761"/>
      <c r="G1046" s="1761"/>
      <c r="H1046" s="1761"/>
      <c r="I1046" s="1761"/>
      <c r="J1046" s="1761"/>
      <c r="K1046" s="1761"/>
      <c r="L1046" s="1761"/>
      <c r="M1046" s="1761"/>
      <c r="N1046" s="1761"/>
      <c r="O1046" s="1761"/>
      <c r="P1046" s="1761"/>
      <c r="Q1046" s="1761"/>
      <c r="R1046" s="1761"/>
      <c r="S1046" s="1761"/>
      <c r="T1046" s="1761"/>
      <c r="U1046" s="1761"/>
      <c r="V1046" s="1761"/>
      <c r="W1046" s="1761"/>
      <c r="X1046" s="1761"/>
      <c r="Y1046" s="1761"/>
      <c r="Z1046" s="1761"/>
      <c r="AA1046" s="1761"/>
      <c r="AB1046" s="1761"/>
      <c r="AC1046" s="1761"/>
      <c r="AD1046" s="1761"/>
      <c r="AE1046" s="1762"/>
      <c r="AF1046" s="73"/>
      <c r="AG1046" s="477"/>
      <c r="AH1046" s="477"/>
      <c r="AI1046" s="83"/>
      <c r="AJ1046" s="1801"/>
      <c r="AK1046" s="1802"/>
      <c r="AL1046" s="1802"/>
      <c r="AM1046" s="1802"/>
      <c r="AN1046" s="1802"/>
      <c r="AO1046" s="1802"/>
      <c r="AP1046" s="1802"/>
      <c r="AQ1046" s="1803"/>
      <c r="AR1046" s="68"/>
      <c r="AS1046" s="68"/>
      <c r="AT1046" s="68"/>
      <c r="AU1046" s="13"/>
      <c r="AV1046" s="68"/>
      <c r="AW1046" s="68"/>
      <c r="AX1046" s="68"/>
      <c r="AY1046" s="68"/>
    </row>
    <row r="1047" spans="1:51" ht="13.05" customHeight="1">
      <c r="A1047" s="14"/>
      <c r="B1047" s="77"/>
      <c r="C1047" s="78"/>
      <c r="D1047" s="132" t="s">
        <v>991</v>
      </c>
      <c r="E1047" s="133"/>
      <c r="F1047" s="133"/>
      <c r="G1047" s="133"/>
      <c r="H1047" s="133"/>
      <c r="I1047" s="1765">
        <f>AY1002</f>
        <v>139</v>
      </c>
      <c r="J1047" s="1766"/>
      <c r="K1047" s="7"/>
      <c r="L1047" s="133"/>
      <c r="M1047" s="133"/>
      <c r="N1047" s="133"/>
      <c r="O1047" s="133"/>
      <c r="P1047" s="133"/>
      <c r="Q1047" s="133"/>
      <c r="R1047" s="133"/>
      <c r="S1047" s="133"/>
      <c r="T1047" s="133"/>
      <c r="U1047" s="133"/>
      <c r="V1047" s="134" t="s">
        <v>992</v>
      </c>
      <c r="W1047" s="48"/>
      <c r="X1047" s="1763">
        <f>BG632</f>
        <v>0</v>
      </c>
      <c r="Y1047" s="1764"/>
      <c r="Z1047" s="48"/>
      <c r="AA1047" s="48"/>
      <c r="AB1047" s="48"/>
      <c r="AC1047" s="48"/>
      <c r="AD1047" s="48"/>
      <c r="AE1047" s="49"/>
      <c r="AF1047" s="959"/>
      <c r="AG1047" s="960"/>
      <c r="AH1047" s="960"/>
      <c r="AI1047" s="961"/>
      <c r="AJ1047" s="1804"/>
      <c r="AK1047" s="1805"/>
      <c r="AL1047" s="1805"/>
      <c r="AM1047" s="1805"/>
      <c r="AN1047" s="1805"/>
      <c r="AO1047" s="1805"/>
      <c r="AP1047" s="1805"/>
      <c r="AQ1047" s="1806"/>
      <c r="AR1047" s="68"/>
      <c r="AS1047" s="68"/>
      <c r="AT1047" s="68"/>
      <c r="AU1047" s="14"/>
      <c r="AV1047" s="68"/>
      <c r="AW1047" s="68"/>
      <c r="AX1047" s="68"/>
      <c r="AY1047" s="68"/>
    </row>
    <row r="1048" spans="1:51" ht="13.05" customHeight="1">
      <c r="A1048" s="14"/>
      <c r="B1048" s="79"/>
      <c r="C1048" s="131" t="s">
        <v>1875</v>
      </c>
      <c r="D1048" s="1757" t="s">
        <v>2527</v>
      </c>
      <c r="E1048" s="1758"/>
      <c r="F1048" s="1758"/>
      <c r="G1048" s="1758"/>
      <c r="H1048" s="1758"/>
      <c r="I1048" s="1758"/>
      <c r="J1048" s="1758"/>
      <c r="K1048" s="1758"/>
      <c r="L1048" s="1758"/>
      <c r="M1048" s="1758"/>
      <c r="N1048" s="1758"/>
      <c r="O1048" s="1758"/>
      <c r="P1048" s="1758"/>
      <c r="Q1048" s="1758"/>
      <c r="R1048" s="1758"/>
      <c r="S1048" s="1758"/>
      <c r="T1048" s="1758"/>
      <c r="U1048" s="1758"/>
      <c r="V1048" s="1758"/>
      <c r="W1048" s="1758"/>
      <c r="X1048" s="1758"/>
      <c r="Y1048" s="1758"/>
      <c r="Z1048" s="1758"/>
      <c r="AA1048" s="1758"/>
      <c r="AB1048" s="1758"/>
      <c r="AC1048" s="1758"/>
      <c r="AD1048" s="1758"/>
      <c r="AE1048" s="1759"/>
      <c r="AF1048" s="73"/>
      <c r="AG1048" s="1767" t="str">
        <f>IF(X1051&gt;0,"Yes","No")</f>
        <v>Yes</v>
      </c>
      <c r="AH1048" s="1768"/>
      <c r="AI1048" s="83"/>
      <c r="AJ1048" s="1798">
        <f>IF((X1051=0),0,(2*AY1005)*AJ991)</f>
        <v>40662703.199999996</v>
      </c>
      <c r="AK1048" s="1799"/>
      <c r="AL1048" s="1799"/>
      <c r="AM1048" s="1799"/>
      <c r="AN1048" s="1799"/>
      <c r="AO1048" s="1799"/>
      <c r="AP1048" s="1799"/>
      <c r="AQ1048" s="1800"/>
      <c r="AR1048" s="68"/>
      <c r="AS1048" s="68"/>
      <c r="AT1048" s="68"/>
      <c r="AU1048" s="14"/>
      <c r="AV1048" s="68"/>
      <c r="AW1048" s="68"/>
      <c r="AX1048" s="68"/>
      <c r="AY1048" s="68"/>
    </row>
    <row r="1049" spans="1:51" ht="13.05" customHeight="1">
      <c r="A1049" s="14"/>
      <c r="B1049" s="73"/>
      <c r="C1049" s="476"/>
      <c r="D1049" s="1760" t="s">
        <v>1409</v>
      </c>
      <c r="E1049" s="1761"/>
      <c r="F1049" s="1761"/>
      <c r="G1049" s="1761"/>
      <c r="H1049" s="1761"/>
      <c r="I1049" s="1761"/>
      <c r="J1049" s="1761"/>
      <c r="K1049" s="1761"/>
      <c r="L1049" s="1761"/>
      <c r="M1049" s="1761"/>
      <c r="N1049" s="1761"/>
      <c r="O1049" s="1761"/>
      <c r="P1049" s="1761"/>
      <c r="Q1049" s="1761"/>
      <c r="R1049" s="1761"/>
      <c r="S1049" s="1761"/>
      <c r="T1049" s="1761"/>
      <c r="U1049" s="1761"/>
      <c r="V1049" s="1761"/>
      <c r="W1049" s="1761"/>
      <c r="X1049" s="1761"/>
      <c r="Y1049" s="1761"/>
      <c r="Z1049" s="1761"/>
      <c r="AA1049" s="1761"/>
      <c r="AB1049" s="1761"/>
      <c r="AC1049" s="1761"/>
      <c r="AD1049" s="1761"/>
      <c r="AE1049" s="1762"/>
      <c r="AF1049" s="73"/>
      <c r="AG1049" s="477"/>
      <c r="AH1049" s="477"/>
      <c r="AI1049" s="83"/>
      <c r="AJ1049" s="1801"/>
      <c r="AK1049" s="1802"/>
      <c r="AL1049" s="1802"/>
      <c r="AM1049" s="1802"/>
      <c r="AN1049" s="1802"/>
      <c r="AO1049" s="1802"/>
      <c r="AP1049" s="1802"/>
      <c r="AQ1049" s="1803"/>
      <c r="AR1049" s="68"/>
      <c r="AS1049" s="68"/>
      <c r="AT1049" s="68"/>
      <c r="AU1049" s="68"/>
      <c r="AV1049" s="68"/>
      <c r="AW1049" s="68"/>
      <c r="AX1049" s="68"/>
      <c r="AY1049" s="68"/>
    </row>
    <row r="1050" spans="1:51" ht="13.05" customHeight="1">
      <c r="A1050" s="14"/>
      <c r="B1050" s="73"/>
      <c r="C1050" s="83"/>
      <c r="D1050" s="1760"/>
      <c r="E1050" s="1761"/>
      <c r="F1050" s="1761"/>
      <c r="G1050" s="1761"/>
      <c r="H1050" s="1761"/>
      <c r="I1050" s="1761"/>
      <c r="J1050" s="1761"/>
      <c r="K1050" s="1761"/>
      <c r="L1050" s="1761"/>
      <c r="M1050" s="1761"/>
      <c r="N1050" s="1761"/>
      <c r="O1050" s="1761"/>
      <c r="P1050" s="1761"/>
      <c r="Q1050" s="1761"/>
      <c r="R1050" s="1761"/>
      <c r="S1050" s="1761"/>
      <c r="T1050" s="1761"/>
      <c r="U1050" s="1761"/>
      <c r="V1050" s="1761"/>
      <c r="W1050" s="1761"/>
      <c r="X1050" s="1761"/>
      <c r="Y1050" s="1761"/>
      <c r="Z1050" s="1761"/>
      <c r="AA1050" s="1761"/>
      <c r="AB1050" s="1761"/>
      <c r="AC1050" s="1761"/>
      <c r="AD1050" s="1761"/>
      <c r="AE1050" s="1762"/>
      <c r="AF1050" s="956"/>
      <c r="AG1050" s="957"/>
      <c r="AH1050" s="957"/>
      <c r="AI1050" s="958"/>
      <c r="AJ1050" s="1801"/>
      <c r="AK1050" s="1802"/>
      <c r="AL1050" s="1802"/>
      <c r="AM1050" s="1802"/>
      <c r="AN1050" s="1802"/>
      <c r="AO1050" s="1802"/>
      <c r="AP1050" s="1802"/>
      <c r="AQ1050" s="1803"/>
      <c r="AR1050" s="68"/>
      <c r="AS1050" s="68"/>
      <c r="AT1050" s="68"/>
      <c r="AU1050" s="68"/>
      <c r="AV1050" s="68"/>
      <c r="AW1050" s="68"/>
      <c r="AX1050" s="68"/>
      <c r="AY1050" s="68"/>
    </row>
    <row r="1051" spans="1:51" ht="13.05" customHeight="1">
      <c r="A1051" s="14"/>
      <c r="B1051" s="77"/>
      <c r="C1051" s="78"/>
      <c r="D1051" s="132" t="s">
        <v>991</v>
      </c>
      <c r="E1051" s="133"/>
      <c r="F1051" s="133"/>
      <c r="G1051" s="133"/>
      <c r="H1051" s="133"/>
      <c r="I1051" s="1765">
        <f>AY1002</f>
        <v>139</v>
      </c>
      <c r="J1051" s="1766"/>
      <c r="K1051" s="14"/>
      <c r="L1051" s="133"/>
      <c r="M1051" s="133"/>
      <c r="N1051" s="133"/>
      <c r="O1051" s="133"/>
      <c r="P1051" s="133"/>
      <c r="Q1051" s="133"/>
      <c r="R1051" s="133"/>
      <c r="S1051" s="133"/>
      <c r="T1051" s="133"/>
      <c r="U1051" s="133"/>
      <c r="V1051" s="134" t="s">
        <v>993</v>
      </c>
      <c r="X1051" s="1763">
        <f>BK632</f>
        <v>42</v>
      </c>
      <c r="Y1051" s="1764"/>
      <c r="AF1051" s="959"/>
      <c r="AG1051" s="960"/>
      <c r="AH1051" s="960"/>
      <c r="AI1051" s="961"/>
      <c r="AJ1051" s="1804"/>
      <c r="AK1051" s="1805"/>
      <c r="AL1051" s="1805"/>
      <c r="AM1051" s="1805"/>
      <c r="AN1051" s="1805"/>
      <c r="AO1051" s="1805"/>
      <c r="AP1051" s="1805"/>
      <c r="AQ1051" s="1806"/>
      <c r="AR1051" s="68"/>
      <c r="AS1051" s="68"/>
      <c r="AT1051" s="68"/>
      <c r="AU1051" s="68"/>
      <c r="AV1051" s="68"/>
      <c r="AW1051" s="68"/>
      <c r="AX1051" s="68"/>
      <c r="AY1051" s="68"/>
    </row>
    <row r="1052" spans="1:51" ht="13.05" customHeight="1">
      <c r="A1052" s="14"/>
      <c r="B1052" s="102"/>
      <c r="C1052" s="103"/>
      <c r="D1052" s="1755" t="s">
        <v>521</v>
      </c>
      <c r="E1052" s="1755"/>
      <c r="F1052" s="1755"/>
      <c r="G1052" s="1755"/>
      <c r="H1052" s="1755"/>
      <c r="I1052" s="1755"/>
      <c r="J1052" s="1755"/>
      <c r="K1052" s="1755"/>
      <c r="L1052" s="1755"/>
      <c r="M1052" s="1755"/>
      <c r="N1052" s="1755"/>
      <c r="O1052" s="1755"/>
      <c r="P1052" s="1755"/>
      <c r="Q1052" s="1755"/>
      <c r="R1052" s="1755"/>
      <c r="S1052" s="1755"/>
      <c r="T1052" s="1755"/>
      <c r="U1052" s="1755"/>
      <c r="V1052" s="1755"/>
      <c r="W1052" s="1755"/>
      <c r="X1052" s="1755"/>
      <c r="Y1052" s="1755"/>
      <c r="Z1052" s="1755"/>
      <c r="AA1052" s="1755"/>
      <c r="AB1052" s="1755"/>
      <c r="AC1052" s="1755"/>
      <c r="AD1052" s="1755"/>
      <c r="AE1052" s="1755"/>
      <c r="AF1052" s="1755"/>
      <c r="AG1052" s="1755"/>
      <c r="AH1052" s="1755"/>
      <c r="AI1052" s="1756"/>
      <c r="AJ1052" s="1814">
        <f>SUM(AJ991:AQ1051)</f>
        <v>123968314.19999999</v>
      </c>
      <c r="AK1052" s="1815"/>
      <c r="AL1052" s="1815"/>
      <c r="AM1052" s="1815"/>
      <c r="AN1052" s="1815"/>
      <c r="AO1052" s="1815"/>
      <c r="AP1052" s="1815"/>
      <c r="AQ1052" s="1816"/>
      <c r="AR1052" s="68"/>
      <c r="AS1052" s="68"/>
      <c r="AT1052" s="68"/>
      <c r="AU1052" s="68"/>
      <c r="AV1052" s="68"/>
      <c r="AW1052" s="68"/>
      <c r="AX1052" s="68"/>
      <c r="AY1052" s="68"/>
    </row>
    <row r="1053" spans="1:51" ht="13.0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0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0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0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0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0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05" customHeight="1">
      <c r="A1059" s="88"/>
      <c r="B1059" s="1852">
        <f>IF(ISNA(IF((AJ1019&gt;(AJ991*0.15)),"(f) cannot be greater than 15% of unadjusted eligible basis.",0)),"",(IF((AJ1019&gt;(AJ991*0.15)),"(f) cannot be greater than 15% of unadjusted eligible basis.",0)))</f>
        <v>0</v>
      </c>
      <c r="C1059" s="1852"/>
      <c r="D1059" s="1852"/>
      <c r="E1059" s="1852"/>
      <c r="F1059" s="1852"/>
      <c r="G1059" s="1852"/>
      <c r="H1059" s="1852"/>
      <c r="I1059" s="1852"/>
      <c r="J1059" s="1852"/>
      <c r="K1059" s="1852"/>
      <c r="L1059" s="1852"/>
      <c r="M1059" s="1852"/>
      <c r="N1059" s="1852"/>
      <c r="O1059" s="1852"/>
      <c r="P1059" s="1852"/>
      <c r="Q1059" s="1852"/>
      <c r="R1059" s="1852"/>
      <c r="S1059" s="1852"/>
      <c r="T1059" s="1852"/>
      <c r="U1059" s="1852"/>
      <c r="V1059" s="1852"/>
      <c r="W1059" s="1852"/>
      <c r="X1059" s="1852"/>
      <c r="Y1059" s="1852"/>
      <c r="Z1059" s="1852"/>
      <c r="AA1059" s="1852"/>
      <c r="AB1059" s="1852"/>
      <c r="AC1059" s="1852"/>
      <c r="AD1059" s="1852"/>
      <c r="AE1059" s="1852"/>
      <c r="AF1059" s="1852"/>
      <c r="AG1059" s="1852"/>
      <c r="AH1059" s="1852"/>
      <c r="AI1059" s="1852"/>
      <c r="AJ1059" s="1852"/>
      <c r="AK1059" s="1852"/>
      <c r="AL1059" s="1852"/>
      <c r="AM1059" s="1852"/>
      <c r="AN1059" s="1852"/>
      <c r="AO1059" s="1852"/>
      <c r="AP1059" s="1852"/>
      <c r="AQ1059" s="68"/>
      <c r="AR1059" s="68"/>
      <c r="AS1059" s="68"/>
      <c r="AT1059" s="68"/>
      <c r="AU1059" s="68"/>
      <c r="AV1059" s="68"/>
      <c r="AW1059" s="68"/>
      <c r="AX1059" s="68"/>
      <c r="AY1059" s="68"/>
    </row>
    <row r="1060" spans="1:51" ht="13.05" customHeight="1">
      <c r="A1060" s="1309" t="s">
        <v>803</v>
      </c>
      <c r="B1060" s="1309"/>
      <c r="C1060" s="1309"/>
      <c r="D1060" s="1309"/>
      <c r="E1060" s="1309"/>
      <c r="F1060" s="1309"/>
      <c r="G1060" s="1309"/>
      <c r="H1060" s="1309"/>
      <c r="I1060" s="1309"/>
      <c r="J1060" s="1309"/>
      <c r="K1060" s="1309"/>
      <c r="L1060" s="1309"/>
      <c r="M1060" s="1309"/>
      <c r="N1060" s="1309"/>
      <c r="O1060" s="1309"/>
      <c r="P1060" s="1309"/>
      <c r="Q1060" s="1309"/>
      <c r="R1060" s="1309"/>
      <c r="S1060" s="1309"/>
      <c r="T1060" s="1309"/>
      <c r="U1060" s="1309"/>
      <c r="V1060" s="1309"/>
      <c r="W1060" s="1309"/>
      <c r="X1060" s="1309"/>
      <c r="Y1060" s="1309"/>
      <c r="Z1060" s="1309"/>
      <c r="AA1060" s="1309"/>
      <c r="AB1060" s="1309"/>
      <c r="AC1060" s="1309"/>
      <c r="AD1060" s="1309"/>
      <c r="AE1060" s="1309"/>
      <c r="AF1060" s="1309"/>
      <c r="AG1060" s="1309"/>
      <c r="AH1060" s="1309"/>
      <c r="AI1060" s="1309"/>
      <c r="AJ1060" s="1309"/>
      <c r="AK1060" s="1309"/>
      <c r="AL1060" s="1309"/>
      <c r="AM1060" s="1309"/>
      <c r="AN1060" s="1309"/>
      <c r="AO1060" s="1309"/>
      <c r="AP1060" s="1309"/>
      <c r="AQ1060" s="1309"/>
      <c r="AR1060" s="13"/>
      <c r="AS1060" s="13"/>
      <c r="AT1060" s="13"/>
      <c r="AV1060" s="68"/>
      <c r="AW1060" s="68"/>
      <c r="AX1060" s="68"/>
      <c r="AY1060" s="68"/>
    </row>
    <row r="1061" spans="1:51" ht="13.0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0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0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05" customHeight="1">
      <c r="A1064" s="1461" t="s">
        <v>599</v>
      </c>
      <c r="B1064" s="1461"/>
      <c r="C1064" s="8">
        <v>1</v>
      </c>
      <c r="D1064" s="1269" t="s">
        <v>1133</v>
      </c>
      <c r="E1064" s="1269"/>
      <c r="F1064" s="1269"/>
      <c r="G1064" s="1269"/>
      <c r="H1064" s="1269"/>
      <c r="I1064" s="1269"/>
      <c r="J1064" s="1269"/>
      <c r="K1064" s="1269"/>
      <c r="L1064" s="1269"/>
      <c r="M1064" s="1269"/>
      <c r="N1064" s="1269"/>
      <c r="O1064" s="1269"/>
      <c r="P1064" s="1269"/>
      <c r="Q1064" s="1269"/>
      <c r="R1064" s="1269"/>
      <c r="S1064" s="1269"/>
      <c r="T1064" s="1269"/>
      <c r="U1064" s="1269"/>
      <c r="V1064" s="1269"/>
      <c r="W1064" s="1269"/>
      <c r="X1064" s="1269"/>
      <c r="Y1064" s="1269"/>
      <c r="Z1064" s="1269"/>
      <c r="AA1064" s="1269"/>
      <c r="AB1064" s="1269"/>
      <c r="AC1064" s="1269"/>
      <c r="AD1064" s="1269"/>
      <c r="AE1064" s="1269"/>
      <c r="AF1064" s="1269"/>
      <c r="AG1064" s="1269"/>
      <c r="AH1064" s="1269"/>
      <c r="AI1064" s="1269"/>
      <c r="AJ1064" s="1269"/>
      <c r="AK1064" s="1269"/>
      <c r="AL1064" s="68"/>
      <c r="AM1064" s="68"/>
      <c r="AN1064" s="68"/>
      <c r="AO1064" s="68"/>
      <c r="AP1064" s="68"/>
      <c r="AQ1064" s="68"/>
      <c r="AR1064" s="68"/>
      <c r="AS1064" s="68"/>
      <c r="AT1064" s="68"/>
      <c r="AV1064" s="68"/>
      <c r="AW1064" s="68"/>
      <c r="AX1064" s="68"/>
      <c r="AY1064" s="68"/>
    </row>
    <row r="1065" spans="1:51" ht="13.05" customHeight="1">
      <c r="A1065" s="1"/>
      <c r="B1065" s="1"/>
      <c r="C1065" s="8"/>
      <c r="D1065" s="1269"/>
      <c r="E1065" s="1269"/>
      <c r="F1065" s="1269"/>
      <c r="G1065" s="1269"/>
      <c r="H1065" s="1269"/>
      <c r="I1065" s="1269"/>
      <c r="J1065" s="1269"/>
      <c r="K1065" s="1269"/>
      <c r="L1065" s="1269"/>
      <c r="M1065" s="1269"/>
      <c r="N1065" s="1269"/>
      <c r="O1065" s="1269"/>
      <c r="P1065" s="1269"/>
      <c r="Q1065" s="1269"/>
      <c r="R1065" s="1269"/>
      <c r="S1065" s="1269"/>
      <c r="T1065" s="1269"/>
      <c r="U1065" s="1269"/>
      <c r="V1065" s="1269"/>
      <c r="W1065" s="1269"/>
      <c r="X1065" s="1269"/>
      <c r="Y1065" s="1269"/>
      <c r="Z1065" s="1269"/>
      <c r="AA1065" s="1269"/>
      <c r="AB1065" s="1269"/>
      <c r="AC1065" s="1269"/>
      <c r="AD1065" s="1269"/>
      <c r="AE1065" s="1269"/>
      <c r="AF1065" s="1269"/>
      <c r="AG1065" s="1269"/>
      <c r="AH1065" s="1269"/>
      <c r="AI1065" s="1269"/>
      <c r="AJ1065" s="1269"/>
      <c r="AK1065" s="1269"/>
      <c r="AL1065" s="68"/>
      <c r="AM1065" s="68"/>
      <c r="AN1065" s="68"/>
      <c r="AO1065" s="68"/>
      <c r="AP1065" s="68"/>
      <c r="AQ1065" s="68"/>
      <c r="AR1065" s="68"/>
      <c r="AS1065" s="68"/>
      <c r="AT1065" s="68"/>
      <c r="AV1065" s="68"/>
      <c r="AW1065" s="68"/>
      <c r="AX1065" s="68"/>
      <c r="AY1065" s="68"/>
    </row>
    <row r="1066" spans="1:51" ht="13.05" customHeight="1">
      <c r="A1066" s="1"/>
      <c r="B1066" s="1"/>
      <c r="C1066" s="8"/>
      <c r="D1066" s="1269"/>
      <c r="E1066" s="1269"/>
      <c r="F1066" s="1269"/>
      <c r="G1066" s="1269"/>
      <c r="H1066" s="1269"/>
      <c r="I1066" s="1269"/>
      <c r="J1066" s="1269"/>
      <c r="K1066" s="1269"/>
      <c r="L1066" s="1269"/>
      <c r="M1066" s="1269"/>
      <c r="N1066" s="1269"/>
      <c r="O1066" s="1269"/>
      <c r="P1066" s="1269"/>
      <c r="Q1066" s="1269"/>
      <c r="R1066" s="1269"/>
      <c r="S1066" s="1269"/>
      <c r="T1066" s="1269"/>
      <c r="U1066" s="1269"/>
      <c r="V1066" s="1269"/>
      <c r="W1066" s="1269"/>
      <c r="X1066" s="1269"/>
      <c r="Y1066" s="1269"/>
      <c r="Z1066" s="1269"/>
      <c r="AA1066" s="1269"/>
      <c r="AB1066" s="1269"/>
      <c r="AC1066" s="1269"/>
      <c r="AD1066" s="1269"/>
      <c r="AE1066" s="1269"/>
      <c r="AF1066" s="1269"/>
      <c r="AG1066" s="1269"/>
      <c r="AH1066" s="1269"/>
      <c r="AI1066" s="1269"/>
      <c r="AJ1066" s="1269"/>
      <c r="AK1066" s="1269"/>
      <c r="AL1066" s="68"/>
      <c r="AM1066" s="68"/>
      <c r="AN1066" s="68"/>
      <c r="AO1066" s="68"/>
      <c r="AP1066" s="68"/>
      <c r="AQ1066" s="68"/>
      <c r="AR1066" s="68"/>
      <c r="AS1066" s="68"/>
      <c r="AT1066" s="68"/>
      <c r="AV1066" s="68"/>
      <c r="AW1066" s="68"/>
      <c r="AX1066" s="68"/>
      <c r="AY1066" s="68"/>
    </row>
    <row r="1067" spans="1:51" ht="13.05" customHeight="1">
      <c r="A1067" s="1"/>
      <c r="B1067" s="1"/>
      <c r="C1067" s="8"/>
      <c r="D1067" s="1269"/>
      <c r="E1067" s="1269"/>
      <c r="F1067" s="1269"/>
      <c r="G1067" s="1269"/>
      <c r="H1067" s="1269"/>
      <c r="I1067" s="1269"/>
      <c r="J1067" s="1269"/>
      <c r="K1067" s="1269"/>
      <c r="L1067" s="1269"/>
      <c r="M1067" s="1269"/>
      <c r="N1067" s="1269"/>
      <c r="O1067" s="1269"/>
      <c r="P1067" s="1269"/>
      <c r="Q1067" s="1269"/>
      <c r="R1067" s="1269"/>
      <c r="S1067" s="1269"/>
      <c r="T1067" s="1269"/>
      <c r="U1067" s="1269"/>
      <c r="V1067" s="1269"/>
      <c r="W1067" s="1269"/>
      <c r="X1067" s="1269"/>
      <c r="Y1067" s="1269"/>
      <c r="Z1067" s="1269"/>
      <c r="AA1067" s="1269"/>
      <c r="AB1067" s="1269"/>
      <c r="AC1067" s="1269"/>
      <c r="AD1067" s="1269"/>
      <c r="AE1067" s="1269"/>
      <c r="AF1067" s="1269"/>
      <c r="AG1067" s="1269"/>
      <c r="AH1067" s="1269"/>
      <c r="AI1067" s="1269"/>
      <c r="AJ1067" s="1269"/>
      <c r="AK1067" s="1269"/>
      <c r="AL1067" s="68"/>
      <c r="AM1067" s="68"/>
      <c r="AN1067" s="68"/>
      <c r="AO1067" s="68"/>
      <c r="AP1067" s="68"/>
      <c r="AQ1067" s="68"/>
      <c r="AR1067" s="68"/>
      <c r="AS1067" s="68"/>
      <c r="AT1067" s="68"/>
      <c r="AV1067" s="68"/>
      <c r="AW1067" s="68"/>
      <c r="AX1067" s="68"/>
      <c r="AY1067" s="68"/>
    </row>
    <row r="1068" spans="1:51" ht="13.05" customHeight="1">
      <c r="A1068" s="1"/>
      <c r="B1068" s="1"/>
      <c r="C1068" s="8"/>
      <c r="D1068" s="1269"/>
      <c r="E1068" s="1269"/>
      <c r="F1068" s="1269"/>
      <c r="G1068" s="1269"/>
      <c r="H1068" s="1269"/>
      <c r="I1068" s="1269"/>
      <c r="J1068" s="1269"/>
      <c r="K1068" s="1269"/>
      <c r="L1068" s="1269"/>
      <c r="M1068" s="1269"/>
      <c r="N1068" s="1269"/>
      <c r="O1068" s="1269"/>
      <c r="P1068" s="1269"/>
      <c r="Q1068" s="1269"/>
      <c r="R1068" s="1269"/>
      <c r="S1068" s="1269"/>
      <c r="T1068" s="1269"/>
      <c r="U1068" s="1269"/>
      <c r="V1068" s="1269"/>
      <c r="W1068" s="1269"/>
      <c r="X1068" s="1269"/>
      <c r="Y1068" s="1269"/>
      <c r="Z1068" s="1269"/>
      <c r="AA1068" s="1269"/>
      <c r="AB1068" s="1269"/>
      <c r="AC1068" s="1269"/>
      <c r="AD1068" s="1269"/>
      <c r="AE1068" s="1269"/>
      <c r="AF1068" s="1269"/>
      <c r="AG1068" s="1269"/>
      <c r="AH1068" s="1269"/>
      <c r="AI1068" s="1269"/>
      <c r="AJ1068" s="1269"/>
      <c r="AK1068" s="1269"/>
      <c r="AL1068" s="68"/>
      <c r="AM1068" s="68"/>
      <c r="AN1068" s="68"/>
      <c r="AO1068" s="68"/>
      <c r="AP1068" s="68"/>
      <c r="AQ1068" s="68"/>
      <c r="AR1068" s="68"/>
      <c r="AS1068" s="68"/>
      <c r="AT1068" s="68"/>
      <c r="AV1068" s="68"/>
      <c r="AW1068" s="68"/>
      <c r="AX1068" s="68"/>
      <c r="AY1068" s="68"/>
    </row>
    <row r="1069" spans="1:51" ht="13.05" customHeight="1">
      <c r="A1069" s="2"/>
      <c r="B1069" s="25"/>
      <c r="C1069" s="8"/>
      <c r="D1069" s="1269"/>
      <c r="E1069" s="1269"/>
      <c r="F1069" s="1269"/>
      <c r="G1069" s="1269"/>
      <c r="H1069" s="1269"/>
      <c r="I1069" s="1269"/>
      <c r="J1069" s="1269"/>
      <c r="K1069" s="1269"/>
      <c r="L1069" s="1269"/>
      <c r="M1069" s="1269"/>
      <c r="N1069" s="1269"/>
      <c r="O1069" s="1269"/>
      <c r="P1069" s="1269"/>
      <c r="Q1069" s="1269"/>
      <c r="R1069" s="1269"/>
      <c r="S1069" s="1269"/>
      <c r="T1069" s="1269"/>
      <c r="U1069" s="1269"/>
      <c r="V1069" s="1269"/>
      <c r="W1069" s="1269"/>
      <c r="X1069" s="1269"/>
      <c r="Y1069" s="1269"/>
      <c r="Z1069" s="1269"/>
      <c r="AA1069" s="1269"/>
      <c r="AB1069" s="1269"/>
      <c r="AC1069" s="1269"/>
      <c r="AD1069" s="1269"/>
      <c r="AE1069" s="1269"/>
      <c r="AF1069" s="1269"/>
      <c r="AG1069" s="1269"/>
      <c r="AH1069" s="1269"/>
      <c r="AI1069" s="1269"/>
      <c r="AJ1069" s="1269"/>
      <c r="AK1069" s="1269"/>
      <c r="AL1069" s="68"/>
      <c r="AM1069" s="68"/>
      <c r="AN1069" s="68"/>
      <c r="AO1069" s="68"/>
      <c r="AP1069" s="68"/>
      <c r="AQ1069" s="68"/>
      <c r="AR1069" s="68"/>
      <c r="AS1069" s="68"/>
      <c r="AT1069" s="68"/>
      <c r="AV1069" s="68"/>
      <c r="AW1069" s="68"/>
      <c r="AX1069" s="68"/>
      <c r="AY1069" s="68"/>
    </row>
    <row r="1070" spans="1:51" ht="13.05" customHeight="1">
      <c r="A1070" s="1461" t="s">
        <v>599</v>
      </c>
      <c r="B1070" s="1461"/>
      <c r="C1070" s="8">
        <v>2</v>
      </c>
      <c r="D1070" s="1269" t="s">
        <v>1132</v>
      </c>
      <c r="E1070" s="1269"/>
      <c r="F1070" s="1269"/>
      <c r="G1070" s="1269"/>
      <c r="H1070" s="1269"/>
      <c r="I1070" s="1269"/>
      <c r="J1070" s="1269"/>
      <c r="K1070" s="1269"/>
      <c r="L1070" s="1269"/>
      <c r="M1070" s="1269"/>
      <c r="N1070" s="1269"/>
      <c r="O1070" s="1269"/>
      <c r="P1070" s="1269"/>
      <c r="Q1070" s="1269"/>
      <c r="R1070" s="1269"/>
      <c r="S1070" s="1269"/>
      <c r="T1070" s="1269"/>
      <c r="U1070" s="1269"/>
      <c r="V1070" s="1269"/>
      <c r="W1070" s="1269"/>
      <c r="X1070" s="1269"/>
      <c r="Y1070" s="1269"/>
      <c r="Z1070" s="1269"/>
      <c r="AA1070" s="1269"/>
      <c r="AB1070" s="1269"/>
      <c r="AC1070" s="1269"/>
      <c r="AD1070" s="1269"/>
      <c r="AE1070" s="1269"/>
      <c r="AF1070" s="1269"/>
      <c r="AG1070" s="1269"/>
      <c r="AH1070" s="1269"/>
      <c r="AI1070" s="1269"/>
      <c r="AJ1070" s="1269"/>
      <c r="AK1070" s="1269"/>
      <c r="AL1070" s="68"/>
      <c r="AM1070" s="68"/>
      <c r="AN1070" s="68"/>
      <c r="AO1070" s="68"/>
      <c r="AP1070" s="68"/>
      <c r="AQ1070" s="68"/>
      <c r="AR1070" s="68"/>
      <c r="AS1070" s="68"/>
      <c r="AT1070" s="68"/>
    </row>
    <row r="1071" spans="1:51" ht="13.05" customHeight="1">
      <c r="A1071" s="1"/>
      <c r="B1071" s="1"/>
      <c r="C1071" s="8"/>
      <c r="D1071" s="1269"/>
      <c r="E1071" s="1269"/>
      <c r="F1071" s="1269"/>
      <c r="G1071" s="1269"/>
      <c r="H1071" s="1269"/>
      <c r="I1071" s="1269"/>
      <c r="J1071" s="1269"/>
      <c r="K1071" s="1269"/>
      <c r="L1071" s="1269"/>
      <c r="M1071" s="1269"/>
      <c r="N1071" s="1269"/>
      <c r="O1071" s="1269"/>
      <c r="P1071" s="1269"/>
      <c r="Q1071" s="1269"/>
      <c r="R1071" s="1269"/>
      <c r="S1071" s="1269"/>
      <c r="T1071" s="1269"/>
      <c r="U1071" s="1269"/>
      <c r="V1071" s="1269"/>
      <c r="W1071" s="1269"/>
      <c r="X1071" s="1269"/>
      <c r="Y1071" s="1269"/>
      <c r="Z1071" s="1269"/>
      <c r="AA1071" s="1269"/>
      <c r="AB1071" s="1269"/>
      <c r="AC1071" s="1269"/>
      <c r="AD1071" s="1269"/>
      <c r="AE1071" s="1269"/>
      <c r="AF1071" s="1269"/>
      <c r="AG1071" s="1269"/>
      <c r="AH1071" s="1269"/>
      <c r="AI1071" s="1269"/>
      <c r="AJ1071" s="1269"/>
      <c r="AK1071" s="1269"/>
      <c r="AL1071" s="68"/>
      <c r="AM1071" s="68"/>
      <c r="AN1071" s="68"/>
      <c r="AO1071" s="68"/>
      <c r="AP1071" s="68"/>
      <c r="AQ1071" s="68"/>
      <c r="AR1071" s="68"/>
      <c r="AS1071" s="68"/>
      <c r="AT1071" s="68"/>
    </row>
    <row r="1072" spans="1:51" ht="13.05" customHeight="1">
      <c r="A1072" s="1"/>
      <c r="B1072" s="1"/>
      <c r="C1072" s="8"/>
      <c r="D1072" s="1269"/>
      <c r="E1072" s="1269"/>
      <c r="F1072" s="1269"/>
      <c r="G1072" s="1269"/>
      <c r="H1072" s="1269"/>
      <c r="I1072" s="1269"/>
      <c r="J1072" s="1269"/>
      <c r="K1072" s="1269"/>
      <c r="L1072" s="1269"/>
      <c r="M1072" s="1269"/>
      <c r="N1072" s="1269"/>
      <c r="O1072" s="1269"/>
      <c r="P1072" s="1269"/>
      <c r="Q1072" s="1269"/>
      <c r="R1072" s="1269"/>
      <c r="S1072" s="1269"/>
      <c r="T1072" s="1269"/>
      <c r="U1072" s="1269"/>
      <c r="V1072" s="1269"/>
      <c r="W1072" s="1269"/>
      <c r="X1072" s="1269"/>
      <c r="Y1072" s="1269"/>
      <c r="Z1072" s="1269"/>
      <c r="AA1072" s="1269"/>
      <c r="AB1072" s="1269"/>
      <c r="AC1072" s="1269"/>
      <c r="AD1072" s="1269"/>
      <c r="AE1072" s="1269"/>
      <c r="AF1072" s="1269"/>
      <c r="AG1072" s="1269"/>
      <c r="AH1072" s="1269"/>
      <c r="AI1072" s="1269"/>
      <c r="AJ1072" s="1269"/>
      <c r="AK1072" s="1269"/>
      <c r="AL1072" s="68"/>
      <c r="AM1072" s="68"/>
      <c r="AN1072" s="68"/>
      <c r="AO1072" s="68"/>
      <c r="AP1072" s="68"/>
      <c r="AQ1072" s="68"/>
      <c r="AR1072" s="68"/>
      <c r="AS1072" s="68"/>
      <c r="AT1072" s="68"/>
    </row>
    <row r="1073" spans="1:46" ht="13.05" customHeight="1">
      <c r="A1073" s="1"/>
      <c r="B1073" s="1"/>
      <c r="C1073" s="8"/>
      <c r="D1073" s="1269"/>
      <c r="E1073" s="1269"/>
      <c r="F1073" s="1269"/>
      <c r="G1073" s="1269"/>
      <c r="H1073" s="1269"/>
      <c r="I1073" s="1269"/>
      <c r="J1073" s="1269"/>
      <c r="K1073" s="1269"/>
      <c r="L1073" s="1269"/>
      <c r="M1073" s="1269"/>
      <c r="N1073" s="1269"/>
      <c r="O1073" s="1269"/>
      <c r="P1073" s="1269"/>
      <c r="Q1073" s="1269"/>
      <c r="R1073" s="1269"/>
      <c r="S1073" s="1269"/>
      <c r="T1073" s="1269"/>
      <c r="U1073" s="1269"/>
      <c r="V1073" s="1269"/>
      <c r="W1073" s="1269"/>
      <c r="X1073" s="1269"/>
      <c r="Y1073" s="1269"/>
      <c r="Z1073" s="1269"/>
      <c r="AA1073" s="1269"/>
      <c r="AB1073" s="1269"/>
      <c r="AC1073" s="1269"/>
      <c r="AD1073" s="1269"/>
      <c r="AE1073" s="1269"/>
      <c r="AF1073" s="1269"/>
      <c r="AG1073" s="1269"/>
      <c r="AH1073" s="1269"/>
      <c r="AI1073" s="1269"/>
      <c r="AJ1073" s="1269"/>
      <c r="AK1073" s="1269"/>
      <c r="AL1073" s="68"/>
      <c r="AM1073" s="68"/>
      <c r="AN1073" s="68"/>
      <c r="AO1073" s="68"/>
      <c r="AP1073" s="68"/>
      <c r="AQ1073" s="68"/>
      <c r="AR1073" s="68"/>
      <c r="AS1073" s="68"/>
      <c r="AT1073" s="68"/>
    </row>
    <row r="1074" spans="1:46" ht="13.05" hidden="1" customHeight="1">
      <c r="A1074" s="1"/>
      <c r="B1074" s="1"/>
      <c r="C1074" s="8"/>
      <c r="D1074" s="1269"/>
      <c r="E1074" s="1269"/>
      <c r="F1074" s="1269"/>
      <c r="G1074" s="1269"/>
      <c r="H1074" s="1269"/>
      <c r="I1074" s="1269"/>
      <c r="J1074" s="1269"/>
      <c r="K1074" s="1269"/>
      <c r="L1074" s="1269"/>
      <c r="M1074" s="1269"/>
      <c r="N1074" s="1269"/>
      <c r="O1074" s="1269"/>
      <c r="P1074" s="1269"/>
      <c r="Q1074" s="1269"/>
      <c r="R1074" s="1269"/>
      <c r="S1074" s="1269"/>
      <c r="T1074" s="1269"/>
      <c r="U1074" s="1269"/>
      <c r="V1074" s="1269"/>
      <c r="W1074" s="1269"/>
      <c r="X1074" s="1269"/>
      <c r="Y1074" s="1269"/>
      <c r="Z1074" s="1269"/>
      <c r="AA1074" s="1269"/>
      <c r="AB1074" s="1269"/>
      <c r="AC1074" s="1269"/>
      <c r="AD1074" s="1269"/>
      <c r="AE1074" s="1269"/>
      <c r="AF1074" s="1269"/>
      <c r="AG1074" s="1269"/>
      <c r="AH1074" s="1269"/>
      <c r="AI1074" s="1269"/>
      <c r="AJ1074" s="1269"/>
      <c r="AK1074" s="1269"/>
      <c r="AL1074" s="68"/>
      <c r="AM1074" s="68"/>
      <c r="AN1074" s="68"/>
      <c r="AO1074" s="68"/>
      <c r="AP1074" s="68"/>
      <c r="AQ1074" s="68"/>
      <c r="AR1074" s="68"/>
      <c r="AS1074" s="68"/>
      <c r="AT1074" s="68"/>
    </row>
    <row r="1075" spans="1:46" ht="13.05" customHeight="1">
      <c r="A1075" s="1"/>
      <c r="B1075" s="1"/>
      <c r="C1075" s="8"/>
      <c r="D1075" s="1269"/>
      <c r="E1075" s="1269"/>
      <c r="F1075" s="1269"/>
      <c r="G1075" s="1269"/>
      <c r="H1075" s="1269"/>
      <c r="I1075" s="1269"/>
      <c r="J1075" s="1269"/>
      <c r="K1075" s="1269"/>
      <c r="L1075" s="1269"/>
      <c r="M1075" s="1269"/>
      <c r="N1075" s="1269"/>
      <c r="O1075" s="1269"/>
      <c r="P1075" s="1269"/>
      <c r="Q1075" s="1269"/>
      <c r="R1075" s="1269"/>
      <c r="S1075" s="1269"/>
      <c r="T1075" s="1269"/>
      <c r="U1075" s="1269"/>
      <c r="V1075" s="1269"/>
      <c r="W1075" s="1269"/>
      <c r="X1075" s="1269"/>
      <c r="Y1075" s="1269"/>
      <c r="Z1075" s="1269"/>
      <c r="AA1075" s="1269"/>
      <c r="AB1075" s="1269"/>
      <c r="AC1075" s="1269"/>
      <c r="AD1075" s="1269"/>
      <c r="AE1075" s="1269"/>
      <c r="AF1075" s="1269"/>
      <c r="AG1075" s="1269"/>
      <c r="AH1075" s="1269"/>
      <c r="AI1075" s="1269"/>
      <c r="AJ1075" s="1269"/>
      <c r="AK1075" s="1269"/>
    </row>
    <row r="1076" spans="1:46" ht="13.05" customHeight="1">
      <c r="A1076" s="1461" t="s">
        <v>599</v>
      </c>
      <c r="B1076" s="1461"/>
      <c r="C1076" s="8">
        <v>3</v>
      </c>
      <c r="D1076" s="1269" t="s">
        <v>2454</v>
      </c>
      <c r="E1076" s="1269"/>
      <c r="F1076" s="1269"/>
      <c r="G1076" s="1269"/>
      <c r="H1076" s="1269"/>
      <c r="I1076" s="1269"/>
      <c r="J1076" s="1269"/>
      <c r="K1076" s="1269"/>
      <c r="L1076" s="1269"/>
      <c r="M1076" s="1269"/>
      <c r="N1076" s="1269"/>
      <c r="O1076" s="1269"/>
      <c r="P1076" s="1269"/>
      <c r="Q1076" s="1269"/>
      <c r="R1076" s="1269"/>
      <c r="S1076" s="1269"/>
      <c r="T1076" s="1269"/>
      <c r="U1076" s="1269"/>
      <c r="V1076" s="1269"/>
      <c r="W1076" s="1269"/>
      <c r="X1076" s="1269"/>
      <c r="Y1076" s="1269"/>
      <c r="Z1076" s="1269"/>
      <c r="AA1076" s="1269"/>
      <c r="AB1076" s="1269"/>
      <c r="AC1076" s="1269"/>
      <c r="AD1076" s="1269"/>
      <c r="AE1076" s="1269"/>
      <c r="AF1076" s="1269"/>
      <c r="AG1076" s="1269"/>
      <c r="AH1076" s="1269"/>
      <c r="AI1076" s="1269"/>
      <c r="AJ1076" s="1269"/>
      <c r="AK1076" s="1269"/>
    </row>
    <row r="1077" spans="1:46" ht="13.05" customHeight="1">
      <c r="A1077" s="4"/>
      <c r="B1077" s="4"/>
      <c r="C1077" s="8"/>
      <c r="D1077" s="1269"/>
      <c r="E1077" s="1269"/>
      <c r="F1077" s="1269"/>
      <c r="G1077" s="1269"/>
      <c r="H1077" s="1269"/>
      <c r="I1077" s="1269"/>
      <c r="J1077" s="1269"/>
      <c r="K1077" s="1269"/>
      <c r="L1077" s="1269"/>
      <c r="M1077" s="1269"/>
      <c r="N1077" s="1269"/>
      <c r="O1077" s="1269"/>
      <c r="P1077" s="1269"/>
      <c r="Q1077" s="1269"/>
      <c r="R1077" s="1269"/>
      <c r="S1077" s="1269"/>
      <c r="T1077" s="1269"/>
      <c r="U1077" s="1269"/>
      <c r="V1077" s="1269"/>
      <c r="W1077" s="1269"/>
      <c r="X1077" s="1269"/>
      <c r="Y1077" s="1269"/>
      <c r="Z1077" s="1269"/>
      <c r="AA1077" s="1269"/>
      <c r="AB1077" s="1269"/>
      <c r="AC1077" s="1269"/>
      <c r="AD1077" s="1269"/>
      <c r="AE1077" s="1269"/>
      <c r="AF1077" s="1269"/>
      <c r="AG1077" s="1269"/>
      <c r="AH1077" s="1269"/>
      <c r="AI1077" s="1269"/>
      <c r="AJ1077" s="1269"/>
      <c r="AK1077" s="1269"/>
    </row>
    <row r="1078" spans="1:46" ht="13.05" customHeight="1">
      <c r="A1078" s="4"/>
      <c r="B1078" s="4"/>
      <c r="C1078" s="8"/>
      <c r="D1078" s="1269"/>
      <c r="E1078" s="1269"/>
      <c r="F1078" s="1269"/>
      <c r="G1078" s="1269"/>
      <c r="H1078" s="1269"/>
      <c r="I1078" s="1269"/>
      <c r="J1078" s="1269"/>
      <c r="K1078" s="1269"/>
      <c r="L1078" s="1269"/>
      <c r="M1078" s="1269"/>
      <c r="N1078" s="1269"/>
      <c r="O1078" s="1269"/>
      <c r="P1078" s="1269"/>
      <c r="Q1078" s="1269"/>
      <c r="R1078" s="1269"/>
      <c r="S1078" s="1269"/>
      <c r="T1078" s="1269"/>
      <c r="U1078" s="1269"/>
      <c r="V1078" s="1269"/>
      <c r="W1078" s="1269"/>
      <c r="X1078" s="1269"/>
      <c r="Y1078" s="1269"/>
      <c r="Z1078" s="1269"/>
      <c r="AA1078" s="1269"/>
      <c r="AB1078" s="1269"/>
      <c r="AC1078" s="1269"/>
      <c r="AD1078" s="1269"/>
      <c r="AE1078" s="1269"/>
      <c r="AF1078" s="1269"/>
      <c r="AG1078" s="1269"/>
      <c r="AH1078" s="1269"/>
      <c r="AI1078" s="1269"/>
      <c r="AJ1078" s="1269"/>
      <c r="AK1078" s="1269"/>
    </row>
    <row r="1079" spans="1:46" ht="13.05" customHeight="1">
      <c r="A1079" s="35"/>
      <c r="B1079" s="25"/>
      <c r="C1079" s="8"/>
      <c r="D1079" s="1269"/>
      <c r="E1079" s="1269"/>
      <c r="F1079" s="1269"/>
      <c r="G1079" s="1269"/>
      <c r="H1079" s="1269"/>
      <c r="I1079" s="1269"/>
      <c r="J1079" s="1269"/>
      <c r="K1079" s="1269"/>
      <c r="L1079" s="1269"/>
      <c r="M1079" s="1269"/>
      <c r="N1079" s="1269"/>
      <c r="O1079" s="1269"/>
      <c r="P1079" s="1269"/>
      <c r="Q1079" s="1269"/>
      <c r="R1079" s="1269"/>
      <c r="S1079" s="1269"/>
      <c r="T1079" s="1269"/>
      <c r="U1079" s="1269"/>
      <c r="V1079" s="1269"/>
      <c r="W1079" s="1269"/>
      <c r="X1079" s="1269"/>
      <c r="Y1079" s="1269"/>
      <c r="Z1079" s="1269"/>
      <c r="AA1079" s="1269"/>
      <c r="AB1079" s="1269"/>
      <c r="AC1079" s="1269"/>
      <c r="AD1079" s="1269"/>
      <c r="AE1079" s="1269"/>
      <c r="AF1079" s="1269"/>
      <c r="AG1079" s="1269"/>
      <c r="AH1079" s="1269"/>
      <c r="AI1079" s="1269"/>
      <c r="AJ1079" s="1269"/>
      <c r="AK1079" s="1269"/>
    </row>
    <row r="1080" spans="1:46" ht="13.05" customHeight="1">
      <c r="A1080" s="35"/>
      <c r="B1080" s="25"/>
      <c r="C1080" s="8"/>
      <c r="D1080" s="1269"/>
      <c r="E1080" s="1269"/>
      <c r="F1080" s="1269"/>
      <c r="G1080" s="1269"/>
      <c r="H1080" s="1269"/>
      <c r="I1080" s="1269"/>
      <c r="J1080" s="1269"/>
      <c r="K1080" s="1269"/>
      <c r="L1080" s="1269"/>
      <c r="M1080" s="1269"/>
      <c r="N1080" s="1269"/>
      <c r="O1080" s="1269"/>
      <c r="P1080" s="1269"/>
      <c r="Q1080" s="1269"/>
      <c r="R1080" s="1269"/>
      <c r="S1080" s="1269"/>
      <c r="T1080" s="1269"/>
      <c r="U1080" s="1269"/>
      <c r="V1080" s="1269"/>
      <c r="W1080" s="1269"/>
      <c r="X1080" s="1269"/>
      <c r="Y1080" s="1269"/>
      <c r="Z1080" s="1269"/>
      <c r="AA1080" s="1269"/>
      <c r="AB1080" s="1269"/>
      <c r="AC1080" s="1269"/>
      <c r="AD1080" s="1269"/>
      <c r="AE1080" s="1269"/>
      <c r="AF1080" s="1269"/>
      <c r="AG1080" s="1269"/>
      <c r="AH1080" s="1269"/>
      <c r="AI1080" s="1269"/>
      <c r="AJ1080" s="1269"/>
      <c r="AK1080" s="1269"/>
    </row>
    <row r="1081" spans="1:46" ht="13.05" customHeight="1">
      <c r="A1081" s="35"/>
      <c r="B1081" s="25"/>
      <c r="C1081" s="8"/>
      <c r="D1081" s="1269"/>
      <c r="E1081" s="1269"/>
      <c r="F1081" s="1269"/>
      <c r="G1081" s="1269"/>
      <c r="H1081" s="1269"/>
      <c r="I1081" s="1269"/>
      <c r="J1081" s="1269"/>
      <c r="K1081" s="1269"/>
      <c r="L1081" s="1269"/>
      <c r="M1081" s="1269"/>
      <c r="N1081" s="1269"/>
      <c r="O1081" s="1269"/>
      <c r="P1081" s="1269"/>
      <c r="Q1081" s="1269"/>
      <c r="R1081" s="1269"/>
      <c r="S1081" s="1269"/>
      <c r="T1081" s="1269"/>
      <c r="U1081" s="1269"/>
      <c r="V1081" s="1269"/>
      <c r="W1081" s="1269"/>
      <c r="X1081" s="1269"/>
      <c r="Y1081" s="1269"/>
      <c r="Z1081" s="1269"/>
      <c r="AA1081" s="1269"/>
      <c r="AB1081" s="1269"/>
      <c r="AC1081" s="1269"/>
      <c r="AD1081" s="1269"/>
      <c r="AE1081" s="1269"/>
      <c r="AF1081" s="1269"/>
      <c r="AG1081" s="1269"/>
      <c r="AH1081" s="1269"/>
      <c r="AI1081" s="1269"/>
      <c r="AJ1081" s="1269"/>
      <c r="AK1081" s="1269"/>
    </row>
    <row r="1082" spans="1:46" ht="13.05" customHeight="1">
      <c r="A1082" s="35"/>
      <c r="B1082" s="25"/>
      <c r="C1082" s="8"/>
      <c r="D1082" s="1269"/>
      <c r="E1082" s="1269"/>
      <c r="F1082" s="1269"/>
      <c r="G1082" s="1269"/>
      <c r="H1082" s="1269"/>
      <c r="I1082" s="1269"/>
      <c r="J1082" s="1269"/>
      <c r="K1082" s="1269"/>
      <c r="L1082" s="1269"/>
      <c r="M1082" s="1269"/>
      <c r="N1082" s="1269"/>
      <c r="O1082" s="1269"/>
      <c r="P1082" s="1269"/>
      <c r="Q1082" s="1269"/>
      <c r="R1082" s="1269"/>
      <c r="S1082" s="1269"/>
      <c r="T1082" s="1269"/>
      <c r="U1082" s="1269"/>
      <c r="V1082" s="1269"/>
      <c r="W1082" s="1269"/>
      <c r="X1082" s="1269"/>
      <c r="Y1082" s="1269"/>
      <c r="Z1082" s="1269"/>
      <c r="AA1082" s="1269"/>
      <c r="AB1082" s="1269"/>
      <c r="AC1082" s="1269"/>
      <c r="AD1082" s="1269"/>
      <c r="AE1082" s="1269"/>
      <c r="AF1082" s="1269"/>
      <c r="AG1082" s="1269"/>
      <c r="AH1082" s="1269"/>
      <c r="AI1082" s="1269"/>
      <c r="AJ1082" s="1269"/>
      <c r="AK1082" s="1269"/>
    </row>
    <row r="1083" spans="1:46" ht="13.05" customHeight="1">
      <c r="A1083" s="1461" t="s">
        <v>599</v>
      </c>
      <c r="B1083" s="1461"/>
      <c r="C1083" s="8">
        <v>4</v>
      </c>
      <c r="D1083" s="1269" t="s">
        <v>1118</v>
      </c>
      <c r="E1083" s="1269"/>
      <c r="F1083" s="1269"/>
      <c r="G1083" s="1269"/>
      <c r="H1083" s="1269"/>
      <c r="I1083" s="1269"/>
      <c r="J1083" s="1269"/>
      <c r="K1083" s="1269"/>
      <c r="L1083" s="1269"/>
      <c r="M1083" s="1269"/>
      <c r="N1083" s="1269"/>
      <c r="O1083" s="1269"/>
      <c r="P1083" s="1269"/>
      <c r="Q1083" s="1269"/>
      <c r="R1083" s="1269"/>
      <c r="S1083" s="1269"/>
      <c r="T1083" s="1269"/>
      <c r="U1083" s="1269"/>
      <c r="V1083" s="1269"/>
      <c r="W1083" s="1269"/>
      <c r="X1083" s="1269"/>
      <c r="Y1083" s="1269"/>
      <c r="Z1083" s="1269"/>
      <c r="AA1083" s="1269"/>
      <c r="AB1083" s="1269"/>
      <c r="AC1083" s="1269"/>
      <c r="AD1083" s="1269"/>
      <c r="AE1083" s="1269"/>
      <c r="AF1083" s="1269"/>
      <c r="AG1083" s="1269"/>
      <c r="AH1083" s="1269"/>
      <c r="AI1083" s="1269"/>
      <c r="AJ1083" s="1269"/>
      <c r="AK1083" s="1269"/>
    </row>
    <row r="1084" spans="1:46" ht="13.05" customHeight="1">
      <c r="A1084" s="1"/>
      <c r="B1084" s="1"/>
      <c r="C1084" s="8"/>
      <c r="D1084" s="1269"/>
      <c r="E1084" s="1269"/>
      <c r="F1084" s="1269"/>
      <c r="G1084" s="1269"/>
      <c r="H1084" s="1269"/>
      <c r="I1084" s="1269"/>
      <c r="J1084" s="1269"/>
      <c r="K1084" s="1269"/>
      <c r="L1084" s="1269"/>
      <c r="M1084" s="1269"/>
      <c r="N1084" s="1269"/>
      <c r="O1084" s="1269"/>
      <c r="P1084" s="1269"/>
      <c r="Q1084" s="1269"/>
      <c r="R1084" s="1269"/>
      <c r="S1084" s="1269"/>
      <c r="T1084" s="1269"/>
      <c r="U1084" s="1269"/>
      <c r="V1084" s="1269"/>
      <c r="W1084" s="1269"/>
      <c r="X1084" s="1269"/>
      <c r="Y1084" s="1269"/>
      <c r="Z1084" s="1269"/>
      <c r="AA1084" s="1269"/>
      <c r="AB1084" s="1269"/>
      <c r="AC1084" s="1269"/>
      <c r="AD1084" s="1269"/>
      <c r="AE1084" s="1269"/>
      <c r="AF1084" s="1269"/>
      <c r="AG1084" s="1269"/>
      <c r="AH1084" s="1269"/>
      <c r="AI1084" s="1269"/>
      <c r="AJ1084" s="1269"/>
      <c r="AK1084" s="1269"/>
    </row>
    <row r="1085" spans="1:46" ht="13.05" customHeight="1">
      <c r="A1085" s="35"/>
      <c r="B1085" s="25"/>
      <c r="C1085" s="8"/>
      <c r="D1085" s="1269"/>
      <c r="E1085" s="1269"/>
      <c r="F1085" s="1269"/>
      <c r="G1085" s="1269"/>
      <c r="H1085" s="1269"/>
      <c r="I1085" s="1269"/>
      <c r="J1085" s="1269"/>
      <c r="K1085" s="1269"/>
      <c r="L1085" s="1269"/>
      <c r="M1085" s="1269"/>
      <c r="N1085" s="1269"/>
      <c r="O1085" s="1269"/>
      <c r="P1085" s="1269"/>
      <c r="Q1085" s="1269"/>
      <c r="R1085" s="1269"/>
      <c r="S1085" s="1269"/>
      <c r="T1085" s="1269"/>
      <c r="U1085" s="1269"/>
      <c r="V1085" s="1269"/>
      <c r="W1085" s="1269"/>
      <c r="X1085" s="1269"/>
      <c r="Y1085" s="1269"/>
      <c r="Z1085" s="1269"/>
      <c r="AA1085" s="1269"/>
      <c r="AB1085" s="1269"/>
      <c r="AC1085" s="1269"/>
      <c r="AD1085" s="1269"/>
      <c r="AE1085" s="1269"/>
      <c r="AF1085" s="1269"/>
      <c r="AG1085" s="1269"/>
      <c r="AH1085" s="1269"/>
      <c r="AI1085" s="1269"/>
      <c r="AJ1085" s="1269"/>
      <c r="AK1085" s="1269"/>
    </row>
    <row r="1086" spans="1:46" ht="13.05" customHeight="1">
      <c r="A1086" s="1461" t="s">
        <v>599</v>
      </c>
      <c r="B1086" s="1461"/>
      <c r="C1086" s="8">
        <v>5</v>
      </c>
      <c r="D1086" s="1269" t="s">
        <v>2455</v>
      </c>
      <c r="E1086" s="1269"/>
      <c r="F1086" s="1269"/>
      <c r="G1086" s="1269"/>
      <c r="H1086" s="1269"/>
      <c r="I1086" s="1269"/>
      <c r="J1086" s="1269"/>
      <c r="K1086" s="1269"/>
      <c r="L1086" s="1269"/>
      <c r="M1086" s="1269"/>
      <c r="N1086" s="1269"/>
      <c r="O1086" s="1269"/>
      <c r="P1086" s="1269"/>
      <c r="Q1086" s="1269"/>
      <c r="R1086" s="1269"/>
      <c r="S1086" s="1269"/>
      <c r="T1086" s="1269"/>
      <c r="U1086" s="1269"/>
      <c r="V1086" s="1269"/>
      <c r="W1086" s="1269"/>
      <c r="X1086" s="1269"/>
      <c r="Y1086" s="1269"/>
      <c r="Z1086" s="1269"/>
      <c r="AA1086" s="1269"/>
      <c r="AB1086" s="1269"/>
      <c r="AC1086" s="1269"/>
      <c r="AD1086" s="1269"/>
      <c r="AE1086" s="1269"/>
      <c r="AF1086" s="1269"/>
      <c r="AG1086" s="1269"/>
      <c r="AH1086" s="1269"/>
      <c r="AI1086" s="1269"/>
      <c r="AJ1086" s="1269"/>
      <c r="AK1086" s="1269"/>
    </row>
    <row r="1087" spans="1:46" ht="13.05" customHeight="1">
      <c r="A1087" s="1"/>
      <c r="B1087" s="1"/>
      <c r="C1087" s="8"/>
      <c r="D1087" s="1269"/>
      <c r="E1087" s="1269"/>
      <c r="F1087" s="1269"/>
      <c r="G1087" s="1269"/>
      <c r="H1087" s="1269"/>
      <c r="I1087" s="1269"/>
      <c r="J1087" s="1269"/>
      <c r="K1087" s="1269"/>
      <c r="L1087" s="1269"/>
      <c r="M1087" s="1269"/>
      <c r="N1087" s="1269"/>
      <c r="O1087" s="1269"/>
      <c r="P1087" s="1269"/>
      <c r="Q1087" s="1269"/>
      <c r="R1087" s="1269"/>
      <c r="S1087" s="1269"/>
      <c r="T1087" s="1269"/>
      <c r="U1087" s="1269"/>
      <c r="V1087" s="1269"/>
      <c r="W1087" s="1269"/>
      <c r="X1087" s="1269"/>
      <c r="Y1087" s="1269"/>
      <c r="Z1087" s="1269"/>
      <c r="AA1087" s="1269"/>
      <c r="AB1087" s="1269"/>
      <c r="AC1087" s="1269"/>
      <c r="AD1087" s="1269"/>
      <c r="AE1087" s="1269"/>
      <c r="AF1087" s="1269"/>
      <c r="AG1087" s="1269"/>
      <c r="AH1087" s="1269"/>
      <c r="AI1087" s="1269"/>
      <c r="AJ1087" s="1269"/>
      <c r="AK1087" s="1269"/>
    </row>
    <row r="1088" spans="1:46" ht="13.05" customHeight="1">
      <c r="A1088" s="1"/>
      <c r="B1088" s="1"/>
      <c r="C1088" s="8"/>
      <c r="D1088" s="1269"/>
      <c r="E1088" s="1269"/>
      <c r="F1088" s="1269"/>
      <c r="G1088" s="1269"/>
      <c r="H1088" s="1269"/>
      <c r="I1088" s="1269"/>
      <c r="J1088" s="1269"/>
      <c r="K1088" s="1269"/>
      <c r="L1088" s="1269"/>
      <c r="M1088" s="1269"/>
      <c r="N1088" s="1269"/>
      <c r="O1088" s="1269"/>
      <c r="P1088" s="1269"/>
      <c r="Q1088" s="1269"/>
      <c r="R1088" s="1269"/>
      <c r="S1088" s="1269"/>
      <c r="T1088" s="1269"/>
      <c r="U1088" s="1269"/>
      <c r="V1088" s="1269"/>
      <c r="W1088" s="1269"/>
      <c r="X1088" s="1269"/>
      <c r="Y1088" s="1269"/>
      <c r="Z1088" s="1269"/>
      <c r="AA1088" s="1269"/>
      <c r="AB1088" s="1269"/>
      <c r="AC1088" s="1269"/>
      <c r="AD1088" s="1269"/>
      <c r="AE1088" s="1269"/>
      <c r="AF1088" s="1269"/>
      <c r="AG1088" s="1269"/>
      <c r="AH1088" s="1269"/>
      <c r="AI1088" s="1269"/>
      <c r="AJ1088" s="1269"/>
      <c r="AK1088" s="1269"/>
    </row>
    <row r="1089" spans="1:37" ht="13.05" hidden="1" customHeight="1">
      <c r="A1089" s="1"/>
      <c r="B1089" s="1"/>
      <c r="C1089" s="8"/>
      <c r="D1089" s="1269"/>
      <c r="E1089" s="1269"/>
      <c r="F1089" s="1269"/>
      <c r="G1089" s="1269"/>
      <c r="H1089" s="1269"/>
      <c r="I1089" s="1269"/>
      <c r="J1089" s="1269"/>
      <c r="K1089" s="1269"/>
      <c r="L1089" s="1269"/>
      <c r="M1089" s="1269"/>
      <c r="N1089" s="1269"/>
      <c r="O1089" s="1269"/>
      <c r="P1089" s="1269"/>
      <c r="Q1089" s="1269"/>
      <c r="R1089" s="1269"/>
      <c r="S1089" s="1269"/>
      <c r="T1089" s="1269"/>
      <c r="U1089" s="1269"/>
      <c r="V1089" s="1269"/>
      <c r="W1089" s="1269"/>
      <c r="X1089" s="1269"/>
      <c r="Y1089" s="1269"/>
      <c r="Z1089" s="1269"/>
      <c r="AA1089" s="1269"/>
      <c r="AB1089" s="1269"/>
      <c r="AC1089" s="1269"/>
      <c r="AD1089" s="1269"/>
      <c r="AE1089" s="1269"/>
      <c r="AF1089" s="1269"/>
      <c r="AG1089" s="1269"/>
      <c r="AH1089" s="1269"/>
      <c r="AI1089" s="1269"/>
      <c r="AJ1089" s="1269"/>
      <c r="AK1089" s="1269"/>
    </row>
    <row r="1090" spans="1:37" ht="13.05" customHeight="1">
      <c r="A1090" s="35"/>
      <c r="B1090" s="25"/>
      <c r="C1090" s="8"/>
      <c r="D1090" s="1269"/>
      <c r="E1090" s="1269"/>
      <c r="F1090" s="1269"/>
      <c r="G1090" s="1269"/>
      <c r="H1090" s="1269"/>
      <c r="I1090" s="1269"/>
      <c r="J1090" s="1269"/>
      <c r="K1090" s="1269"/>
      <c r="L1090" s="1269"/>
      <c r="M1090" s="1269"/>
      <c r="N1090" s="1269"/>
      <c r="O1090" s="1269"/>
      <c r="P1090" s="1269"/>
      <c r="Q1090" s="1269"/>
      <c r="R1090" s="1269"/>
      <c r="S1090" s="1269"/>
      <c r="T1090" s="1269"/>
      <c r="U1090" s="1269"/>
      <c r="V1090" s="1269"/>
      <c r="W1090" s="1269"/>
      <c r="X1090" s="1269"/>
      <c r="Y1090" s="1269"/>
      <c r="Z1090" s="1269"/>
      <c r="AA1090" s="1269"/>
      <c r="AB1090" s="1269"/>
      <c r="AC1090" s="1269"/>
      <c r="AD1090" s="1269"/>
      <c r="AE1090" s="1269"/>
      <c r="AF1090" s="1269"/>
      <c r="AG1090" s="1269"/>
      <c r="AH1090" s="1269"/>
      <c r="AI1090" s="1269"/>
      <c r="AJ1090" s="1269"/>
      <c r="AK1090" s="1269"/>
    </row>
    <row r="1091" spans="1:37" ht="13.05" customHeight="1">
      <c r="A1091" s="1461" t="s">
        <v>599</v>
      </c>
      <c r="B1091" s="1461"/>
      <c r="C1091" s="8">
        <v>6</v>
      </c>
      <c r="D1091" s="1269" t="s">
        <v>1119</v>
      </c>
      <c r="E1091" s="1269"/>
      <c r="F1091" s="1269"/>
      <c r="G1091" s="1269"/>
      <c r="H1091" s="1269"/>
      <c r="I1091" s="1269"/>
      <c r="J1091" s="1269"/>
      <c r="K1091" s="1269"/>
      <c r="L1091" s="1269"/>
      <c r="M1091" s="1269"/>
      <c r="N1091" s="1269"/>
      <c r="O1091" s="1269"/>
      <c r="P1091" s="1269"/>
      <c r="Q1091" s="1269"/>
      <c r="R1091" s="1269"/>
      <c r="S1091" s="1269"/>
      <c r="T1091" s="1269"/>
      <c r="U1091" s="1269"/>
      <c r="V1091" s="1269"/>
      <c r="W1091" s="1269"/>
      <c r="X1091" s="1269"/>
      <c r="Y1091" s="1269"/>
      <c r="Z1091" s="1269"/>
      <c r="AA1091" s="1269"/>
      <c r="AB1091" s="1269"/>
      <c r="AC1091" s="1269"/>
      <c r="AD1091" s="1269"/>
      <c r="AE1091" s="1269"/>
      <c r="AF1091" s="1269"/>
      <c r="AG1091" s="1269"/>
      <c r="AH1091" s="1269"/>
      <c r="AI1091" s="1269"/>
      <c r="AJ1091" s="1269"/>
      <c r="AK1091" s="1269"/>
    </row>
    <row r="1092" spans="1:37" ht="13.05" customHeight="1">
      <c r="A1092" s="35"/>
      <c r="B1092" s="25"/>
      <c r="C1092" s="8"/>
      <c r="D1092" s="1269"/>
      <c r="E1092" s="1269"/>
      <c r="F1092" s="1269"/>
      <c r="G1092" s="1269"/>
      <c r="H1092" s="1269"/>
      <c r="I1092" s="1269"/>
      <c r="J1092" s="1269"/>
      <c r="K1092" s="1269"/>
      <c r="L1092" s="1269"/>
      <c r="M1092" s="1269"/>
      <c r="N1092" s="1269"/>
      <c r="O1092" s="1269"/>
      <c r="P1092" s="1269"/>
      <c r="Q1092" s="1269"/>
      <c r="R1092" s="1269"/>
      <c r="S1092" s="1269"/>
      <c r="T1092" s="1269"/>
      <c r="U1092" s="1269"/>
      <c r="V1092" s="1269"/>
      <c r="W1092" s="1269"/>
      <c r="X1092" s="1269"/>
      <c r="Y1092" s="1269"/>
      <c r="Z1092" s="1269"/>
      <c r="AA1092" s="1269"/>
      <c r="AB1092" s="1269"/>
      <c r="AC1092" s="1269"/>
      <c r="AD1092" s="1269"/>
      <c r="AE1092" s="1269"/>
      <c r="AF1092" s="1269"/>
      <c r="AG1092" s="1269"/>
      <c r="AH1092" s="1269"/>
      <c r="AI1092" s="1269"/>
      <c r="AJ1092" s="1269"/>
      <c r="AK1092" s="1269"/>
    </row>
    <row r="1093" spans="1:37" ht="13.05" customHeight="1">
      <c r="A1093" s="35"/>
      <c r="B1093" s="25"/>
      <c r="C1093" s="8"/>
      <c r="D1093" s="1269"/>
      <c r="E1093" s="1269"/>
      <c r="F1093" s="1269"/>
      <c r="G1093" s="1269"/>
      <c r="H1093" s="1269"/>
      <c r="I1093" s="1269"/>
      <c r="J1093" s="1269"/>
      <c r="K1093" s="1269"/>
      <c r="L1093" s="1269"/>
      <c r="M1093" s="1269"/>
      <c r="N1093" s="1269"/>
      <c r="O1093" s="1269"/>
      <c r="P1093" s="1269"/>
      <c r="Q1093" s="1269"/>
      <c r="R1093" s="1269"/>
      <c r="S1093" s="1269"/>
      <c r="T1093" s="1269"/>
      <c r="U1093" s="1269"/>
      <c r="V1093" s="1269"/>
      <c r="W1093" s="1269"/>
      <c r="X1093" s="1269"/>
      <c r="Y1093" s="1269"/>
      <c r="Z1093" s="1269"/>
      <c r="AA1093" s="1269"/>
      <c r="AB1093" s="1269"/>
      <c r="AC1093" s="1269"/>
      <c r="AD1093" s="1269"/>
      <c r="AE1093" s="1269"/>
      <c r="AF1093" s="1269"/>
      <c r="AG1093" s="1269"/>
      <c r="AH1093" s="1269"/>
      <c r="AI1093" s="1269"/>
      <c r="AJ1093" s="1269"/>
      <c r="AK1093" s="1269"/>
    </row>
    <row r="1094" spans="1:37" ht="13.05" customHeight="1">
      <c r="A1094" s="1461" t="s">
        <v>599</v>
      </c>
      <c r="B1094" s="1461"/>
      <c r="C1094" s="212">
        <v>7</v>
      </c>
      <c r="D1094" s="1269" t="s">
        <v>1121</v>
      </c>
      <c r="E1094" s="1269"/>
      <c r="F1094" s="1269"/>
      <c r="G1094" s="1269"/>
      <c r="H1094" s="1269"/>
      <c r="I1094" s="1269"/>
      <c r="J1094" s="1269"/>
      <c r="K1094" s="1269"/>
      <c r="L1094" s="1269"/>
      <c r="M1094" s="1269"/>
      <c r="N1094" s="1269"/>
      <c r="O1094" s="1269"/>
      <c r="P1094" s="1269"/>
      <c r="Q1094" s="1269"/>
      <c r="R1094" s="1269"/>
      <c r="S1094" s="1269"/>
      <c r="T1094" s="1269"/>
      <c r="U1094" s="1269"/>
      <c r="V1094" s="1269"/>
      <c r="W1094" s="1269"/>
      <c r="X1094" s="1269"/>
      <c r="Y1094" s="1269"/>
      <c r="Z1094" s="1269"/>
      <c r="AA1094" s="1269"/>
      <c r="AB1094" s="1269"/>
      <c r="AC1094" s="1269"/>
      <c r="AD1094" s="1269"/>
      <c r="AE1094" s="1269"/>
      <c r="AF1094" s="1269"/>
      <c r="AG1094" s="1269"/>
      <c r="AH1094" s="1269"/>
      <c r="AI1094" s="1269"/>
      <c r="AJ1094" s="1269"/>
      <c r="AK1094" s="1269"/>
    </row>
    <row r="1095" spans="1:37" ht="13.05" customHeight="1">
      <c r="A1095" s="1"/>
      <c r="B1095" s="1"/>
      <c r="C1095" s="212"/>
      <c r="D1095" s="1269"/>
      <c r="E1095" s="1269"/>
      <c r="F1095" s="1269"/>
      <c r="G1095" s="1269"/>
      <c r="H1095" s="1269"/>
      <c r="I1095" s="1269"/>
      <c r="J1095" s="1269"/>
      <c r="K1095" s="1269"/>
      <c r="L1095" s="1269"/>
      <c r="M1095" s="1269"/>
      <c r="N1095" s="1269"/>
      <c r="O1095" s="1269"/>
      <c r="P1095" s="1269"/>
      <c r="Q1095" s="1269"/>
      <c r="R1095" s="1269"/>
      <c r="S1095" s="1269"/>
      <c r="T1095" s="1269"/>
      <c r="U1095" s="1269"/>
      <c r="V1095" s="1269"/>
      <c r="W1095" s="1269"/>
      <c r="X1095" s="1269"/>
      <c r="Y1095" s="1269"/>
      <c r="Z1095" s="1269"/>
      <c r="AA1095" s="1269"/>
      <c r="AB1095" s="1269"/>
      <c r="AC1095" s="1269"/>
      <c r="AD1095" s="1269"/>
      <c r="AE1095" s="1269"/>
      <c r="AF1095" s="1269"/>
      <c r="AG1095" s="1269"/>
      <c r="AH1095" s="1269"/>
      <c r="AI1095" s="1269"/>
      <c r="AJ1095" s="1269"/>
      <c r="AK1095" s="1269"/>
    </row>
    <row r="1096" spans="1:37" ht="13.05" customHeight="1">
      <c r="A1096" s="1"/>
      <c r="B1096" s="1"/>
      <c r="C1096" s="212"/>
      <c r="D1096" s="1269"/>
      <c r="E1096" s="1269"/>
      <c r="F1096" s="1269"/>
      <c r="G1096" s="1269"/>
      <c r="H1096" s="1269"/>
      <c r="I1096" s="1269"/>
      <c r="J1096" s="1269"/>
      <c r="K1096" s="1269"/>
      <c r="L1096" s="1269"/>
      <c r="M1096" s="1269"/>
      <c r="N1096" s="1269"/>
      <c r="O1096" s="1269"/>
      <c r="P1096" s="1269"/>
      <c r="Q1096" s="1269"/>
      <c r="R1096" s="1269"/>
      <c r="S1096" s="1269"/>
      <c r="T1096" s="1269"/>
      <c r="U1096" s="1269"/>
      <c r="V1096" s="1269"/>
      <c r="W1096" s="1269"/>
      <c r="X1096" s="1269"/>
      <c r="Y1096" s="1269"/>
      <c r="Z1096" s="1269"/>
      <c r="AA1096" s="1269"/>
      <c r="AB1096" s="1269"/>
      <c r="AC1096" s="1269"/>
      <c r="AD1096" s="1269"/>
      <c r="AE1096" s="1269"/>
      <c r="AF1096" s="1269"/>
      <c r="AG1096" s="1269"/>
      <c r="AH1096" s="1269"/>
      <c r="AI1096" s="1269"/>
      <c r="AJ1096" s="1269"/>
      <c r="AK1096" s="1269"/>
    </row>
    <row r="1097" spans="1:37" ht="13.05" customHeight="1">
      <c r="A1097" s="35"/>
      <c r="B1097" s="25"/>
      <c r="C1097" s="212"/>
      <c r="D1097" s="1269"/>
      <c r="E1097" s="1269"/>
      <c r="F1097" s="1269"/>
      <c r="G1097" s="1269"/>
      <c r="H1097" s="1269"/>
      <c r="I1097" s="1269"/>
      <c r="J1097" s="1269"/>
      <c r="K1097" s="1269"/>
      <c r="L1097" s="1269"/>
      <c r="M1097" s="1269"/>
      <c r="N1097" s="1269"/>
      <c r="O1097" s="1269"/>
      <c r="P1097" s="1269"/>
      <c r="Q1097" s="1269"/>
      <c r="R1097" s="1269"/>
      <c r="S1097" s="1269"/>
      <c r="T1097" s="1269"/>
      <c r="U1097" s="1269"/>
      <c r="V1097" s="1269"/>
      <c r="W1097" s="1269"/>
      <c r="X1097" s="1269"/>
      <c r="Y1097" s="1269"/>
      <c r="Z1097" s="1269"/>
      <c r="AA1097" s="1269"/>
      <c r="AB1097" s="1269"/>
      <c r="AC1097" s="1269"/>
      <c r="AD1097" s="1269"/>
      <c r="AE1097" s="1269"/>
      <c r="AF1097" s="1269"/>
      <c r="AG1097" s="1269"/>
      <c r="AH1097" s="1269"/>
      <c r="AI1097" s="1269"/>
      <c r="AJ1097" s="1269"/>
      <c r="AK1097" s="1269"/>
    </row>
    <row r="1098" spans="1:37" ht="13.05" customHeight="1">
      <c r="A1098" s="1461" t="s">
        <v>599</v>
      </c>
      <c r="B1098" s="1461"/>
      <c r="C1098" s="212">
        <v>8</v>
      </c>
      <c r="D1098" s="1353" t="s">
        <v>1872</v>
      </c>
      <c r="E1098" s="1353"/>
      <c r="F1098" s="1353"/>
      <c r="G1098" s="1353"/>
      <c r="H1098" s="1353"/>
      <c r="I1098" s="1353"/>
      <c r="J1098" s="1353"/>
      <c r="K1098" s="1353"/>
      <c r="L1098" s="1353"/>
      <c r="M1098" s="1353"/>
      <c r="N1098" s="1353"/>
      <c r="O1098" s="1353"/>
      <c r="P1098" s="1353"/>
      <c r="Q1098" s="1353"/>
      <c r="R1098" s="1353"/>
      <c r="S1098" s="1353"/>
      <c r="T1098" s="1353"/>
      <c r="U1098" s="1353"/>
      <c r="V1098" s="1353"/>
      <c r="W1098" s="1353"/>
      <c r="X1098" s="1353"/>
      <c r="Y1098" s="1353"/>
      <c r="Z1098" s="1353"/>
      <c r="AA1098" s="1353"/>
      <c r="AB1098" s="1353"/>
      <c r="AC1098" s="1353"/>
      <c r="AD1098" s="1353"/>
      <c r="AE1098" s="1353"/>
      <c r="AF1098" s="1353"/>
      <c r="AG1098" s="1353"/>
      <c r="AH1098" s="1353"/>
      <c r="AI1098" s="1353"/>
      <c r="AJ1098" s="1353"/>
      <c r="AK1098" s="1353"/>
    </row>
    <row r="1099" spans="1:37" ht="13.05" customHeight="1">
      <c r="A1099" s="1"/>
      <c r="B1099" s="1"/>
      <c r="C1099" s="212"/>
      <c r="D1099" s="1353"/>
      <c r="E1099" s="1353"/>
      <c r="F1099" s="1353"/>
      <c r="G1099" s="1353"/>
      <c r="H1099" s="1353"/>
      <c r="I1099" s="1353"/>
      <c r="J1099" s="1353"/>
      <c r="K1099" s="1353"/>
      <c r="L1099" s="1353"/>
      <c r="M1099" s="1353"/>
      <c r="N1099" s="1353"/>
      <c r="O1099" s="1353"/>
      <c r="P1099" s="1353"/>
      <c r="Q1099" s="1353"/>
      <c r="R1099" s="1353"/>
      <c r="S1099" s="1353"/>
      <c r="T1099" s="1353"/>
      <c r="U1099" s="1353"/>
      <c r="V1099" s="1353"/>
      <c r="W1099" s="1353"/>
      <c r="X1099" s="1353"/>
      <c r="Y1099" s="1353"/>
      <c r="Z1099" s="1353"/>
      <c r="AA1099" s="1353"/>
      <c r="AB1099" s="1353"/>
      <c r="AC1099" s="1353"/>
      <c r="AD1099" s="1353"/>
      <c r="AE1099" s="1353"/>
      <c r="AF1099" s="1353"/>
      <c r="AG1099" s="1353"/>
      <c r="AH1099" s="1353"/>
      <c r="AI1099" s="1353"/>
      <c r="AJ1099" s="1353"/>
      <c r="AK1099" s="1353"/>
    </row>
    <row r="1100" spans="1:37" ht="13.05" customHeight="1">
      <c r="A1100" s="1"/>
      <c r="B1100" s="1"/>
      <c r="C1100" s="212"/>
      <c r="D1100" s="1353"/>
      <c r="E1100" s="1353"/>
      <c r="F1100" s="1353"/>
      <c r="G1100" s="1353"/>
      <c r="H1100" s="1353"/>
      <c r="I1100" s="1353"/>
      <c r="J1100" s="1353"/>
      <c r="K1100" s="1353"/>
      <c r="L1100" s="1353"/>
      <c r="M1100" s="1353"/>
      <c r="N1100" s="1353"/>
      <c r="O1100" s="1353"/>
      <c r="P1100" s="1353"/>
      <c r="Q1100" s="1353"/>
      <c r="R1100" s="1353"/>
      <c r="S1100" s="1353"/>
      <c r="T1100" s="1353"/>
      <c r="U1100" s="1353"/>
      <c r="V1100" s="1353"/>
      <c r="W1100" s="1353"/>
      <c r="X1100" s="1353"/>
      <c r="Y1100" s="1353"/>
      <c r="Z1100" s="1353"/>
      <c r="AA1100" s="1353"/>
      <c r="AB1100" s="1353"/>
      <c r="AC1100" s="1353"/>
      <c r="AD1100" s="1353"/>
      <c r="AE1100" s="1353"/>
      <c r="AF1100" s="1353"/>
      <c r="AG1100" s="1353"/>
      <c r="AH1100" s="1353"/>
      <c r="AI1100" s="1353"/>
      <c r="AJ1100" s="1353"/>
      <c r="AK1100" s="1353"/>
    </row>
    <row r="1101" spans="1:37" ht="0" hidden="1" customHeight="1">
      <c r="A1101" s="1"/>
      <c r="B1101" s="1"/>
      <c r="C1101" s="212"/>
      <c r="D1101" s="1353"/>
      <c r="E1101" s="1353"/>
      <c r="F1101" s="1353"/>
      <c r="G1101" s="1353"/>
      <c r="H1101" s="1353"/>
      <c r="I1101" s="1353"/>
      <c r="J1101" s="1353"/>
      <c r="K1101" s="1353"/>
      <c r="L1101" s="1353"/>
      <c r="M1101" s="1353"/>
      <c r="N1101" s="1353"/>
      <c r="O1101" s="1353"/>
      <c r="P1101" s="1353"/>
      <c r="Q1101" s="1353"/>
      <c r="R1101" s="1353"/>
      <c r="S1101" s="1353"/>
      <c r="T1101" s="1353"/>
      <c r="U1101" s="1353"/>
      <c r="V1101" s="1353"/>
      <c r="W1101" s="1353"/>
      <c r="X1101" s="1353"/>
      <c r="Y1101" s="1353"/>
      <c r="Z1101" s="1353"/>
      <c r="AA1101" s="1353"/>
      <c r="AB1101" s="1353"/>
      <c r="AC1101" s="1353"/>
      <c r="AD1101" s="1353"/>
      <c r="AE1101" s="1353"/>
      <c r="AF1101" s="1353"/>
      <c r="AG1101" s="1353"/>
      <c r="AH1101" s="1353"/>
      <c r="AI1101" s="1353"/>
      <c r="AJ1101" s="1353"/>
      <c r="AK1101" s="1353"/>
    </row>
    <row r="1102" spans="1:37" ht="0" hidden="1" customHeight="1">
      <c r="A1102" s="35"/>
      <c r="B1102" s="25"/>
      <c r="C1102" s="212"/>
      <c r="D1102" s="1353"/>
      <c r="E1102" s="1353"/>
      <c r="F1102" s="1353"/>
      <c r="G1102" s="1353"/>
      <c r="H1102" s="1353"/>
      <c r="I1102" s="1353"/>
      <c r="J1102" s="1353"/>
      <c r="K1102" s="1353"/>
      <c r="L1102" s="1353"/>
      <c r="M1102" s="1353"/>
      <c r="N1102" s="1353"/>
      <c r="O1102" s="1353"/>
      <c r="P1102" s="1353"/>
      <c r="Q1102" s="1353"/>
      <c r="R1102" s="1353"/>
      <c r="S1102" s="1353"/>
      <c r="T1102" s="1353"/>
      <c r="U1102" s="1353"/>
      <c r="V1102" s="1353"/>
      <c r="W1102" s="1353"/>
      <c r="X1102" s="1353"/>
      <c r="Y1102" s="1353"/>
      <c r="Z1102" s="1353"/>
      <c r="AA1102" s="1353"/>
      <c r="AB1102" s="1353"/>
      <c r="AC1102" s="1353"/>
      <c r="AD1102" s="1353"/>
      <c r="AE1102" s="1353"/>
      <c r="AF1102" s="1353"/>
      <c r="AG1102" s="1353"/>
      <c r="AH1102" s="1353"/>
      <c r="AI1102" s="1353"/>
      <c r="AJ1102" s="1353"/>
      <c r="AK1102" s="1353"/>
    </row>
    <row r="1103" spans="1:37" ht="0" hidden="1" customHeight="1">
      <c r="A1103" s="1461" t="s">
        <v>599</v>
      </c>
      <c r="B1103" s="1461"/>
      <c r="C1103" s="212">
        <v>9</v>
      </c>
      <c r="D1103" s="1269" t="s">
        <v>1120</v>
      </c>
      <c r="E1103" s="1269"/>
      <c r="F1103" s="1269"/>
      <c r="G1103" s="1269"/>
      <c r="H1103" s="1269"/>
      <c r="I1103" s="1269"/>
      <c r="J1103" s="1269"/>
      <c r="K1103" s="1269"/>
      <c r="L1103" s="1269"/>
      <c r="M1103" s="1269"/>
      <c r="N1103" s="1269"/>
      <c r="O1103" s="1269"/>
      <c r="P1103" s="1269"/>
      <c r="Q1103" s="1269"/>
      <c r="R1103" s="1269"/>
      <c r="S1103" s="1269"/>
      <c r="T1103" s="1269"/>
      <c r="U1103" s="1269"/>
      <c r="V1103" s="1269"/>
      <c r="W1103" s="1269"/>
      <c r="X1103" s="1269"/>
      <c r="Y1103" s="1269"/>
      <c r="Z1103" s="1269"/>
      <c r="AA1103" s="1269"/>
      <c r="AB1103" s="1269"/>
      <c r="AC1103" s="1269"/>
      <c r="AD1103" s="1269"/>
      <c r="AE1103" s="1269"/>
      <c r="AF1103" s="1269"/>
      <c r="AG1103" s="1269"/>
      <c r="AH1103" s="1269"/>
      <c r="AI1103" s="1269"/>
      <c r="AJ1103" s="1269"/>
      <c r="AK1103" s="1269"/>
    </row>
    <row r="1104" spans="1:37" ht="0" hidden="1" customHeight="1">
      <c r="A1104" s="35"/>
      <c r="B1104" s="25"/>
      <c r="C1104" s="212"/>
      <c r="D1104" s="1269"/>
      <c r="E1104" s="1269"/>
      <c r="F1104" s="1269"/>
      <c r="G1104" s="1269"/>
      <c r="H1104" s="1269"/>
      <c r="I1104" s="1269"/>
      <c r="J1104" s="1269"/>
      <c r="K1104" s="1269"/>
      <c r="L1104" s="1269"/>
      <c r="M1104" s="1269"/>
      <c r="N1104" s="1269"/>
      <c r="O1104" s="1269"/>
      <c r="P1104" s="1269"/>
      <c r="Q1104" s="1269"/>
      <c r="R1104" s="1269"/>
      <c r="S1104" s="1269"/>
      <c r="T1104" s="1269"/>
      <c r="U1104" s="1269"/>
      <c r="V1104" s="1269"/>
      <c r="W1104" s="1269"/>
      <c r="X1104" s="1269"/>
      <c r="Y1104" s="1269"/>
      <c r="Z1104" s="1269"/>
      <c r="AA1104" s="1269"/>
      <c r="AB1104" s="1269"/>
      <c r="AC1104" s="1269"/>
      <c r="AD1104" s="1269"/>
      <c r="AE1104" s="1269"/>
      <c r="AF1104" s="1269"/>
      <c r="AG1104" s="1269"/>
      <c r="AH1104" s="1269"/>
      <c r="AI1104" s="1269"/>
      <c r="AJ1104" s="1269"/>
      <c r="AK1104" s="1269"/>
    </row>
    <row r="1105" spans="4:37" ht="0" hidden="1" customHeight="1">
      <c r="D1105" s="1269"/>
      <c r="E1105" s="1269"/>
      <c r="F1105" s="1269"/>
      <c r="G1105" s="1269"/>
      <c r="H1105" s="1269"/>
      <c r="I1105" s="1269"/>
      <c r="J1105" s="1269"/>
      <c r="K1105" s="1269"/>
      <c r="L1105" s="1269"/>
      <c r="M1105" s="1269"/>
      <c r="N1105" s="1269"/>
      <c r="O1105" s="1269"/>
      <c r="P1105" s="1269"/>
      <c r="Q1105" s="1269"/>
      <c r="R1105" s="1269"/>
      <c r="S1105" s="1269"/>
      <c r="T1105" s="1269"/>
      <c r="U1105" s="1269"/>
      <c r="V1105" s="1269"/>
      <c r="W1105" s="1269"/>
      <c r="X1105" s="1269"/>
      <c r="Y1105" s="1269"/>
      <c r="Z1105" s="1269"/>
      <c r="AA1105" s="1269"/>
      <c r="AB1105" s="1269"/>
      <c r="AC1105" s="1269"/>
      <c r="AD1105" s="1269"/>
      <c r="AE1105" s="1269"/>
      <c r="AF1105" s="1269"/>
      <c r="AG1105" s="1269"/>
      <c r="AH1105" s="1269"/>
      <c r="AI1105" s="1269"/>
      <c r="AJ1105" s="1269"/>
      <c r="AK1105" s="1269"/>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23">
    <mergeCell ref="T724:W724"/>
    <mergeCell ref="T720:W720"/>
    <mergeCell ref="T722:W722"/>
    <mergeCell ref="T719:W719"/>
    <mergeCell ref="T725:W725"/>
    <mergeCell ref="T728:W728"/>
    <mergeCell ref="T726:W726"/>
    <mergeCell ref="T721:W721"/>
    <mergeCell ref="T727:W727"/>
    <mergeCell ref="T718:W718"/>
    <mergeCell ref="T723:W723"/>
    <mergeCell ref="AC727:AG727"/>
    <mergeCell ref="AC728:AG728"/>
    <mergeCell ref="AC725:AG725"/>
    <mergeCell ref="AC726:AG726"/>
    <mergeCell ref="AC718:AG718"/>
    <mergeCell ref="AC723:AG723"/>
    <mergeCell ref="AC720:AG720"/>
    <mergeCell ref="AC721:AG721"/>
    <mergeCell ref="AC722:AG722"/>
    <mergeCell ref="AC724:AG724"/>
    <mergeCell ref="AC719:AG719"/>
    <mergeCell ref="K718:N718"/>
    <mergeCell ref="K719:N719"/>
    <mergeCell ref="K724:N724"/>
    <mergeCell ref="K726:N726"/>
    <mergeCell ref="K725:N725"/>
    <mergeCell ref="K727:N727"/>
    <mergeCell ref="K722:N722"/>
    <mergeCell ref="K723:N723"/>
    <mergeCell ref="K721:N721"/>
    <mergeCell ref="K728:N728"/>
    <mergeCell ref="K720:N720"/>
    <mergeCell ref="O719:S719"/>
    <mergeCell ref="O722:S722"/>
    <mergeCell ref="O723:S723"/>
    <mergeCell ref="O724:S724"/>
    <mergeCell ref="O727:S727"/>
    <mergeCell ref="O726:S726"/>
    <mergeCell ref="O728:S728"/>
    <mergeCell ref="O725:S725"/>
    <mergeCell ref="O721:S721"/>
    <mergeCell ref="O718:S718"/>
    <mergeCell ref="O720:S720"/>
    <mergeCell ref="B725:F725"/>
    <mergeCell ref="B724:F724"/>
    <mergeCell ref="B728:F728"/>
    <mergeCell ref="B720:F720"/>
    <mergeCell ref="B722:F722"/>
    <mergeCell ref="B723:F723"/>
    <mergeCell ref="B718:F718"/>
    <mergeCell ref="B721:F721"/>
    <mergeCell ref="B727:F727"/>
    <mergeCell ref="B726:F726"/>
    <mergeCell ref="B719:F719"/>
    <mergeCell ref="G721:J721"/>
    <mergeCell ref="G722:J722"/>
    <mergeCell ref="G723:J723"/>
    <mergeCell ref="G720:J720"/>
    <mergeCell ref="G718:J718"/>
    <mergeCell ref="G724:J724"/>
    <mergeCell ref="G726:J726"/>
    <mergeCell ref="G725:J725"/>
    <mergeCell ref="G728:J728"/>
    <mergeCell ref="G727:J727"/>
    <mergeCell ref="G719:J719"/>
    <mergeCell ref="AJ1031:AQ1034"/>
    <mergeCell ref="AJ993:AQ999"/>
    <mergeCell ref="AJ1006:AQ1009"/>
    <mergeCell ref="AJ1010:AQ1011"/>
    <mergeCell ref="AJ985:AQ985"/>
    <mergeCell ref="AJ986:AQ986"/>
    <mergeCell ref="AJ987:AQ987"/>
    <mergeCell ref="B991:AI991"/>
    <mergeCell ref="R986:AA986"/>
    <mergeCell ref="AB984:AI984"/>
    <mergeCell ref="AB985:AI985"/>
    <mergeCell ref="AB986:AI986"/>
    <mergeCell ref="D986:Q986"/>
    <mergeCell ref="R988:AA988"/>
    <mergeCell ref="AF1026:AI1027"/>
    <mergeCell ref="AB987:AI987"/>
    <mergeCell ref="D1021:AE1022"/>
    <mergeCell ref="J1023:AE1023"/>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AC733:AG733"/>
    <mergeCell ref="AC739:AG739"/>
    <mergeCell ref="AA918:AF918"/>
    <mergeCell ref="U923:Z923"/>
    <mergeCell ref="O776:S776"/>
    <mergeCell ref="O769:S772"/>
    <mergeCell ref="B746:F746"/>
    <mergeCell ref="B747:F747"/>
    <mergeCell ref="B748:F748"/>
    <mergeCell ref="B749:F749"/>
    <mergeCell ref="B750:F750"/>
    <mergeCell ref="B751:F751"/>
    <mergeCell ref="D989:Q989"/>
    <mergeCell ref="AJ984:AQ984"/>
    <mergeCell ref="AB988:AI988"/>
    <mergeCell ref="AB989:AI989"/>
    <mergeCell ref="M961:S961"/>
    <mergeCell ref="T742:W742"/>
    <mergeCell ref="K743:N743"/>
    <mergeCell ref="O743:S743"/>
    <mergeCell ref="T743:W743"/>
    <mergeCell ref="K744:N744"/>
    <mergeCell ref="O744:S744"/>
    <mergeCell ref="AA922:AF922"/>
    <mergeCell ref="AB916:AE916"/>
    <mergeCell ref="AA921:AF921"/>
    <mergeCell ref="M957:S957"/>
    <mergeCell ref="AA971:AG971"/>
    <mergeCell ref="AA919:AF919"/>
    <mergeCell ref="J956:S956"/>
    <mergeCell ref="AA948:AF948"/>
    <mergeCell ref="U940:Z940"/>
    <mergeCell ref="A978:AT980"/>
    <mergeCell ref="AG1024:AH1024"/>
    <mergeCell ref="AF1025:AI1025"/>
    <mergeCell ref="AJ1012:AQ1014"/>
    <mergeCell ref="B742:F742"/>
    <mergeCell ref="B743:F743"/>
    <mergeCell ref="B744:F744"/>
    <mergeCell ref="B745:F745"/>
    <mergeCell ref="AC748:AG748"/>
    <mergeCell ref="AC749:AG749"/>
    <mergeCell ref="AC750:AG750"/>
    <mergeCell ref="AC751:AG751"/>
    <mergeCell ref="W852:AC852"/>
    <mergeCell ref="W854:AC854"/>
    <mergeCell ref="W853:AC853"/>
    <mergeCell ref="AE954:AK954"/>
    <mergeCell ref="I949:T949"/>
    <mergeCell ref="AA942:AF942"/>
    <mergeCell ref="AJ1000:AQ1005"/>
    <mergeCell ref="AJ1019:AQ1023"/>
    <mergeCell ref="D1019:AE1020"/>
    <mergeCell ref="AB990:AI990"/>
    <mergeCell ref="D1024:AE1024"/>
    <mergeCell ref="AG827:AJ827"/>
    <mergeCell ref="Q831:T831"/>
    <mergeCell ref="Q830:T830"/>
    <mergeCell ref="AG831:AJ831"/>
    <mergeCell ref="Y832:AB832"/>
    <mergeCell ref="U832:X832"/>
    <mergeCell ref="AC752:AG752"/>
    <mergeCell ref="P816:Y816"/>
    <mergeCell ref="O788:S788"/>
    <mergeCell ref="AK730:AO730"/>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AK738:AO738"/>
    <mergeCell ref="AH732:AJ732"/>
    <mergeCell ref="T735:W735"/>
    <mergeCell ref="D994:AE997"/>
    <mergeCell ref="D998:AE998"/>
    <mergeCell ref="D987:Q987"/>
    <mergeCell ref="D988:Q988"/>
    <mergeCell ref="B1059:AP1059"/>
    <mergeCell ref="C798:AN799"/>
    <mergeCell ref="T748:W748"/>
    <mergeCell ref="K749:N749"/>
    <mergeCell ref="O749:S749"/>
    <mergeCell ref="T749:W74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7:Q27"/>
    <mergeCell ref="O33:P33"/>
    <mergeCell ref="M26:Q26"/>
    <mergeCell ref="H16:AJ16"/>
    <mergeCell ref="A21:AL21"/>
    <mergeCell ref="H672:R672"/>
    <mergeCell ref="G676:R676"/>
    <mergeCell ref="B714:F717"/>
    <mergeCell ref="Z686:AK686"/>
    <mergeCell ref="G675:R675"/>
    <mergeCell ref="Z667:AK667"/>
    <mergeCell ref="AG689:AH689"/>
    <mergeCell ref="R705:T705"/>
    <mergeCell ref="W703:AK703"/>
    <mergeCell ref="G678:R678"/>
    <mergeCell ref="P679:R679"/>
    <mergeCell ref="Z676:AK676"/>
    <mergeCell ref="AG649:AH649"/>
    <mergeCell ref="Q627:S627"/>
    <mergeCell ref="Z612:AK612"/>
    <mergeCell ref="AC627:AE627"/>
    <mergeCell ref="A13:AT14"/>
    <mergeCell ref="Z593:AK593"/>
    <mergeCell ref="A69:AT70"/>
    <mergeCell ref="A72:AT73"/>
    <mergeCell ref="A544:AT545"/>
    <mergeCell ref="A480:AT481"/>
    <mergeCell ref="A351:AT352"/>
    <mergeCell ref="A282:AT283"/>
    <mergeCell ref="A222:AT223"/>
    <mergeCell ref="A169:AT170"/>
    <mergeCell ref="H414:AE415"/>
    <mergeCell ref="AE425:AF425"/>
    <mergeCell ref="W700:AK700"/>
    <mergeCell ref="Z683:AK683"/>
    <mergeCell ref="C633:L633"/>
    <mergeCell ref="C634:L634"/>
    <mergeCell ref="AC730:AG730"/>
    <mergeCell ref="AH724:AJ724"/>
    <mergeCell ref="Z671:AE671"/>
    <mergeCell ref="Z668:AK668"/>
    <mergeCell ref="EM659:EQ659"/>
    <mergeCell ref="Q628:S628"/>
    <mergeCell ref="Q629:S629"/>
    <mergeCell ref="Q630:S630"/>
    <mergeCell ref="Q631:S631"/>
    <mergeCell ref="Q632:S632"/>
    <mergeCell ref="Q633:S633"/>
    <mergeCell ref="Q634:S634"/>
    <mergeCell ref="AK633:AN633"/>
    <mergeCell ref="H340:M340"/>
    <mergeCell ref="Z577:AK577"/>
    <mergeCell ref="AE565:AH565"/>
    <mergeCell ref="AI331:AK331"/>
    <mergeCell ref="P339:R339"/>
    <mergeCell ref="N363:O363"/>
    <mergeCell ref="I392:N392"/>
    <mergeCell ref="M357:N357"/>
    <mergeCell ref="J385:U385"/>
    <mergeCell ref="V381:W381"/>
    <mergeCell ref="T555:V555"/>
    <mergeCell ref="W559:Y559"/>
    <mergeCell ref="T563:V563"/>
    <mergeCell ref="Z588:AK588"/>
    <mergeCell ref="M358:N358"/>
    <mergeCell ref="AI339:AK339"/>
    <mergeCell ref="Z605:AE605"/>
    <mergeCell ref="Z609:AK609"/>
    <mergeCell ref="G609:R609"/>
    <mergeCell ref="AK740:AO740"/>
    <mergeCell ref="AK741:AO741"/>
    <mergeCell ref="AK752:AO752"/>
    <mergeCell ref="AH737:AJ737"/>
    <mergeCell ref="AH738:AJ738"/>
    <mergeCell ref="AH736:AJ736"/>
    <mergeCell ref="AH735:AJ735"/>
    <mergeCell ref="EM670:EQ670"/>
    <mergeCell ref="DX656:EB656"/>
    <mergeCell ref="EC656:EG656"/>
    <mergeCell ref="EH656:EL656"/>
    <mergeCell ref="EM656:EQ656"/>
    <mergeCell ref="AH752:AJ752"/>
    <mergeCell ref="AH741:AJ741"/>
    <mergeCell ref="AK735:AO735"/>
    <mergeCell ref="AH739:AJ739"/>
    <mergeCell ref="AH740:AJ740"/>
    <mergeCell ref="A709:AT711"/>
    <mergeCell ref="G660:R660"/>
    <mergeCell ref="X714:AB717"/>
    <mergeCell ref="Z679:AE679"/>
    <mergeCell ref="H680:R680"/>
    <mergeCell ref="Z670:AK670"/>
    <mergeCell ref="G670:R670"/>
    <mergeCell ref="Z669:AK669"/>
    <mergeCell ref="E707:AK707"/>
    <mergeCell ref="W706:AK706"/>
    <mergeCell ref="AA688:AK688"/>
    <mergeCell ref="G677:R677"/>
    <mergeCell ref="Z678:AK678"/>
    <mergeCell ref="G685:R685"/>
    <mergeCell ref="N665:O665"/>
    <mergeCell ref="G667:R667"/>
    <mergeCell ref="AC731:AG731"/>
    <mergeCell ref="AC732:AG732"/>
    <mergeCell ref="G730:J730"/>
    <mergeCell ref="X730:AB730"/>
    <mergeCell ref="X731:AB731"/>
    <mergeCell ref="H688:R688"/>
    <mergeCell ref="Z675:AK675"/>
    <mergeCell ref="AE702:AF702"/>
    <mergeCell ref="AE693:AF693"/>
    <mergeCell ref="AE694:AF694"/>
    <mergeCell ref="AK727:AO727"/>
    <mergeCell ref="X734:AB734"/>
    <mergeCell ref="X733:AB733"/>
    <mergeCell ref="AK720:AO720"/>
    <mergeCell ref="AK721:AO721"/>
    <mergeCell ref="AK733:AO733"/>
    <mergeCell ref="AK734:AO734"/>
    <mergeCell ref="AH734:AJ734"/>
    <mergeCell ref="AH729:AJ729"/>
    <mergeCell ref="X722:AB722"/>
    <mergeCell ref="G679:L679"/>
    <mergeCell ref="X723:AB723"/>
    <mergeCell ref="G714:J717"/>
    <mergeCell ref="G668:R668"/>
    <mergeCell ref="P671:R671"/>
    <mergeCell ref="P687:R687"/>
    <mergeCell ref="J705:O705"/>
    <mergeCell ref="J704:X704"/>
    <mergeCell ref="O714:S717"/>
    <mergeCell ref="AI687:AK687"/>
    <mergeCell ref="AE696:AI696"/>
    <mergeCell ref="AH730:AJ730"/>
    <mergeCell ref="AE698:AI698"/>
    <mergeCell ref="AH721:AJ721"/>
    <mergeCell ref="AC714:AG717"/>
    <mergeCell ref="X719:AB719"/>
    <mergeCell ref="AG673:AH673"/>
    <mergeCell ref="AH720:AJ720"/>
    <mergeCell ref="X718:AB718"/>
    <mergeCell ref="AK726:AO726"/>
    <mergeCell ref="AK722:AO722"/>
    <mergeCell ref="AA680:AK680"/>
    <mergeCell ref="G732:J732"/>
    <mergeCell ref="DC652:DG652"/>
    <mergeCell ref="DC650:DG650"/>
    <mergeCell ref="AK731:AO731"/>
    <mergeCell ref="AK732:AO732"/>
    <mergeCell ref="DR654:DV654"/>
    <mergeCell ref="DR653:DV653"/>
    <mergeCell ref="DH651:DL651"/>
    <mergeCell ref="DM651:DQ651"/>
    <mergeCell ref="DR657:DV657"/>
    <mergeCell ref="AK728:AO728"/>
    <mergeCell ref="AK729:AO729"/>
    <mergeCell ref="DH654:DL654"/>
    <mergeCell ref="DM654:DQ654"/>
    <mergeCell ref="DH655:DL655"/>
    <mergeCell ref="DM655:DQ655"/>
    <mergeCell ref="BS655:BW655"/>
    <mergeCell ref="BX655:CB655"/>
    <mergeCell ref="DH653:DL653"/>
    <mergeCell ref="G671:L671"/>
    <mergeCell ref="G669:R669"/>
    <mergeCell ref="Z685:AK685"/>
    <mergeCell ref="CM660:CQ660"/>
    <mergeCell ref="CM649:CQ649"/>
    <mergeCell ref="DH649:DL649"/>
    <mergeCell ref="DM649:DQ649"/>
    <mergeCell ref="CS651:CW651"/>
    <mergeCell ref="AK723:AO723"/>
    <mergeCell ref="AK724:AO724"/>
    <mergeCell ref="AK725:AO725"/>
    <mergeCell ref="DC653:DG653"/>
    <mergeCell ref="AI663:AK663"/>
    <mergeCell ref="Z661:AK661"/>
    <mergeCell ref="X720:AB720"/>
    <mergeCell ref="CS655:CW655"/>
    <mergeCell ref="DH652:DL652"/>
    <mergeCell ref="DM652:DQ652"/>
    <mergeCell ref="CS653:CW653"/>
    <mergeCell ref="CX653:DB653"/>
    <mergeCell ref="CH660:CL660"/>
    <mergeCell ref="DH650:DL650"/>
    <mergeCell ref="DM650:DQ650"/>
    <mergeCell ref="CX649:DB649"/>
    <mergeCell ref="DC649:DG649"/>
    <mergeCell ref="BS651:BW651"/>
    <mergeCell ref="BS652:BW652"/>
    <mergeCell ref="CH651:CL651"/>
    <mergeCell ref="DM653:DQ653"/>
    <mergeCell ref="AH719:AJ719"/>
    <mergeCell ref="BN653:BR653"/>
    <mergeCell ref="BN654:BR654"/>
    <mergeCell ref="CC660:CG660"/>
    <mergeCell ref="BS660:BW660"/>
    <mergeCell ref="CC655:CG655"/>
    <mergeCell ref="CH655:CL655"/>
    <mergeCell ref="CM655:CQ655"/>
    <mergeCell ref="CC652:CG652"/>
    <mergeCell ref="CC653:CG653"/>
    <mergeCell ref="CC654:CG654"/>
    <mergeCell ref="CH650:CL650"/>
    <mergeCell ref="BS650:BW650"/>
    <mergeCell ref="BX653:CB653"/>
    <mergeCell ref="BX654:CB654"/>
    <mergeCell ref="DR651:DV651"/>
    <mergeCell ref="BN647:BR647"/>
    <mergeCell ref="BX651:CB651"/>
    <mergeCell ref="CM648:CQ648"/>
    <mergeCell ref="CC651:CG651"/>
    <mergeCell ref="BX649:CB649"/>
    <mergeCell ref="BX650:CB650"/>
    <mergeCell ref="CH648:CL648"/>
    <mergeCell ref="CC648:CG648"/>
    <mergeCell ref="CX651:DB651"/>
    <mergeCell ref="CM651:CQ651"/>
    <mergeCell ref="CH649:CL649"/>
    <mergeCell ref="BN655:BR655"/>
    <mergeCell ref="DR649:DV649"/>
    <mergeCell ref="DR652:DV652"/>
    <mergeCell ref="CC647:CG647"/>
    <mergeCell ref="CH652:CL652"/>
    <mergeCell ref="CH653:CL653"/>
    <mergeCell ref="CH654:CL654"/>
    <mergeCell ref="CM652:CQ652"/>
    <mergeCell ref="CM653:CQ653"/>
    <mergeCell ref="CM654:CQ654"/>
    <mergeCell ref="BX645:CB645"/>
    <mergeCell ref="CC649:CG649"/>
    <mergeCell ref="CC650:CG650"/>
    <mergeCell ref="DH647:DL647"/>
    <mergeCell ref="DM647:DQ647"/>
    <mergeCell ref="DR647:DV647"/>
    <mergeCell ref="CH647:CL647"/>
    <mergeCell ref="CS650:CW650"/>
    <mergeCell ref="CX650:DB650"/>
    <mergeCell ref="BN652:BR652"/>
    <mergeCell ref="BS648:BW648"/>
    <mergeCell ref="DH648:DL648"/>
    <mergeCell ref="DM648:DQ648"/>
    <mergeCell ref="DR648:DV648"/>
    <mergeCell ref="CS649:CW649"/>
    <mergeCell ref="CS654:CW654"/>
    <mergeCell ref="CX654:DB654"/>
    <mergeCell ref="DC654:DG654"/>
    <mergeCell ref="BS653:BW653"/>
    <mergeCell ref="BN651:BR651"/>
    <mergeCell ref="BN650:BR650"/>
    <mergeCell ref="BS649:BW649"/>
    <mergeCell ref="BX652:CB652"/>
    <mergeCell ref="CS647:CW647"/>
    <mergeCell ref="CX647:DB647"/>
    <mergeCell ref="DC647:DG647"/>
    <mergeCell ref="BN649:BR649"/>
    <mergeCell ref="BN648:BR648"/>
    <mergeCell ref="CM638:CQ638"/>
    <mergeCell ref="DH619:DL619"/>
    <mergeCell ref="DM619:DQ619"/>
    <mergeCell ref="DM631:DQ631"/>
    <mergeCell ref="DH631:DL631"/>
    <mergeCell ref="DM617:DQ617"/>
    <mergeCell ref="CS628:CW628"/>
    <mergeCell ref="DR622:DV622"/>
    <mergeCell ref="CS623:CW623"/>
    <mergeCell ref="CX655:DB655"/>
    <mergeCell ref="DC655:DG655"/>
    <mergeCell ref="DR655:DV655"/>
    <mergeCell ref="CS652:CW652"/>
    <mergeCell ref="CX652:DB652"/>
    <mergeCell ref="CS648:CW648"/>
    <mergeCell ref="BX648:CB648"/>
    <mergeCell ref="CM650:CQ650"/>
    <mergeCell ref="DR650:DV650"/>
    <mergeCell ref="CS632:CW632"/>
    <mergeCell ref="CX632:DB632"/>
    <mergeCell ref="CM647:CQ647"/>
    <mergeCell ref="CM646:CQ646"/>
    <mergeCell ref="BX647:CB647"/>
    <mergeCell ref="CX648:DB648"/>
    <mergeCell ref="DC648:DG648"/>
    <mergeCell ref="DM618:DQ618"/>
    <mergeCell ref="DR618:DV618"/>
    <mergeCell ref="DM645:DQ645"/>
    <mergeCell ref="DR645:DV645"/>
    <mergeCell ref="CC645:CG645"/>
    <mergeCell ref="CH637:CL637"/>
    <mergeCell ref="CH641:CL641"/>
    <mergeCell ref="BS637:BW637"/>
    <mergeCell ref="BN620:BR620"/>
    <mergeCell ref="BK629:BL629"/>
    <mergeCell ref="CM628:CQ628"/>
    <mergeCell ref="CC627:CG627"/>
    <mergeCell ref="CC621:CG621"/>
    <mergeCell ref="CH621:CL621"/>
    <mergeCell ref="CM621:CQ621"/>
    <mergeCell ref="BX622:CB622"/>
    <mergeCell ref="CM645:CQ645"/>
    <mergeCell ref="CC617:CG617"/>
    <mergeCell ref="CC619:CG619"/>
    <mergeCell ref="DR630:DV630"/>
    <mergeCell ref="DH630:DL630"/>
    <mergeCell ref="DH646:DL646"/>
    <mergeCell ref="DM646:DQ646"/>
    <mergeCell ref="DR646:DV646"/>
    <mergeCell ref="CS618:CW618"/>
    <mergeCell ref="CX618:DB618"/>
    <mergeCell ref="DC618:DG618"/>
    <mergeCell ref="DH645:DL645"/>
    <mergeCell ref="BX646:CB646"/>
    <mergeCell ref="CM632:CQ632"/>
    <mergeCell ref="CM637:CQ637"/>
    <mergeCell ref="CH630:CL630"/>
    <mergeCell ref="CS645:CW645"/>
    <mergeCell ref="CX645:DB645"/>
    <mergeCell ref="DC645:DG645"/>
    <mergeCell ref="CS646:CW646"/>
    <mergeCell ref="CH639:CL639"/>
    <mergeCell ref="CX646:DB646"/>
    <mergeCell ref="CH646:CL646"/>
    <mergeCell ref="AO641:AS641"/>
    <mergeCell ref="T629:V629"/>
    <mergeCell ref="DM632:DQ632"/>
    <mergeCell ref="DC631:DG631"/>
    <mergeCell ref="C637:L637"/>
    <mergeCell ref="M638:P638"/>
    <mergeCell ref="B641:AN641"/>
    <mergeCell ref="C638:L638"/>
    <mergeCell ref="BG621:BH621"/>
    <mergeCell ref="EM612:EQ612"/>
    <mergeCell ref="BN617:BR617"/>
    <mergeCell ref="DR619:DV619"/>
    <mergeCell ref="Z636:AB636"/>
    <mergeCell ref="Z637:AB637"/>
    <mergeCell ref="Z638:AB638"/>
    <mergeCell ref="W627:Y627"/>
    <mergeCell ref="CX614:DB614"/>
    <mergeCell ref="BS640:BW640"/>
    <mergeCell ref="BX639:CB639"/>
    <mergeCell ref="BX640:CB640"/>
    <mergeCell ref="CC640:CG640"/>
    <mergeCell ref="BS641:BW641"/>
    <mergeCell ref="AO639:AS639"/>
    <mergeCell ref="BE616:BF616"/>
    <mergeCell ref="CH612:CL612"/>
    <mergeCell ref="CC620:CG620"/>
    <mergeCell ref="BN626:BR626"/>
    <mergeCell ref="BG627:BH627"/>
    <mergeCell ref="BI627:BJ627"/>
    <mergeCell ref="BK627:BL627"/>
    <mergeCell ref="BE625:BF625"/>
    <mergeCell ref="CS624:CW624"/>
    <mergeCell ref="CX611:DB611"/>
    <mergeCell ref="DC611:DG611"/>
    <mergeCell ref="DH611:DL611"/>
    <mergeCell ref="CC622:CG622"/>
    <mergeCell ref="CH622:CL622"/>
    <mergeCell ref="CM622:CQ622"/>
    <mergeCell ref="BN629:BR629"/>
    <mergeCell ref="BS629:BW629"/>
    <mergeCell ref="DX612:EB612"/>
    <mergeCell ref="EC612:EG612"/>
    <mergeCell ref="DR615:DV615"/>
    <mergeCell ref="EM619:EQ619"/>
    <mergeCell ref="EC637:EG637"/>
    <mergeCell ref="EH637:EL637"/>
    <mergeCell ref="B624:L626"/>
    <mergeCell ref="M624:P626"/>
    <mergeCell ref="M627:P627"/>
    <mergeCell ref="M628:P628"/>
    <mergeCell ref="M629:P629"/>
    <mergeCell ref="M630:P630"/>
    <mergeCell ref="M631:P631"/>
    <mergeCell ref="M632:P632"/>
    <mergeCell ref="EM624:EQ624"/>
    <mergeCell ref="C627:L627"/>
    <mergeCell ref="C628:L628"/>
    <mergeCell ref="W628:Y628"/>
    <mergeCell ref="W629:Y629"/>
    <mergeCell ref="W630:Y630"/>
    <mergeCell ref="W631:Y631"/>
    <mergeCell ref="Q635:S635"/>
    <mergeCell ref="AK629:AN629"/>
    <mergeCell ref="AC633:AE633"/>
    <mergeCell ref="BN631:BR631"/>
    <mergeCell ref="AO629:AS629"/>
    <mergeCell ref="AF630:AJ630"/>
    <mergeCell ref="BE617:BF617"/>
    <mergeCell ref="BI618:BJ618"/>
    <mergeCell ref="BK618:BL618"/>
    <mergeCell ref="BI623:BJ623"/>
    <mergeCell ref="BK623:BL623"/>
    <mergeCell ref="BI617:BJ617"/>
    <mergeCell ref="BS620:BW620"/>
    <mergeCell ref="BX620:CB620"/>
    <mergeCell ref="BX629:CB629"/>
    <mergeCell ref="CC618:CG618"/>
    <mergeCell ref="CH632:CL632"/>
    <mergeCell ref="CX624:DB624"/>
    <mergeCell ref="DR631:DV631"/>
    <mergeCell ref="BX617:CB617"/>
    <mergeCell ref="DM630:DQ630"/>
    <mergeCell ref="BX631:CB631"/>
    <mergeCell ref="DR632:DV632"/>
    <mergeCell ref="AK631:AN631"/>
    <mergeCell ref="EH612:EL612"/>
    <mergeCell ref="DX630:EB630"/>
    <mergeCell ref="EC624:EG624"/>
    <mergeCell ref="EH624:EL624"/>
    <mergeCell ref="DX618:EB618"/>
    <mergeCell ref="EC618:EG618"/>
    <mergeCell ref="EH618:EL618"/>
    <mergeCell ref="CX609:DB609"/>
    <mergeCell ref="DC609:DG609"/>
    <mergeCell ref="DH609:DL609"/>
    <mergeCell ref="DC610:DG610"/>
    <mergeCell ref="DH610:DL610"/>
    <mergeCell ref="DR612:DV612"/>
    <mergeCell ref="CS611:CW611"/>
    <mergeCell ref="DX609:EB609"/>
    <mergeCell ref="DX619:EB619"/>
    <mergeCell ref="EC619:EG619"/>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ER655:EV655"/>
    <mergeCell ref="EH648:EL648"/>
    <mergeCell ref="EH651:EL651"/>
    <mergeCell ref="EH650:EL650"/>
    <mergeCell ref="ER612:EV612"/>
    <mergeCell ref="Z627:AB627"/>
    <mergeCell ref="CC637:CG637"/>
    <mergeCell ref="CC639:CG639"/>
    <mergeCell ref="DC630:DG630"/>
    <mergeCell ref="CS630:CW630"/>
    <mergeCell ref="CX630:DB630"/>
    <mergeCell ref="CS631:CW631"/>
    <mergeCell ref="CX631:DB631"/>
    <mergeCell ref="CH631:CL631"/>
    <mergeCell ref="DX632:EB632"/>
    <mergeCell ref="EC632:EG632"/>
    <mergeCell ref="DH614:DL614"/>
    <mergeCell ref="DM614:DQ614"/>
    <mergeCell ref="ER616:EV616"/>
    <mergeCell ref="CS619:CW619"/>
    <mergeCell ref="CX619:DB619"/>
    <mergeCell ref="DC619:DG619"/>
    <mergeCell ref="Z624:AB626"/>
    <mergeCell ref="DR617:DV617"/>
    <mergeCell ref="CS617:CW617"/>
    <mergeCell ref="CX617:DB617"/>
    <mergeCell ref="DC617:DG617"/>
    <mergeCell ref="DH617:DL617"/>
    <mergeCell ref="DH618:DL618"/>
    <mergeCell ref="BS618:BW618"/>
    <mergeCell ref="EH619:EL619"/>
    <mergeCell ref="DR616:DV616"/>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H655:EL655"/>
    <mergeCell ref="EM655:EQ655"/>
    <mergeCell ref="EH647:EL647"/>
    <mergeCell ref="EM647:EQ647"/>
    <mergeCell ref="DX648:EB648"/>
    <mergeCell ref="DX651:EB651"/>
    <mergeCell ref="EC651:EG651"/>
    <mergeCell ref="EM648:EQ648"/>
    <mergeCell ref="EM649:EQ649"/>
    <mergeCell ref="ER649:EV649"/>
    <mergeCell ref="DX652:EB652"/>
    <mergeCell ref="EC652:EG652"/>
    <mergeCell ref="ER651:EV651"/>
    <mergeCell ref="ER652:EV652"/>
    <mergeCell ref="EM651:EQ651"/>
    <mergeCell ref="EM646:EQ646"/>
    <mergeCell ref="EH652:EL652"/>
    <mergeCell ref="ER650:EV650"/>
    <mergeCell ref="EM650:EQ650"/>
    <mergeCell ref="DX653:EB653"/>
    <mergeCell ref="EC653:EG653"/>
    <mergeCell ref="DX654:EB654"/>
    <mergeCell ref="EC654:EG654"/>
    <mergeCell ref="EH654:EL654"/>
    <mergeCell ref="BX624:CB624"/>
    <mergeCell ref="CC624:CG624"/>
    <mergeCell ref="EH653:EL653"/>
    <mergeCell ref="EM653:EQ653"/>
    <mergeCell ref="ER653:EV653"/>
    <mergeCell ref="BX638:CB638"/>
    <mergeCell ref="BX637:CB637"/>
    <mergeCell ref="CH638:CL638"/>
    <mergeCell ref="CH640:CL640"/>
    <mergeCell ref="CM640:CQ640"/>
    <mergeCell ref="CM639:CQ639"/>
    <mergeCell ref="CM641:CQ641"/>
    <mergeCell ref="BX641:CB641"/>
    <mergeCell ref="CC641:CG641"/>
    <mergeCell ref="CH645:CL645"/>
    <mergeCell ref="DC646:DG646"/>
    <mergeCell ref="CC646:CG646"/>
    <mergeCell ref="EC650:EG650"/>
    <mergeCell ref="ER624:EV624"/>
    <mergeCell ref="CH628:CL628"/>
    <mergeCell ref="DC632:DG632"/>
    <mergeCell ref="DH632:DL632"/>
    <mergeCell ref="CM633:CQ633"/>
    <mergeCell ref="CC632:CG632"/>
    <mergeCell ref="CM630:CQ630"/>
    <mergeCell ref="CM631:CQ631"/>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M654:EQ654"/>
    <mergeCell ref="ER654:EV654"/>
    <mergeCell ref="EM652:EQ652"/>
    <mergeCell ref="DX650:EB650"/>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H644:EL644"/>
    <mergeCell ref="ER641:EV641"/>
    <mergeCell ref="EW642:FA642"/>
    <mergeCell ref="EW643:FA643"/>
    <mergeCell ref="DX644:EB644"/>
    <mergeCell ref="EC644:EG644"/>
    <mergeCell ref="EW644:FA644"/>
    <mergeCell ref="EC643:EG643"/>
    <mergeCell ref="EH643:EL643"/>
    <mergeCell ref="EM643:EQ643"/>
    <mergeCell ref="EH641:EL641"/>
    <mergeCell ref="EM641:EQ641"/>
    <mergeCell ref="EC641:EG641"/>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ER630:EV630"/>
    <mergeCell ref="EW630:FA630"/>
    <mergeCell ref="DX631:EB631"/>
    <mergeCell ref="EC631:EG631"/>
    <mergeCell ref="EH631:EL631"/>
    <mergeCell ref="EM631:EQ631"/>
    <mergeCell ref="ER631:EV631"/>
    <mergeCell ref="EM629:EQ629"/>
    <mergeCell ref="EW647:FA647"/>
    <mergeCell ref="ER619:EV619"/>
    <mergeCell ref="EW625:FA625"/>
    <mergeCell ref="EW626:FA626"/>
    <mergeCell ref="DX624:EB624"/>
    <mergeCell ref="EW636:FA636"/>
    <mergeCell ref="ER637:EV637"/>
    <mergeCell ref="DX620:EB620"/>
    <mergeCell ref="EC620:EG620"/>
    <mergeCell ref="EH620:EL620"/>
    <mergeCell ref="EW612:FA612"/>
    <mergeCell ref="EW618:FA618"/>
    <mergeCell ref="DX613:EB613"/>
    <mergeCell ref="EC613:EG613"/>
    <mergeCell ref="EH614:EL614"/>
    <mergeCell ref="EM614:EQ614"/>
    <mergeCell ref="ER614:EV614"/>
    <mergeCell ref="EW614:FA614"/>
    <mergeCell ref="DX615:EB615"/>
    <mergeCell ref="EC615:EG615"/>
    <mergeCell ref="EH615:EL615"/>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17:EB617"/>
    <mergeCell ref="EC617:EG617"/>
    <mergeCell ref="EH617:EL617"/>
    <mergeCell ref="EM617:EQ617"/>
    <mergeCell ref="ER617:EV617"/>
    <mergeCell ref="EW617:FA617"/>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EH609:EL609"/>
    <mergeCell ref="EM609:EQ609"/>
    <mergeCell ref="ER609:EV609"/>
    <mergeCell ref="DX607:EB607"/>
    <mergeCell ref="EC607:EG607"/>
    <mergeCell ref="EH607:EL607"/>
    <mergeCell ref="EC609:EG609"/>
    <mergeCell ref="EM599:EQ599"/>
    <mergeCell ref="ER599:EV599"/>
    <mergeCell ref="EW599:FA599"/>
    <mergeCell ref="DX599:EB599"/>
    <mergeCell ref="EC599:EG599"/>
    <mergeCell ref="EH599:EL599"/>
    <mergeCell ref="DX611:EB611"/>
    <mergeCell ref="EC611:EG611"/>
    <mergeCell ref="EH611:EL611"/>
    <mergeCell ref="EM611:EQ61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4:EL604"/>
    <mergeCell ref="EM607:EQ607"/>
    <mergeCell ref="ER607:EV607"/>
    <mergeCell ref="EW607:FA607"/>
    <mergeCell ref="DX608:EB608"/>
    <mergeCell ref="EC608:EG608"/>
    <mergeCell ref="EH608:EL608"/>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AJ1048:AQ1051"/>
    <mergeCell ref="U928:Z928"/>
    <mergeCell ref="AA928:AF928"/>
    <mergeCell ref="U929:Z929"/>
    <mergeCell ref="AA929:AF929"/>
    <mergeCell ref="U930:Z930"/>
    <mergeCell ref="U939:Z939"/>
    <mergeCell ref="F935:T935"/>
    <mergeCell ref="U935:Z935"/>
    <mergeCell ref="AA935:AF935"/>
    <mergeCell ref="U942:Z942"/>
    <mergeCell ref="AJ1015:AQ1018"/>
    <mergeCell ref="AJ1024:AQ1027"/>
    <mergeCell ref="AJ1028:AQ1030"/>
    <mergeCell ref="EH601:EL601"/>
    <mergeCell ref="DX604:EB604"/>
    <mergeCell ref="EC604:EG604"/>
    <mergeCell ref="DX600:EB600"/>
    <mergeCell ref="EC600:EG600"/>
    <mergeCell ref="EH600:EL600"/>
    <mergeCell ref="EM600:EQ600"/>
    <mergeCell ref="ER600:EV600"/>
    <mergeCell ref="EM608:EQ608"/>
    <mergeCell ref="ER608:EV608"/>
    <mergeCell ref="EW608:FA608"/>
    <mergeCell ref="EW616:FA616"/>
    <mergeCell ref="EM604:EQ604"/>
    <mergeCell ref="ER604:EV604"/>
    <mergeCell ref="EW604:FA604"/>
    <mergeCell ref="DX664:EB664"/>
    <mergeCell ref="EC664:EG664"/>
    <mergeCell ref="EH664:EL664"/>
    <mergeCell ref="BE624:BF624"/>
    <mergeCell ref="BG624:BH624"/>
    <mergeCell ref="BI624:BJ624"/>
    <mergeCell ref="AO634:AS634"/>
    <mergeCell ref="AF635:AJ635"/>
    <mergeCell ref="AO635:AS635"/>
    <mergeCell ref="AK634:AN634"/>
    <mergeCell ref="AK635:AN635"/>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AJ1044:AQ1047"/>
    <mergeCell ref="B752:F752"/>
    <mergeCell ref="O732:S732"/>
    <mergeCell ref="K746:N746"/>
    <mergeCell ref="O746:S746"/>
    <mergeCell ref="T746:W746"/>
    <mergeCell ref="K747:N747"/>
    <mergeCell ref="O747:S747"/>
    <mergeCell ref="T747:W747"/>
    <mergeCell ref="X751:AB751"/>
    <mergeCell ref="K740:N740"/>
    <mergeCell ref="X732:AB732"/>
    <mergeCell ref="K734:N734"/>
    <mergeCell ref="K735:N735"/>
    <mergeCell ref="K736:N736"/>
    <mergeCell ref="B733:F733"/>
    <mergeCell ref="B753:F753"/>
    <mergeCell ref="AC753:AG753"/>
    <mergeCell ref="O753:S753"/>
    <mergeCell ref="Z814:AE814"/>
    <mergeCell ref="Y831:AB831"/>
    <mergeCell ref="O752:S752"/>
    <mergeCell ref="D1007:AE1009"/>
    <mergeCell ref="AF1020:AI1021"/>
    <mergeCell ref="AF1022:AI1023"/>
    <mergeCell ref="M969:S969"/>
    <mergeCell ref="F914:T914"/>
    <mergeCell ref="AG829:AJ829"/>
    <mergeCell ref="B741:F741"/>
    <mergeCell ref="Z813:AE813"/>
    <mergeCell ref="Y825:AB825"/>
    <mergeCell ref="AC825:AF825"/>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D999:AE999"/>
    <mergeCell ref="D1000:AE1000"/>
    <mergeCell ref="D1001:AE1005"/>
    <mergeCell ref="D1010:AE1010"/>
    <mergeCell ref="D1011:AE1011"/>
    <mergeCell ref="I947:T947"/>
    <mergeCell ref="AA932:AF932"/>
    <mergeCell ref="M974:S974"/>
    <mergeCell ref="D984:Q984"/>
    <mergeCell ref="D985:Q985"/>
    <mergeCell ref="D1031:AE1031"/>
    <mergeCell ref="D1032:AE1034"/>
    <mergeCell ref="M970:S970"/>
    <mergeCell ref="M955:S955"/>
    <mergeCell ref="R984:AA984"/>
    <mergeCell ref="B731:F731"/>
    <mergeCell ref="B730:F730"/>
    <mergeCell ref="O731:S731"/>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U829:X829"/>
    <mergeCell ref="U827:X827"/>
    <mergeCell ref="Q825:T825"/>
    <mergeCell ref="X745:AB745"/>
    <mergeCell ref="X746:AB746"/>
    <mergeCell ref="X747:AB747"/>
    <mergeCell ref="X748:AB748"/>
    <mergeCell ref="X749:AB749"/>
    <mergeCell ref="X750:AB750"/>
    <mergeCell ref="G739:J739"/>
    <mergeCell ref="X735:AB735"/>
    <mergeCell ref="X736:AB736"/>
    <mergeCell ref="X737:AB737"/>
    <mergeCell ref="O741:S741"/>
    <mergeCell ref="G753:J753"/>
    <mergeCell ref="T736:W736"/>
    <mergeCell ref="X740:AB740"/>
    <mergeCell ref="C828:H828"/>
    <mergeCell ref="M828:P828"/>
    <mergeCell ref="C827:H827"/>
    <mergeCell ref="X752:AB752"/>
    <mergeCell ref="AG826:AJ826"/>
    <mergeCell ref="AG825:AJ825"/>
    <mergeCell ref="AC794:AG794"/>
    <mergeCell ref="AC795:AG795"/>
    <mergeCell ref="O793:S793"/>
    <mergeCell ref="C829:H829"/>
    <mergeCell ref="Q828:T828"/>
    <mergeCell ref="J787:N787"/>
    <mergeCell ref="U828:X828"/>
    <mergeCell ref="K751:N751"/>
    <mergeCell ref="O751:S751"/>
    <mergeCell ref="T751:W751"/>
    <mergeCell ref="AC742:AG742"/>
    <mergeCell ref="AC743:AG743"/>
    <mergeCell ref="AC744:AG744"/>
    <mergeCell ref="Z807:AE807"/>
    <mergeCell ref="O774:S774"/>
    <mergeCell ref="O794:S794"/>
    <mergeCell ref="X769:AB772"/>
    <mergeCell ref="AC745:AG745"/>
    <mergeCell ref="AC746:AG746"/>
    <mergeCell ref="AC747:AG747"/>
    <mergeCell ref="K748:N748"/>
    <mergeCell ref="O748:S748"/>
    <mergeCell ref="G752:J752"/>
    <mergeCell ref="Y801:AC801"/>
    <mergeCell ref="T741:W741"/>
    <mergeCell ref="AF636:AJ636"/>
    <mergeCell ref="C560:L560"/>
    <mergeCell ref="M560:P560"/>
    <mergeCell ref="AD412:AE412"/>
    <mergeCell ref="M565:P565"/>
    <mergeCell ref="AG615:AH615"/>
    <mergeCell ref="AA606:AK606"/>
    <mergeCell ref="AC624:AE626"/>
    <mergeCell ref="AK628:AN628"/>
    <mergeCell ref="G612:R612"/>
    <mergeCell ref="AO630:AS630"/>
    <mergeCell ref="Z611:AK611"/>
    <mergeCell ref="AO636:AS636"/>
    <mergeCell ref="AO627:AS627"/>
    <mergeCell ref="T627:V627"/>
    <mergeCell ref="AK624:AN626"/>
    <mergeCell ref="AK627:AN627"/>
    <mergeCell ref="M633:P633"/>
    <mergeCell ref="M634:P634"/>
    <mergeCell ref="W632:Y632"/>
    <mergeCell ref="M562:P562"/>
    <mergeCell ref="M563:P563"/>
    <mergeCell ref="T634:V634"/>
    <mergeCell ref="G737:J737"/>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M959:S959"/>
    <mergeCell ref="Z900:AE900"/>
    <mergeCell ref="X741:AB741"/>
    <mergeCell ref="U826:X826"/>
    <mergeCell ref="AK714:AO717"/>
    <mergeCell ref="AK718:AO718"/>
    <mergeCell ref="AK719:AO719"/>
    <mergeCell ref="W878:AC878"/>
    <mergeCell ref="C830:H830"/>
    <mergeCell ref="K737:N737"/>
    <mergeCell ref="N673:O673"/>
    <mergeCell ref="G687:L687"/>
    <mergeCell ref="D1083:AK1085"/>
    <mergeCell ref="J792:N792"/>
    <mergeCell ref="B734:F734"/>
    <mergeCell ref="B736:F736"/>
    <mergeCell ref="J793:N793"/>
    <mergeCell ref="AC729:AG729"/>
    <mergeCell ref="O729:S729"/>
    <mergeCell ref="AC736:AG736"/>
    <mergeCell ref="T738:W738"/>
    <mergeCell ref="T744:W744"/>
    <mergeCell ref="K745:N745"/>
    <mergeCell ref="O745:S745"/>
    <mergeCell ref="T745:W745"/>
    <mergeCell ref="J794:N794"/>
    <mergeCell ref="J789:N789"/>
    <mergeCell ref="O790:S790"/>
    <mergeCell ref="T790:W790"/>
    <mergeCell ref="O797:S797"/>
    <mergeCell ref="J774:N774"/>
    <mergeCell ref="G740:J740"/>
    <mergeCell ref="T733:W733"/>
    <mergeCell ref="O734:S734"/>
    <mergeCell ref="K739:N739"/>
    <mergeCell ref="AC734:AG734"/>
    <mergeCell ref="AC735:AG735"/>
    <mergeCell ref="O783:S786"/>
    <mergeCell ref="O756:R756"/>
    <mergeCell ref="AG756:AJ756"/>
    <mergeCell ref="T776:W776"/>
    <mergeCell ref="AH749:AJ749"/>
    <mergeCell ref="AD759:AF759"/>
    <mergeCell ref="AC774:AG774"/>
    <mergeCell ref="T775:W775"/>
    <mergeCell ref="AH733:AJ733"/>
    <mergeCell ref="K750:N750"/>
    <mergeCell ref="O750:S750"/>
    <mergeCell ref="T750:W750"/>
    <mergeCell ref="T737:W737"/>
    <mergeCell ref="G738:J738"/>
    <mergeCell ref="G729:J729"/>
    <mergeCell ref="AC737:AG737"/>
    <mergeCell ref="T732:W732"/>
    <mergeCell ref="T731:W731"/>
    <mergeCell ref="AC796:AG796"/>
    <mergeCell ref="AC788:AG788"/>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47:Z947"/>
    <mergeCell ref="U934:Z934"/>
    <mergeCell ref="M827:P827"/>
    <mergeCell ref="J797:N797"/>
    <mergeCell ref="J795:N795"/>
    <mergeCell ref="C832:L832"/>
    <mergeCell ref="T794:W794"/>
    <mergeCell ref="T792:W792"/>
    <mergeCell ref="X788:AB788"/>
    <mergeCell ref="J790:N790"/>
    <mergeCell ref="AC789:AG789"/>
    <mergeCell ref="O733:S733"/>
    <mergeCell ref="O735:S735"/>
    <mergeCell ref="B738:F738"/>
    <mergeCell ref="AC740:AG740"/>
    <mergeCell ref="AC741:AG741"/>
    <mergeCell ref="D1098:AK1102"/>
    <mergeCell ref="D1103:AK1105"/>
    <mergeCell ref="X726:AB726"/>
    <mergeCell ref="AH723:AJ723"/>
    <mergeCell ref="A1094:B1094"/>
    <mergeCell ref="AE959:AK959"/>
    <mergeCell ref="AE960:AK960"/>
    <mergeCell ref="AA947:AF947"/>
    <mergeCell ref="T730:W730"/>
    <mergeCell ref="M966:S966"/>
    <mergeCell ref="O792:S792"/>
    <mergeCell ref="A1098:B1098"/>
    <mergeCell ref="G733:J733"/>
    <mergeCell ref="A1091:B1091"/>
    <mergeCell ref="K732:N732"/>
    <mergeCell ref="AJ990:AQ990"/>
    <mergeCell ref="W879:AC879"/>
    <mergeCell ref="A1103:B1103"/>
    <mergeCell ref="B732:F732"/>
    <mergeCell ref="W861:AC861"/>
    <mergeCell ref="D1094:AK1097"/>
    <mergeCell ref="D1070:AK1075"/>
    <mergeCell ref="C826:H826"/>
    <mergeCell ref="AA970:AG970"/>
    <mergeCell ref="AA924:AF924"/>
    <mergeCell ref="AE957:AK957"/>
    <mergeCell ref="T795:W795"/>
    <mergeCell ref="Q827:T827"/>
    <mergeCell ref="R987:AA987"/>
    <mergeCell ref="AH727:AJ727"/>
    <mergeCell ref="BS647:BW647"/>
    <mergeCell ref="BN641:BR641"/>
    <mergeCell ref="G736:J736"/>
    <mergeCell ref="DC651:DG651"/>
    <mergeCell ref="G651:R651"/>
    <mergeCell ref="G652:R652"/>
    <mergeCell ref="Z655:AE655"/>
    <mergeCell ref="AA656:AK656"/>
    <mergeCell ref="G655:L655"/>
    <mergeCell ref="H648:R648"/>
    <mergeCell ref="H656:R656"/>
    <mergeCell ref="AC769:AG772"/>
    <mergeCell ref="O777:S777"/>
    <mergeCell ref="T734:W734"/>
    <mergeCell ref="O775:S775"/>
    <mergeCell ref="K733:N733"/>
    <mergeCell ref="AH731:AJ731"/>
    <mergeCell ref="BN660:BR660"/>
    <mergeCell ref="X739:AB739"/>
    <mergeCell ref="C763:AR765"/>
    <mergeCell ref="C766:AR768"/>
    <mergeCell ref="B754:AH755"/>
    <mergeCell ref="AK739:AO739"/>
    <mergeCell ref="AH750:AJ750"/>
    <mergeCell ref="AH751:AJ751"/>
    <mergeCell ref="B737:F737"/>
    <mergeCell ref="B735:F735"/>
    <mergeCell ref="B739:F739"/>
    <mergeCell ref="Z677:AK677"/>
    <mergeCell ref="X721:AB721"/>
    <mergeCell ref="X727:AB727"/>
    <mergeCell ref="BN646:BR646"/>
    <mergeCell ref="AA664:AK664"/>
    <mergeCell ref="CB796:CH796"/>
    <mergeCell ref="BN796:BO796"/>
    <mergeCell ref="AH714:AJ717"/>
    <mergeCell ref="AH725:AJ725"/>
    <mergeCell ref="BI841:BL841"/>
    <mergeCell ref="AC823:AF824"/>
    <mergeCell ref="Z816:AE816"/>
    <mergeCell ref="AC773:AG773"/>
    <mergeCell ref="AC830:AF830"/>
    <mergeCell ref="Y828:AB828"/>
    <mergeCell ref="BX660:CB660"/>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BS645:BW645"/>
    <mergeCell ref="Q638:S638"/>
    <mergeCell ref="AO640:AS640"/>
    <mergeCell ref="DC614:DG614"/>
    <mergeCell ref="DH613:DL613"/>
    <mergeCell ref="DC612:DG612"/>
    <mergeCell ref="DM616:DQ616"/>
    <mergeCell ref="CS616:CW616"/>
    <mergeCell ref="CS614:CW614"/>
    <mergeCell ref="CX613:DB613"/>
    <mergeCell ref="CX616:DB616"/>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H610:CL610"/>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M596:CQ596"/>
    <mergeCell ref="CM597:CQ597"/>
    <mergeCell ref="CM598:CQ598"/>
    <mergeCell ref="AG390:AJ390"/>
    <mergeCell ref="BG602:BH602"/>
    <mergeCell ref="Q391:U391"/>
    <mergeCell ref="AD377:AE377"/>
    <mergeCell ref="AC371:AF371"/>
    <mergeCell ref="Q390:U390"/>
    <mergeCell ref="E368:AH369"/>
    <mergeCell ref="Q365:AG365"/>
    <mergeCell ref="P418:R418"/>
    <mergeCell ref="S392:U392"/>
    <mergeCell ref="G581:L581"/>
    <mergeCell ref="P572:R572"/>
    <mergeCell ref="R411:S411"/>
    <mergeCell ref="Q389:U389"/>
    <mergeCell ref="AJ357:AK357"/>
    <mergeCell ref="G572:L572"/>
    <mergeCell ref="Z586:AK586"/>
    <mergeCell ref="T561:V561"/>
    <mergeCell ref="S489:AK490"/>
    <mergeCell ref="I410:AE410"/>
    <mergeCell ref="G577:R577"/>
    <mergeCell ref="G594:R594"/>
    <mergeCell ref="Z594:AK594"/>
    <mergeCell ref="G601:R601"/>
    <mergeCell ref="P421:R421"/>
    <mergeCell ref="AH536:AK536"/>
    <mergeCell ref="AE554:AH554"/>
    <mergeCell ref="Z556:AD556"/>
    <mergeCell ref="AG379:AH379"/>
    <mergeCell ref="AM558:AS558"/>
    <mergeCell ref="AM556:AS556"/>
    <mergeCell ref="H573:R57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N372:Q372"/>
    <mergeCell ref="P424:Q424"/>
    <mergeCell ref="Q492:AK492"/>
    <mergeCell ref="AF418:AH418"/>
    <mergeCell ref="Z434:AA434"/>
    <mergeCell ref="H590:R590"/>
    <mergeCell ref="P613:R613"/>
    <mergeCell ref="AC636:AE636"/>
    <mergeCell ref="AC637:AE637"/>
    <mergeCell ref="G603:R603"/>
    <mergeCell ref="N607:O607"/>
    <mergeCell ref="P597:R597"/>
    <mergeCell ref="T633:V633"/>
    <mergeCell ref="Q637:S637"/>
    <mergeCell ref="G613:L613"/>
    <mergeCell ref="G604:R604"/>
    <mergeCell ref="Z604:AK604"/>
    <mergeCell ref="Q560:S560"/>
    <mergeCell ref="Q565:S565"/>
    <mergeCell ref="Q561:S561"/>
    <mergeCell ref="Z564:AD564"/>
    <mergeCell ref="Z565:AD565"/>
    <mergeCell ref="Z579:AK579"/>
    <mergeCell ref="C636:L636"/>
    <mergeCell ref="Z634:AB634"/>
    <mergeCell ref="Z635:AB635"/>
    <mergeCell ref="Z597:AE597"/>
    <mergeCell ref="Q636:S636"/>
    <mergeCell ref="T628:V628"/>
    <mergeCell ref="AC628:AE628"/>
    <mergeCell ref="W636:Y636"/>
    <mergeCell ref="W633:Y633"/>
    <mergeCell ref="P581:R581"/>
    <mergeCell ref="AI572:AK572"/>
    <mergeCell ref="AA582:AK582"/>
    <mergeCell ref="Q564:S564"/>
    <mergeCell ref="B566:AL566"/>
    <mergeCell ref="T565:V565"/>
    <mergeCell ref="BS631:BW631"/>
    <mergeCell ref="CC613:CG613"/>
    <mergeCell ref="BG613:BH613"/>
    <mergeCell ref="BK615:BL615"/>
    <mergeCell ref="CC614:CG614"/>
    <mergeCell ref="BS632:BW632"/>
    <mergeCell ref="BK631:BL631"/>
    <mergeCell ref="T558:V558"/>
    <mergeCell ref="W561:Y561"/>
    <mergeCell ref="W562:Y562"/>
    <mergeCell ref="W563:Y563"/>
    <mergeCell ref="W564:Y564"/>
    <mergeCell ref="T560:V560"/>
    <mergeCell ref="Z561:AD561"/>
    <mergeCell ref="AE559:AH559"/>
    <mergeCell ref="CM599:CQ599"/>
    <mergeCell ref="AM566:AS566"/>
    <mergeCell ref="BX606:CB606"/>
    <mergeCell ref="CM619:CQ619"/>
    <mergeCell ref="CH619:CL619"/>
    <mergeCell ref="CH626:CL626"/>
    <mergeCell ref="CM626:CQ626"/>
    <mergeCell ref="CC630:CG630"/>
    <mergeCell ref="BX632:CB632"/>
    <mergeCell ref="BS612:BW612"/>
    <mergeCell ref="BN616:BR616"/>
    <mergeCell ref="BE618:BF618"/>
    <mergeCell ref="BE619:BF619"/>
    <mergeCell ref="BI616:BJ616"/>
    <mergeCell ref="BX600:CB600"/>
    <mergeCell ref="AM561:AS561"/>
    <mergeCell ref="AM559:AS559"/>
    <mergeCell ref="CC638:CG638"/>
    <mergeCell ref="BN611:BR611"/>
    <mergeCell ref="BG608:BH608"/>
    <mergeCell ref="BK605:BL605"/>
    <mergeCell ref="CH617:CL617"/>
    <mergeCell ref="BN638:BR638"/>
    <mergeCell ref="CH611:CL611"/>
    <mergeCell ref="BS611:BW611"/>
    <mergeCell ref="BG609:BH609"/>
    <mergeCell ref="BE630:BF630"/>
    <mergeCell ref="BS617:BW617"/>
    <mergeCell ref="CC608:CG608"/>
    <mergeCell ref="CH606:CL606"/>
    <mergeCell ref="CM616:CQ616"/>
    <mergeCell ref="CM617:CQ617"/>
    <mergeCell ref="CM618:CQ618"/>
    <mergeCell ref="BE615:BF615"/>
    <mergeCell ref="BG619:BH619"/>
    <mergeCell ref="BX616:CB616"/>
    <mergeCell ref="CH618:CL618"/>
    <mergeCell ref="BI619:BJ619"/>
    <mergeCell ref="CC631:CG631"/>
    <mergeCell ref="CC612:CG612"/>
    <mergeCell ref="BS614:BW614"/>
    <mergeCell ref="BX630:CB630"/>
    <mergeCell ref="BG630:BH630"/>
    <mergeCell ref="BN614:BR614"/>
    <mergeCell ref="CH615:CL615"/>
    <mergeCell ref="CC615:CG615"/>
    <mergeCell ref="BK619:BL619"/>
    <mergeCell ref="CM612:CQ612"/>
    <mergeCell ref="CH608:CL608"/>
    <mergeCell ref="CH616:CL616"/>
    <mergeCell ref="CH614:CL614"/>
    <mergeCell ref="BN630:BR630"/>
    <mergeCell ref="BK630:BL630"/>
    <mergeCell ref="BX613:CB613"/>
    <mergeCell ref="BI631:BJ631"/>
    <mergeCell ref="CM611:CQ611"/>
    <mergeCell ref="BG617:BH617"/>
    <mergeCell ref="BS615:BW615"/>
    <mergeCell ref="CC611:CG611"/>
    <mergeCell ref="BI629:BJ629"/>
    <mergeCell ref="AF634:AJ634"/>
    <mergeCell ref="AO637:AS637"/>
    <mergeCell ref="BE628:BF628"/>
    <mergeCell ref="BI615:BJ615"/>
    <mergeCell ref="CM613:CQ613"/>
    <mergeCell ref="CM614:CQ614"/>
    <mergeCell ref="CM615:CQ615"/>
    <mergeCell ref="BG615:BH615"/>
    <mergeCell ref="AI613:AK613"/>
    <mergeCell ref="BI612:BJ612"/>
    <mergeCell ref="BS613:BW613"/>
    <mergeCell ref="BI611:BJ611"/>
    <mergeCell ref="BK612:BL612"/>
    <mergeCell ref="BG612:BH612"/>
    <mergeCell ref="BN612:BR612"/>
    <mergeCell ref="CH613:CL613"/>
    <mergeCell ref="BI620:BJ620"/>
    <mergeCell ref="BK620:BL620"/>
    <mergeCell ref="BE611:BF611"/>
    <mergeCell ref="BN613:BR613"/>
    <mergeCell ref="BN637:BR637"/>
    <mergeCell ref="W637:Y637"/>
    <mergeCell ref="W638:Y638"/>
    <mergeCell ref="BG614:BH614"/>
    <mergeCell ref="N615:O615"/>
    <mergeCell ref="AC634:AE634"/>
    <mergeCell ref="AC635:AE635"/>
    <mergeCell ref="W634:Y634"/>
    <mergeCell ref="AO632:AS632"/>
    <mergeCell ref="AK630:AN630"/>
    <mergeCell ref="T637:V637"/>
    <mergeCell ref="T638:V638"/>
    <mergeCell ref="Q624:S626"/>
    <mergeCell ref="AK637:AN637"/>
    <mergeCell ref="AK638:AN638"/>
    <mergeCell ref="AF633:AJ633"/>
    <mergeCell ref="AC638:AE638"/>
    <mergeCell ref="AF637:AJ637"/>
    <mergeCell ref="AF638:AJ638"/>
    <mergeCell ref="AC629:AE629"/>
    <mergeCell ref="BG623:BH623"/>
    <mergeCell ref="BE627:BF627"/>
    <mergeCell ref="T630:V630"/>
    <mergeCell ref="T631:V631"/>
    <mergeCell ref="T632:V632"/>
    <mergeCell ref="BE629:BF629"/>
    <mergeCell ref="BG629:BH629"/>
    <mergeCell ref="BE620:BF620"/>
    <mergeCell ref="BG620:BH620"/>
    <mergeCell ref="BE621:BF621"/>
    <mergeCell ref="AK636:AN636"/>
    <mergeCell ref="AF631:AJ631"/>
    <mergeCell ref="AF632:AJ632"/>
    <mergeCell ref="P647:R647"/>
    <mergeCell ref="AI647:AK647"/>
    <mergeCell ref="AO624:AS626"/>
    <mergeCell ref="AF629:AJ629"/>
    <mergeCell ref="G654:R654"/>
    <mergeCell ref="BS630:BW630"/>
    <mergeCell ref="BN639:BR639"/>
    <mergeCell ref="BN640:BR640"/>
    <mergeCell ref="BE613:BF613"/>
    <mergeCell ref="BN618:BR618"/>
    <mergeCell ref="BK617:BL617"/>
    <mergeCell ref="B639:AN639"/>
    <mergeCell ref="B640:AN640"/>
    <mergeCell ref="BN645:BR645"/>
    <mergeCell ref="AO638:AS638"/>
    <mergeCell ref="AF627:AJ627"/>
    <mergeCell ref="BE631:BF631"/>
    <mergeCell ref="AA614:AK614"/>
    <mergeCell ref="BE614:BF614"/>
    <mergeCell ref="BG616:BH616"/>
    <mergeCell ref="BG632:BH632"/>
    <mergeCell ref="BK632:BL632"/>
    <mergeCell ref="BN632:BR632"/>
    <mergeCell ref="M635:P635"/>
    <mergeCell ref="M636:P636"/>
    <mergeCell ref="BI630:BJ630"/>
    <mergeCell ref="BG631:BH631"/>
    <mergeCell ref="BS639:BW639"/>
    <mergeCell ref="BE623:BF623"/>
    <mergeCell ref="Z643:AK643"/>
    <mergeCell ref="AC631:AE631"/>
    <mergeCell ref="AC632:AE63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J849:V849"/>
    <mergeCell ref="AC893:AH893"/>
    <mergeCell ref="W855:AC855"/>
    <mergeCell ref="D1076:AK1082"/>
    <mergeCell ref="U919:Z919"/>
    <mergeCell ref="M967:S967"/>
    <mergeCell ref="AA966:AG966"/>
    <mergeCell ref="AA972:AG972"/>
    <mergeCell ref="AE961:AK961"/>
    <mergeCell ref="W863:AC863"/>
    <mergeCell ref="W849:AC849"/>
    <mergeCell ref="D1086:AK1090"/>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U937:Z937"/>
    <mergeCell ref="U927:Z927"/>
    <mergeCell ref="F938:T938"/>
    <mergeCell ref="F939:T939"/>
    <mergeCell ref="BG848:BL848"/>
    <mergeCell ref="D1064:AK1069"/>
    <mergeCell ref="T972:Z972"/>
    <mergeCell ref="I946:T946"/>
    <mergeCell ref="U924:Z924"/>
    <mergeCell ref="AA934:AF934"/>
    <mergeCell ref="AA917:AF917"/>
    <mergeCell ref="AA967:AG967"/>
    <mergeCell ref="F941:T941"/>
    <mergeCell ref="U941:Z941"/>
    <mergeCell ref="AA941:AF941"/>
    <mergeCell ref="F943:T943"/>
    <mergeCell ref="U943:Z943"/>
    <mergeCell ref="AA943:AF943"/>
    <mergeCell ref="F929:T929"/>
    <mergeCell ref="F930:T930"/>
    <mergeCell ref="F931:T931"/>
    <mergeCell ref="W875:AC875"/>
    <mergeCell ref="T858:V858"/>
    <mergeCell ref="T860:V860"/>
    <mergeCell ref="W862:AC862"/>
    <mergeCell ref="W866:AC866"/>
    <mergeCell ref="W867:AC867"/>
    <mergeCell ref="W868:AC868"/>
    <mergeCell ref="W869:AC869"/>
    <mergeCell ref="W865:AC865"/>
    <mergeCell ref="AC892:AH892"/>
    <mergeCell ref="F915:T916"/>
    <mergeCell ref="AA930:AF930"/>
    <mergeCell ref="U931:Z931"/>
    <mergeCell ref="AA931:AF931"/>
    <mergeCell ref="F937:T937"/>
    <mergeCell ref="BD905:BF905"/>
    <mergeCell ref="M876:V876"/>
    <mergeCell ref="AC885:AH885"/>
    <mergeCell ref="BD904:BF904"/>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AC888:AH888"/>
    <mergeCell ref="M878:V878"/>
    <mergeCell ref="AC883:AH883"/>
    <mergeCell ref="U938:Z938"/>
    <mergeCell ref="Z901:AE901"/>
    <mergeCell ref="AC891:AH891"/>
    <mergeCell ref="C893:AB893"/>
    <mergeCell ref="BD902:BE902"/>
    <mergeCell ref="M877:V877"/>
    <mergeCell ref="AC894:AH894"/>
    <mergeCell ref="AZ851:BA851"/>
    <mergeCell ref="W876:AC876"/>
    <mergeCell ref="M861:V861"/>
    <mergeCell ref="BD898:BE898"/>
    <mergeCell ref="BD900:BE900"/>
    <mergeCell ref="BD901:BE901"/>
    <mergeCell ref="BD899:BE899"/>
    <mergeCell ref="M875:V875"/>
    <mergeCell ref="W877:AC877"/>
    <mergeCell ref="AC886:AH886"/>
    <mergeCell ref="W874:AC874"/>
    <mergeCell ref="M871:V871"/>
    <mergeCell ref="W870:AC870"/>
    <mergeCell ref="C894:AB894"/>
    <mergeCell ref="Z898:AE898"/>
    <mergeCell ref="W872:AC872"/>
    <mergeCell ref="AC884:AH884"/>
    <mergeCell ref="W871:AC871"/>
    <mergeCell ref="W851:AC851"/>
    <mergeCell ref="Z899:AE899"/>
    <mergeCell ref="W859:AC859"/>
    <mergeCell ref="W857:AC857"/>
    <mergeCell ref="Q826:T826"/>
    <mergeCell ref="M832:P832"/>
    <mergeCell ref="AG832:AJ832"/>
    <mergeCell ref="AC832:AF832"/>
    <mergeCell ref="F831:L831"/>
    <mergeCell ref="Z817:AE817"/>
    <mergeCell ref="X795:AB795"/>
    <mergeCell ref="AC790:AG790"/>
    <mergeCell ref="Y826:AB826"/>
    <mergeCell ref="M831:P831"/>
    <mergeCell ref="J783:N786"/>
    <mergeCell ref="U823:X824"/>
    <mergeCell ref="Z806:AE806"/>
    <mergeCell ref="C825:H825"/>
    <mergeCell ref="AG828:AJ828"/>
    <mergeCell ref="M826:P826"/>
    <mergeCell ref="X789:AB789"/>
    <mergeCell ref="X790:AB790"/>
    <mergeCell ref="X791:AB791"/>
    <mergeCell ref="U831:X831"/>
    <mergeCell ref="M830:P830"/>
    <mergeCell ref="AC828:AF828"/>
    <mergeCell ref="W847:AC847"/>
    <mergeCell ref="W844:AC844"/>
    <mergeCell ref="W845:AC845"/>
    <mergeCell ref="W843:AC843"/>
    <mergeCell ref="W842:AC842"/>
    <mergeCell ref="W846:AC846"/>
    <mergeCell ref="M829:P829"/>
    <mergeCell ref="G735:J735"/>
    <mergeCell ref="T773:W773"/>
    <mergeCell ref="Z815:AE815"/>
    <mergeCell ref="Z808:AE808"/>
    <mergeCell ref="Q832:T832"/>
    <mergeCell ref="X794:AB794"/>
    <mergeCell ref="T796:W796"/>
    <mergeCell ref="X774:AB774"/>
    <mergeCell ref="AG830:AJ830"/>
    <mergeCell ref="J788:N788"/>
    <mergeCell ref="Z818:AE818"/>
    <mergeCell ref="AC826:AF826"/>
    <mergeCell ref="AC827:AF827"/>
    <mergeCell ref="AC777:AG777"/>
    <mergeCell ref="Q823:T824"/>
    <mergeCell ref="Z809:AE809"/>
    <mergeCell ref="AC831:AF831"/>
    <mergeCell ref="Q829:T829"/>
    <mergeCell ref="Y827:AB827"/>
    <mergeCell ref="O796:S796"/>
    <mergeCell ref="X777:AB777"/>
    <mergeCell ref="M825:P825"/>
    <mergeCell ref="U825:X825"/>
    <mergeCell ref="M823:P824"/>
    <mergeCell ref="O791:S791"/>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J769:N772"/>
    <mergeCell ref="AG823:AJ824"/>
    <mergeCell ref="AC797:AG797"/>
    <mergeCell ref="AC787:AG787"/>
    <mergeCell ref="T791:W791"/>
    <mergeCell ref="T787:W787"/>
    <mergeCell ref="T788:W788"/>
    <mergeCell ref="Y800:AC800"/>
    <mergeCell ref="Y823:AB824"/>
    <mergeCell ref="O795:S795"/>
    <mergeCell ref="AC791:AG791"/>
    <mergeCell ref="AC792:AG792"/>
    <mergeCell ref="O787:S787"/>
    <mergeCell ref="T774:W774"/>
    <mergeCell ref="J779:K779"/>
    <mergeCell ref="AE699:AI699"/>
    <mergeCell ref="AA648:AK648"/>
    <mergeCell ref="M558:P558"/>
    <mergeCell ref="G585:R585"/>
    <mergeCell ref="AG575:AH575"/>
    <mergeCell ref="Z568:AK568"/>
    <mergeCell ref="P589:R589"/>
    <mergeCell ref="AF628:AJ628"/>
    <mergeCell ref="M554:P554"/>
    <mergeCell ref="G646:R646"/>
    <mergeCell ref="G645:R645"/>
    <mergeCell ref="T789:W789"/>
    <mergeCell ref="AK745:AO745"/>
    <mergeCell ref="AK746:AO746"/>
    <mergeCell ref="AK747:AO747"/>
    <mergeCell ref="AK748:AO748"/>
    <mergeCell ref="AK749:AO749"/>
    <mergeCell ref="AK750:AO750"/>
    <mergeCell ref="AK751:AO751"/>
    <mergeCell ref="AH745:AJ745"/>
    <mergeCell ref="AH746:AJ746"/>
    <mergeCell ref="AH747:AJ747"/>
    <mergeCell ref="AH748:AJ748"/>
    <mergeCell ref="X728:AB728"/>
    <mergeCell ref="C561:L561"/>
    <mergeCell ref="AG657:AH657"/>
    <mergeCell ref="G661:R661"/>
    <mergeCell ref="G593:R593"/>
    <mergeCell ref="Z559:AD559"/>
    <mergeCell ref="Z560:AD560"/>
    <mergeCell ref="T769:W772"/>
    <mergeCell ref="Z653:AK653"/>
    <mergeCell ref="C630:L630"/>
    <mergeCell ref="AG681:AH681"/>
    <mergeCell ref="Z613:AE613"/>
    <mergeCell ref="Z602:AK602"/>
    <mergeCell ref="H664:R664"/>
    <mergeCell ref="AK632:AN632"/>
    <mergeCell ref="W635:Y635"/>
    <mergeCell ref="AE557:AH557"/>
    <mergeCell ref="M557:P557"/>
    <mergeCell ref="Z555:AD555"/>
    <mergeCell ref="AG599:AH599"/>
    <mergeCell ref="AI597:AK597"/>
    <mergeCell ref="AG607:AH607"/>
    <mergeCell ref="N575:O575"/>
    <mergeCell ref="AM560:AS560"/>
    <mergeCell ref="G644:R644"/>
    <mergeCell ref="Z659:AK659"/>
    <mergeCell ref="N657:O657"/>
    <mergeCell ref="Z660:AK660"/>
    <mergeCell ref="AO633:AS633"/>
    <mergeCell ref="AO628:AS628"/>
    <mergeCell ref="AO631:AS631"/>
    <mergeCell ref="C564:L564"/>
    <mergeCell ref="M564:P564"/>
    <mergeCell ref="C565:L565"/>
    <mergeCell ref="AM565:AS565"/>
    <mergeCell ref="AE563:AH563"/>
    <mergeCell ref="C562:L562"/>
    <mergeCell ref="AI655:AK655"/>
    <mergeCell ref="G662:R662"/>
    <mergeCell ref="Z647:AE647"/>
    <mergeCell ref="Z652:AK652"/>
    <mergeCell ref="Q394:U394"/>
    <mergeCell ref="AC456:AF456"/>
    <mergeCell ref="D444:AF444"/>
    <mergeCell ref="AH519:AK519"/>
    <mergeCell ref="Q559:S559"/>
    <mergeCell ref="AM564:AS564"/>
    <mergeCell ref="AM563:AS563"/>
    <mergeCell ref="H614:R614"/>
    <mergeCell ref="AI581:AK581"/>
    <mergeCell ref="G568:R568"/>
    <mergeCell ref="M574:R574"/>
    <mergeCell ref="Z601:AK601"/>
    <mergeCell ref="W556:Y556"/>
    <mergeCell ref="AE564:AH564"/>
    <mergeCell ref="AF624:AJ626"/>
    <mergeCell ref="Z610:AK610"/>
    <mergeCell ref="T564:V564"/>
    <mergeCell ref="AI556:AL556"/>
    <mergeCell ref="Z581:AE581"/>
    <mergeCell ref="AF574:AK574"/>
    <mergeCell ref="Z603:AK603"/>
    <mergeCell ref="AI605:AK605"/>
    <mergeCell ref="W624:Y626"/>
    <mergeCell ref="T624:V626"/>
    <mergeCell ref="G611:R611"/>
    <mergeCell ref="AI589:AK589"/>
    <mergeCell ref="Z596:AK596"/>
    <mergeCell ref="H598:R598"/>
    <mergeCell ref="G597:L597"/>
    <mergeCell ref="AG591:AH591"/>
    <mergeCell ref="G610:R610"/>
    <mergeCell ref="A617:AT618"/>
    <mergeCell ref="B729:F729"/>
    <mergeCell ref="AI560:AL560"/>
    <mergeCell ref="T562:V562"/>
    <mergeCell ref="O529:AA529"/>
    <mergeCell ref="AH533:AK533"/>
    <mergeCell ref="AI563:AL563"/>
    <mergeCell ref="Z562:AD562"/>
    <mergeCell ref="Z563:AD563"/>
    <mergeCell ref="AI564:AL564"/>
    <mergeCell ref="Z554:AD554"/>
    <mergeCell ref="AH726:AJ726"/>
    <mergeCell ref="N649:O649"/>
    <mergeCell ref="Z630:AB630"/>
    <mergeCell ref="Z631:AB631"/>
    <mergeCell ref="Z632:AB632"/>
    <mergeCell ref="Z633:AB633"/>
    <mergeCell ref="T729:W729"/>
    <mergeCell ref="AH728:AJ728"/>
    <mergeCell ref="P655:R655"/>
    <mergeCell ref="AC630:AE630"/>
    <mergeCell ref="Z651:AK651"/>
    <mergeCell ref="P605:R605"/>
    <mergeCell ref="AG583:AH583"/>
    <mergeCell ref="Q563:S563"/>
    <mergeCell ref="AI565:AL565"/>
    <mergeCell ref="AI559:AL559"/>
    <mergeCell ref="C557:L557"/>
    <mergeCell ref="C556:L556"/>
    <mergeCell ref="AG665:AH665"/>
    <mergeCell ref="G653:R653"/>
    <mergeCell ref="C635:L635"/>
    <mergeCell ref="C629:L629"/>
    <mergeCell ref="N370:Q370"/>
    <mergeCell ref="AA339:AF339"/>
    <mergeCell ref="AC347:AE347"/>
    <mergeCell ref="P343:AE343"/>
    <mergeCell ref="AA340:AF340"/>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P346:AE346"/>
    <mergeCell ref="P344:AE344"/>
    <mergeCell ref="AJ356:AK356"/>
    <mergeCell ref="H305:R305"/>
    <mergeCell ref="AA300:AF300"/>
    <mergeCell ref="AA336:AK336"/>
    <mergeCell ref="AA329:AK329"/>
    <mergeCell ref="P331:R331"/>
    <mergeCell ref="H333:R333"/>
    <mergeCell ref="H330:R330"/>
    <mergeCell ref="AA321:AK321"/>
    <mergeCell ref="H325:R325"/>
    <mergeCell ref="H307:M307"/>
    <mergeCell ref="M263:R263"/>
    <mergeCell ref="M265:T265"/>
    <mergeCell ref="AA314:AK314"/>
    <mergeCell ref="AA313:AK313"/>
    <mergeCell ref="H319:R319"/>
    <mergeCell ref="AA316:AF316"/>
    <mergeCell ref="AA297:AK297"/>
    <mergeCell ref="D205:M205"/>
    <mergeCell ref="AI323:AK323"/>
    <mergeCell ref="T193:AI193"/>
    <mergeCell ref="AA335:AK335"/>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27:AK327"/>
    <mergeCell ref="AA291:AF291"/>
    <mergeCell ref="AA331:AF331"/>
    <mergeCell ref="AI291:AK291"/>
    <mergeCell ref="P315:R315"/>
    <mergeCell ref="Z263:AE263"/>
    <mergeCell ref="H311:R311"/>
    <mergeCell ref="H308:M308"/>
    <mergeCell ref="P307:R307"/>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A311:AK311"/>
    <mergeCell ref="AA306:AK306"/>
    <mergeCell ref="AA303:AK303"/>
    <mergeCell ref="AA309:AK309"/>
    <mergeCell ref="P204:U204"/>
    <mergeCell ref="AH195:AI195"/>
    <mergeCell ref="AH196:AI196"/>
    <mergeCell ref="U176:V176"/>
    <mergeCell ref="AH194:AI194"/>
    <mergeCell ref="H306:R306"/>
    <mergeCell ref="H288:R288"/>
    <mergeCell ref="AA290:AK290"/>
    <mergeCell ref="W234:X234"/>
    <mergeCell ref="AB212:AC212"/>
    <mergeCell ref="AF243:AK243"/>
    <mergeCell ref="D220:Z220"/>
    <mergeCell ref="AA304:AK304"/>
    <mergeCell ref="AA288:AK288"/>
    <mergeCell ref="H287:R287"/>
    <mergeCell ref="A83:AT84"/>
    <mergeCell ref="Z255:AE255"/>
    <mergeCell ref="M255:R255"/>
    <mergeCell ref="M253:T253"/>
    <mergeCell ref="M262:AE262"/>
    <mergeCell ref="AA299:AF299"/>
    <mergeCell ref="AA287:AK287"/>
    <mergeCell ref="T267:X267"/>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M254:AE254"/>
    <mergeCell ref="J173:S173"/>
    <mergeCell ref="O155:AH155"/>
    <mergeCell ref="D270:H270"/>
    <mergeCell ref="X270:AC270"/>
    <mergeCell ref="A86:AT87"/>
    <mergeCell ref="A89:AT90"/>
    <mergeCell ref="A92:AT98"/>
    <mergeCell ref="A100:AT103"/>
    <mergeCell ref="I184:AE184"/>
    <mergeCell ref="X176:Y176"/>
    <mergeCell ref="X180:Y180"/>
    <mergeCell ref="AP205:AQ205"/>
    <mergeCell ref="O161:AH161"/>
    <mergeCell ref="D164:AH164"/>
    <mergeCell ref="M249:T249"/>
    <mergeCell ref="O153:AH153"/>
    <mergeCell ref="O154:AH154"/>
    <mergeCell ref="O156:AH156"/>
    <mergeCell ref="O157:X157"/>
    <mergeCell ref="O158:R158"/>
    <mergeCell ref="W159:X159"/>
    <mergeCell ref="O159:T159"/>
    <mergeCell ref="AH254:AK254"/>
    <mergeCell ref="P113:S113"/>
    <mergeCell ref="I185:AE185"/>
    <mergeCell ref="M236:R236"/>
    <mergeCell ref="Z236:AE236"/>
    <mergeCell ref="AF251:AK251"/>
    <mergeCell ref="M244:AE244"/>
    <mergeCell ref="I190:N190"/>
    <mergeCell ref="G113:H113"/>
    <mergeCell ref="Y120:AK120"/>
    <mergeCell ref="C115:K115"/>
    <mergeCell ref="O160:T160"/>
    <mergeCell ref="F150:T150"/>
    <mergeCell ref="AF178:AG178"/>
    <mergeCell ref="M252:AE252"/>
    <mergeCell ref="T196:U196"/>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A105:AT106"/>
    <mergeCell ref="L113:O113"/>
    <mergeCell ref="U247:W247"/>
    <mergeCell ref="M237:AE237"/>
    <mergeCell ref="AI227:AJ227"/>
    <mergeCell ref="Y123:AK123"/>
    <mergeCell ref="AC245:AE245"/>
    <mergeCell ref="M246:AE246"/>
    <mergeCell ref="AA238:AK238"/>
    <mergeCell ref="AI178:AK178"/>
    <mergeCell ref="AH262:AK262"/>
    <mergeCell ref="M247:R247"/>
    <mergeCell ref="M245:T245"/>
    <mergeCell ref="D208:M208"/>
    <mergeCell ref="M234:T234"/>
    <mergeCell ref="AC386:AJ386"/>
    <mergeCell ref="Q393:U393"/>
    <mergeCell ref="AG380:AH380"/>
    <mergeCell ref="M259:AE259"/>
    <mergeCell ref="AA293:AK293"/>
    <mergeCell ref="W261:X261"/>
    <mergeCell ref="U263:W263"/>
    <mergeCell ref="M257:T257"/>
    <mergeCell ref="M256:AE256"/>
    <mergeCell ref="P291:R291"/>
    <mergeCell ref="L274:AJ274"/>
    <mergeCell ref="AA307:AF307"/>
    <mergeCell ref="H313:R313"/>
    <mergeCell ref="H289:R289"/>
    <mergeCell ref="H291:M291"/>
    <mergeCell ref="H299:M299"/>
    <mergeCell ref="H300:M300"/>
    <mergeCell ref="AA257:AK257"/>
    <mergeCell ref="M260:AE260"/>
    <mergeCell ref="AA265:AK265"/>
    <mergeCell ref="H295:R295"/>
    <mergeCell ref="H304:R304"/>
    <mergeCell ref="H303:R303"/>
    <mergeCell ref="AA308:AF308"/>
    <mergeCell ref="AA305:AK305"/>
    <mergeCell ref="M261:T261"/>
    <mergeCell ref="H329:R329"/>
    <mergeCell ref="H335:R335"/>
    <mergeCell ref="AI315:AK315"/>
    <mergeCell ref="AA312:AK312"/>
    <mergeCell ref="AA324:AF324"/>
    <mergeCell ref="H328:R328"/>
    <mergeCell ref="H293:R293"/>
    <mergeCell ref="M264:AE26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D470:V470"/>
    <mergeCell ref="AG441:AJ441"/>
    <mergeCell ref="AH528:AK528"/>
    <mergeCell ref="B514:H516"/>
    <mergeCell ref="D443:AF443"/>
    <mergeCell ref="I418:K418"/>
    <mergeCell ref="S413:T413"/>
    <mergeCell ref="H338:R338"/>
    <mergeCell ref="AG393:AJ393"/>
    <mergeCell ref="AG391:AJ391"/>
    <mergeCell ref="K404:AJ404"/>
    <mergeCell ref="CC607:CG607"/>
    <mergeCell ref="CC598:CG598"/>
    <mergeCell ref="CC605:CG605"/>
    <mergeCell ref="CH605:CL605"/>
    <mergeCell ref="BG598:BH598"/>
    <mergeCell ref="AA320:AK320"/>
    <mergeCell ref="AA337:AK337"/>
    <mergeCell ref="H327:R327"/>
    <mergeCell ref="AA333:AK333"/>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E402:AJ402"/>
    <mergeCell ref="AC385:AJ385"/>
    <mergeCell ref="H336:R336"/>
    <mergeCell ref="H332:M332"/>
    <mergeCell ref="CH597:CL597"/>
    <mergeCell ref="BX598:CB598"/>
    <mergeCell ref="CH598:CL598"/>
    <mergeCell ref="BS596:BW596"/>
    <mergeCell ref="BK604:BL604"/>
    <mergeCell ref="BX597:CB597"/>
    <mergeCell ref="CH596:CL596"/>
    <mergeCell ref="CH601:CL601"/>
    <mergeCell ref="BS603:BW603"/>
    <mergeCell ref="BN604:BR604"/>
    <mergeCell ref="BN598:BR598"/>
    <mergeCell ref="BG603:BH603"/>
    <mergeCell ref="BS605:BW605"/>
    <mergeCell ref="BX605:CB605"/>
    <mergeCell ref="BI601:BJ601"/>
    <mergeCell ref="BI600:BJ600"/>
    <mergeCell ref="BN603:BR603"/>
    <mergeCell ref="BK597:BL597"/>
    <mergeCell ref="BI599:BJ599"/>
    <mergeCell ref="BX602:CB602"/>
    <mergeCell ref="CC601:CG601"/>
    <mergeCell ref="CC602:CG602"/>
    <mergeCell ref="CC597:CG597"/>
    <mergeCell ref="BI605:BJ605"/>
    <mergeCell ref="BX599:CB599"/>
    <mergeCell ref="BS597:BW597"/>
    <mergeCell ref="BK609:BL609"/>
    <mergeCell ref="BI606:BJ606"/>
    <mergeCell ref="BG605:BH605"/>
    <mergeCell ref="BI608:BJ608"/>
    <mergeCell ref="BG610:BH610"/>
    <mergeCell ref="BK600:BL600"/>
    <mergeCell ref="BG596:BH596"/>
    <mergeCell ref="BG599:BH599"/>
    <mergeCell ref="BX607:CB607"/>
    <mergeCell ref="BS598:BW598"/>
    <mergeCell ref="BS599:BW599"/>
    <mergeCell ref="BS604:BW604"/>
    <mergeCell ref="BS602:BW602"/>
    <mergeCell ref="BS608:BW608"/>
    <mergeCell ref="BN608:BR608"/>
    <mergeCell ref="BI604:BJ604"/>
    <mergeCell ref="BN602:BR602"/>
    <mergeCell ref="BS606:BW606"/>
    <mergeCell ref="BI603:BJ603"/>
    <mergeCell ref="BI609:BJ609"/>
    <mergeCell ref="BN601:BR601"/>
    <mergeCell ref="BN597:BR597"/>
    <mergeCell ref="BG597:BH597"/>
    <mergeCell ref="BI597:BJ597"/>
    <mergeCell ref="BI607:BJ607"/>
    <mergeCell ref="BX610:CB610"/>
    <mergeCell ref="BK603:BL603"/>
    <mergeCell ref="BG604:BH604"/>
    <mergeCell ref="BN606:BR606"/>
    <mergeCell ref="BK606:BL606"/>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E605:BF605"/>
    <mergeCell ref="BE603:BF603"/>
    <mergeCell ref="BS621:BW621"/>
    <mergeCell ref="BX621:CB621"/>
    <mergeCell ref="BN622:BR622"/>
    <mergeCell ref="BS622:BW622"/>
    <mergeCell ref="BI610:BJ610"/>
    <mergeCell ref="BS609:BW609"/>
    <mergeCell ref="BK614:BL614"/>
    <mergeCell ref="BI613:BJ613"/>
    <mergeCell ref="BK613:BL613"/>
    <mergeCell ref="CC616:CG616"/>
    <mergeCell ref="BX609:CB609"/>
    <mergeCell ref="BS619:BW619"/>
    <mergeCell ref="BG618:BH618"/>
    <mergeCell ref="BS616:BW616"/>
    <mergeCell ref="BE600:BF600"/>
    <mergeCell ref="BK596:BL596"/>
    <mergeCell ref="BK601:BL601"/>
    <mergeCell ref="BG625:BH625"/>
    <mergeCell ref="BN627:BR627"/>
    <mergeCell ref="BS627:BW627"/>
    <mergeCell ref="BE609:BF609"/>
    <mergeCell ref="BE607:BF607"/>
    <mergeCell ref="BE608:BF608"/>
    <mergeCell ref="BE610:BF610"/>
    <mergeCell ref="BG607:BH607"/>
    <mergeCell ref="BS610:BW610"/>
    <mergeCell ref="BX603:CB603"/>
    <mergeCell ref="BN610:BR610"/>
    <mergeCell ref="BX619:CB619"/>
    <mergeCell ref="BX618:CB618"/>
    <mergeCell ref="BX608:CB608"/>
    <mergeCell ref="BE612:BF612"/>
    <mergeCell ref="BX611:CB611"/>
    <mergeCell ref="BX614:CB614"/>
    <mergeCell ref="BE601:BF601"/>
    <mergeCell ref="BE598:BF598"/>
    <mergeCell ref="BE626:BF626"/>
    <mergeCell ref="BG626:BH626"/>
    <mergeCell ref="BI626:BJ626"/>
    <mergeCell ref="BX627:CB627"/>
    <mergeCell ref="BN621:BR621"/>
    <mergeCell ref="CC609:CG609"/>
    <mergeCell ref="BE602:BF602"/>
    <mergeCell ref="BE599:BF599"/>
    <mergeCell ref="BK598:BL598"/>
    <mergeCell ref="BG601:BH601"/>
    <mergeCell ref="BG600:BH600"/>
    <mergeCell ref="BI614:BJ614"/>
    <mergeCell ref="BN615:BR615"/>
    <mergeCell ref="BK616:BL616"/>
    <mergeCell ref="BK611:BL611"/>
    <mergeCell ref="BN600:BR600"/>
    <mergeCell ref="CH599:CL599"/>
    <mergeCell ref="BX596:CB596"/>
    <mergeCell ref="CC600:CG600"/>
    <mergeCell ref="CC610:CG610"/>
    <mergeCell ref="AI562:AL562"/>
    <mergeCell ref="B503:H508"/>
    <mergeCell ref="M555:P555"/>
    <mergeCell ref="M556:P556"/>
    <mergeCell ref="AC508:AF508"/>
    <mergeCell ref="N583:O583"/>
    <mergeCell ref="G578:R578"/>
    <mergeCell ref="G580:R580"/>
    <mergeCell ref="G579:R579"/>
    <mergeCell ref="Q558:S558"/>
    <mergeCell ref="AI558:AL558"/>
    <mergeCell ref="C558:L558"/>
    <mergeCell ref="Q562:S562"/>
    <mergeCell ref="AA573:AK573"/>
    <mergeCell ref="H582:R582"/>
    <mergeCell ref="Z580:AK580"/>
    <mergeCell ref="Z578:AK578"/>
    <mergeCell ref="AH520:AK520"/>
    <mergeCell ref="AC537:AF537"/>
    <mergeCell ref="AH539:AK539"/>
    <mergeCell ref="AH541:AK541"/>
    <mergeCell ref="AC535:AF535"/>
    <mergeCell ref="AI554:AL554"/>
    <mergeCell ref="W557:Y557"/>
    <mergeCell ref="W466:Y466"/>
    <mergeCell ref="W473:Y473"/>
    <mergeCell ref="D469:V469"/>
    <mergeCell ref="AI561:AL561"/>
    <mergeCell ref="AE560:AH560"/>
    <mergeCell ref="T556:V556"/>
    <mergeCell ref="AC520:AF520"/>
    <mergeCell ref="AC527:AF527"/>
    <mergeCell ref="B520:H542"/>
    <mergeCell ref="W560:Y560"/>
    <mergeCell ref="M561:P561"/>
    <mergeCell ref="AH537:AK537"/>
    <mergeCell ref="AC539:AF539"/>
    <mergeCell ref="AC538:AF538"/>
    <mergeCell ref="W471:Y471"/>
    <mergeCell ref="AC536:AF536"/>
    <mergeCell ref="AC534:AF534"/>
    <mergeCell ref="AC540:AF540"/>
    <mergeCell ref="AC507:AF507"/>
    <mergeCell ref="AH514:AK514"/>
    <mergeCell ref="Q555:S555"/>
    <mergeCell ref="AI555:AL555"/>
    <mergeCell ref="T559:V559"/>
    <mergeCell ref="AH538:AK538"/>
    <mergeCell ref="B489:P490"/>
    <mergeCell ref="M356:N356"/>
    <mergeCell ref="AB215:AL215"/>
    <mergeCell ref="T198:U198"/>
    <mergeCell ref="Y212:Z212"/>
    <mergeCell ref="D214:Z214"/>
    <mergeCell ref="AB216:AL216"/>
    <mergeCell ref="G474:V474"/>
    <mergeCell ref="W474:Y474"/>
    <mergeCell ref="D473:V473"/>
    <mergeCell ref="D441:AF441"/>
    <mergeCell ref="D466:V466"/>
    <mergeCell ref="AG437:AJ437"/>
    <mergeCell ref="AG450:AJ450"/>
    <mergeCell ref="AC455:AF455"/>
    <mergeCell ref="S401:U401"/>
    <mergeCell ref="AA332:AF332"/>
    <mergeCell ref="AA328:AK328"/>
    <mergeCell ref="V276:W276"/>
    <mergeCell ref="K403:AJ403"/>
    <mergeCell ref="AG449:AJ449"/>
    <mergeCell ref="P348:Z348"/>
    <mergeCell ref="N371:Q371"/>
    <mergeCell ref="V382:W382"/>
    <mergeCell ref="D468:V468"/>
    <mergeCell ref="F457:AB458"/>
    <mergeCell ref="AH246:AK246"/>
    <mergeCell ref="AI397:AJ397"/>
    <mergeCell ref="T399:AJ399"/>
    <mergeCell ref="AJ355:AK355"/>
    <mergeCell ref="AG442:AJ442"/>
    <mergeCell ref="U255:W255"/>
    <mergeCell ref="P299:R299"/>
    <mergeCell ref="AD411:AE411"/>
    <mergeCell ref="F427:AH428"/>
    <mergeCell ref="V377:W377"/>
    <mergeCell ref="S377:T377"/>
    <mergeCell ref="Y364:Z364"/>
    <mergeCell ref="N378:P378"/>
    <mergeCell ref="AG401:AJ401"/>
    <mergeCell ref="W468:Y468"/>
    <mergeCell ref="Z585:AK585"/>
    <mergeCell ref="AM562:AS562"/>
    <mergeCell ref="Z432:AA432"/>
    <mergeCell ref="Q487:AK487"/>
    <mergeCell ref="AE561:AH561"/>
    <mergeCell ref="AC513:AF513"/>
    <mergeCell ref="AH513:AK513"/>
    <mergeCell ref="AH505:AK505"/>
    <mergeCell ref="J388:U388"/>
    <mergeCell ref="AC528:AF528"/>
    <mergeCell ref="T554:V554"/>
    <mergeCell ref="Q556:S556"/>
    <mergeCell ref="W558:Y558"/>
    <mergeCell ref="AE558:AH558"/>
    <mergeCell ref="AE562:AH562"/>
    <mergeCell ref="AH542:AK542"/>
    <mergeCell ref="AC542:AF542"/>
    <mergeCell ref="AI557:AL557"/>
    <mergeCell ref="AM557:AS557"/>
    <mergeCell ref="AH503:AK503"/>
    <mergeCell ref="AM554:AS554"/>
    <mergeCell ref="M495:P495"/>
    <mergeCell ref="AG444:AJ444"/>
    <mergeCell ref="AC541:AF541"/>
    <mergeCell ref="Q429:R429"/>
    <mergeCell ref="D448:AF448"/>
    <mergeCell ref="AG445:AJ445"/>
    <mergeCell ref="AC533:AF533"/>
    <mergeCell ref="AC509:AF509"/>
    <mergeCell ref="D445:AF445"/>
    <mergeCell ref="D446:AF446"/>
    <mergeCell ref="D447:AF447"/>
    <mergeCell ref="W469:Y469"/>
    <mergeCell ref="N373:AF374"/>
    <mergeCell ref="AC500:AF500"/>
    <mergeCell ref="L508:AB508"/>
    <mergeCell ref="AH532:AK532"/>
    <mergeCell ref="AH515:AK515"/>
    <mergeCell ref="AC516:AF516"/>
    <mergeCell ref="AC521:AF521"/>
    <mergeCell ref="AH509:AK509"/>
    <mergeCell ref="AC503:AF503"/>
    <mergeCell ref="T398:AJ398"/>
    <mergeCell ref="I421:K421"/>
    <mergeCell ref="AC525:AF525"/>
    <mergeCell ref="AC514:AF514"/>
    <mergeCell ref="AH506:AK506"/>
    <mergeCell ref="AC505:AF505"/>
    <mergeCell ref="W467:Y467"/>
    <mergeCell ref="D406:AJ407"/>
    <mergeCell ref="W470:Y470"/>
    <mergeCell ref="D471:V471"/>
    <mergeCell ref="AH522:AK522"/>
    <mergeCell ref="AG439:AJ439"/>
    <mergeCell ref="AG377:AH377"/>
    <mergeCell ref="E418:G418"/>
    <mergeCell ref="P349:AE349"/>
    <mergeCell ref="AC370:AF370"/>
    <mergeCell ref="AE556:AH556"/>
    <mergeCell ref="AH540:AK540"/>
    <mergeCell ref="AC515:AF515"/>
    <mergeCell ref="AF430:AG430"/>
    <mergeCell ref="AC529:AF529"/>
    <mergeCell ref="AH530:AK530"/>
    <mergeCell ref="Q554:S554"/>
    <mergeCell ref="E420:AJ420"/>
    <mergeCell ref="D442:AF442"/>
    <mergeCell ref="AH521:AK521"/>
    <mergeCell ref="AC530:AF530"/>
    <mergeCell ref="Q494:AK494"/>
    <mergeCell ref="AH524:AK524"/>
    <mergeCell ref="AH525:AK525"/>
    <mergeCell ref="AC506:AF506"/>
    <mergeCell ref="Q489:R490"/>
    <mergeCell ref="Q488:AK488"/>
    <mergeCell ref="Q493:AK493"/>
    <mergeCell ref="AC502:AF502"/>
    <mergeCell ref="O526:AA526"/>
    <mergeCell ref="Q486:AK486"/>
    <mergeCell ref="AH502:AK502"/>
    <mergeCell ref="AC499:AK499"/>
    <mergeCell ref="AH510:AK510"/>
    <mergeCell ref="AC512:AF512"/>
    <mergeCell ref="AH512:AK512"/>
    <mergeCell ref="AC454:AF454"/>
    <mergeCell ref="AC501:AF501"/>
    <mergeCell ref="AH526:AK526"/>
    <mergeCell ref="AC518:AF518"/>
    <mergeCell ref="W472:Y472"/>
    <mergeCell ref="AE551:AH553"/>
    <mergeCell ref="AI551:AL553"/>
    <mergeCell ref="O520:AA520"/>
    <mergeCell ref="C554:L554"/>
    <mergeCell ref="C555:L555"/>
    <mergeCell ref="AC526:AF526"/>
    <mergeCell ref="AH531:AK531"/>
    <mergeCell ref="Q557:S557"/>
    <mergeCell ref="Q485:AK485"/>
    <mergeCell ref="D437:AF437"/>
    <mergeCell ref="AC522:AF522"/>
    <mergeCell ref="D467:V467"/>
    <mergeCell ref="AC531:AF531"/>
    <mergeCell ref="J387:U387"/>
    <mergeCell ref="S405:AJ405"/>
    <mergeCell ref="AC387:AJ387"/>
    <mergeCell ref="V388:AJ388"/>
    <mergeCell ref="AG395:AJ395"/>
    <mergeCell ref="AI392:AJ392"/>
    <mergeCell ref="Z557:AD557"/>
    <mergeCell ref="T557:V557"/>
    <mergeCell ref="M551:P553"/>
    <mergeCell ref="Q551:S553"/>
    <mergeCell ref="T551:V553"/>
    <mergeCell ref="W551:Y553"/>
    <mergeCell ref="AH507:AK507"/>
    <mergeCell ref="AH508:AK508"/>
    <mergeCell ref="AE555:AH555"/>
    <mergeCell ref="AH518:AK518"/>
    <mergeCell ref="AG440:AJ440"/>
    <mergeCell ref="R412:S412"/>
    <mergeCell ref="BI628:BJ628"/>
    <mergeCell ref="BK628:BL628"/>
    <mergeCell ref="BN628:BR628"/>
    <mergeCell ref="BS628:BW628"/>
    <mergeCell ref="B551:L553"/>
    <mergeCell ref="AG446:AJ446"/>
    <mergeCell ref="D440:AF440"/>
    <mergeCell ref="AG443:AJ443"/>
    <mergeCell ref="AG438:AJ438"/>
    <mergeCell ref="AM555:AS555"/>
    <mergeCell ref="AG394:AJ394"/>
    <mergeCell ref="AH516:AK516"/>
    <mergeCell ref="Q491:AK491"/>
    <mergeCell ref="AG447:AJ447"/>
    <mergeCell ref="AH495:AK495"/>
    <mergeCell ref="AH529:AK529"/>
    <mergeCell ref="D465:V465"/>
    <mergeCell ref="AH534:AK534"/>
    <mergeCell ref="AC504:AF504"/>
    <mergeCell ref="D449:AF449"/>
    <mergeCell ref="B501:H502"/>
    <mergeCell ref="O523:AA523"/>
    <mergeCell ref="AC519:AF519"/>
    <mergeCell ref="AE424:AF424"/>
    <mergeCell ref="AC523:AF523"/>
    <mergeCell ref="AC510:AF510"/>
    <mergeCell ref="B517:H519"/>
    <mergeCell ref="AC524:AF524"/>
    <mergeCell ref="AH500:AK500"/>
    <mergeCell ref="AG448:AJ448"/>
    <mergeCell ref="AM551:AS553"/>
    <mergeCell ref="D472:V472"/>
    <mergeCell ref="CM624:CQ624"/>
    <mergeCell ref="CH620:CL620"/>
    <mergeCell ref="CM620:CQ620"/>
    <mergeCell ref="CS627:CW627"/>
    <mergeCell ref="W418:Y418"/>
    <mergeCell ref="Z551:AD553"/>
    <mergeCell ref="Z569:AK569"/>
    <mergeCell ref="Z571:AK571"/>
    <mergeCell ref="Z570:AK570"/>
    <mergeCell ref="Z572:AE572"/>
    <mergeCell ref="T714:W717"/>
    <mergeCell ref="X725:AB725"/>
    <mergeCell ref="G647:L647"/>
    <mergeCell ref="K729:N729"/>
    <mergeCell ref="X724:AB724"/>
    <mergeCell ref="AH722:AJ722"/>
    <mergeCell ref="BI625:BJ625"/>
    <mergeCell ref="BK625:BL625"/>
    <mergeCell ref="CC625:CG625"/>
    <mergeCell ref="CH625:CL625"/>
    <mergeCell ref="CM625:CQ625"/>
    <mergeCell ref="BS623:BW623"/>
    <mergeCell ref="BX623:CB623"/>
    <mergeCell ref="BN625:BR625"/>
    <mergeCell ref="BS625:BW625"/>
    <mergeCell ref="BX625:CB625"/>
    <mergeCell ref="CC623:CG623"/>
    <mergeCell ref="CC629:CG629"/>
    <mergeCell ref="CH629:CL629"/>
    <mergeCell ref="CM629:CQ629"/>
    <mergeCell ref="CM623:CQ623"/>
    <mergeCell ref="BG628:BH628"/>
    <mergeCell ref="DC622:DG622"/>
    <mergeCell ref="DH622:DL622"/>
    <mergeCell ref="DM622:DQ622"/>
    <mergeCell ref="CX623:DB623"/>
    <mergeCell ref="DC623:DG623"/>
    <mergeCell ref="DC626:DG626"/>
    <mergeCell ref="DH626:DL626"/>
    <mergeCell ref="CS620:CW620"/>
    <mergeCell ref="DM626:DQ626"/>
    <mergeCell ref="DR626:DV626"/>
    <mergeCell ref="BX628:CB628"/>
    <mergeCell ref="CC628:CG628"/>
    <mergeCell ref="G569:R569"/>
    <mergeCell ref="G571:R571"/>
    <mergeCell ref="G570:R570"/>
    <mergeCell ref="CH627:CL627"/>
    <mergeCell ref="CM627:CQ627"/>
    <mergeCell ref="BS626:BW626"/>
    <mergeCell ref="BX626:CB626"/>
    <mergeCell ref="CC626:CG626"/>
    <mergeCell ref="BN623:BR623"/>
    <mergeCell ref="CH623:CL623"/>
    <mergeCell ref="BN624:BR624"/>
    <mergeCell ref="BS624:BW624"/>
    <mergeCell ref="BK626:BL626"/>
    <mergeCell ref="BK624:BL624"/>
    <mergeCell ref="DM623:DQ623"/>
    <mergeCell ref="CX628:DB628"/>
    <mergeCell ref="DC628:DG628"/>
    <mergeCell ref="DH628:DL628"/>
    <mergeCell ref="DM628:DQ628"/>
    <mergeCell ref="CH624:CL624"/>
    <mergeCell ref="ER625:EV625"/>
    <mergeCell ref="DX626:EB626"/>
    <mergeCell ref="EC626:EG626"/>
    <mergeCell ref="EH626:EL626"/>
    <mergeCell ref="EM626:EQ626"/>
    <mergeCell ref="ER626:EV626"/>
    <mergeCell ref="CX627:DB627"/>
    <mergeCell ref="DC627:DG627"/>
    <mergeCell ref="DH627:DL627"/>
    <mergeCell ref="DM627:DQ627"/>
    <mergeCell ref="DR627:DV627"/>
    <mergeCell ref="DR620:DV620"/>
    <mergeCell ref="CS621:CW621"/>
    <mergeCell ref="CX621:DB621"/>
    <mergeCell ref="DC621:DG621"/>
    <mergeCell ref="DH621:DL621"/>
    <mergeCell ref="DH623:DL623"/>
    <mergeCell ref="EM620:EQ620"/>
    <mergeCell ref="ER620:EV620"/>
    <mergeCell ref="DR623:DV623"/>
    <mergeCell ref="DC620:DG620"/>
    <mergeCell ref="DH620:DL620"/>
    <mergeCell ref="DM620:DQ620"/>
    <mergeCell ref="DC624:DG624"/>
    <mergeCell ref="DH624:DL624"/>
    <mergeCell ref="DM624:DQ624"/>
    <mergeCell ref="CX620:DB620"/>
    <mergeCell ref="CS626:CW626"/>
    <mergeCell ref="DM621:DQ621"/>
    <mergeCell ref="DR621:DV621"/>
    <mergeCell ref="CS622:CW622"/>
    <mergeCell ref="CX622:DB622"/>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X626:DB626"/>
    <mergeCell ref="DX627:EB627"/>
    <mergeCell ref="EC627:EG627"/>
    <mergeCell ref="EH627:EL627"/>
    <mergeCell ref="EM627:EQ627"/>
    <mergeCell ref="ER627:EV627"/>
    <mergeCell ref="ER628:EV628"/>
    <mergeCell ref="EW628:FA628"/>
    <mergeCell ref="EC625:EG625"/>
    <mergeCell ref="EH625:EL625"/>
    <mergeCell ref="EM625:EQ625"/>
    <mergeCell ref="EH659:EL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C649:EG649"/>
    <mergeCell ref="EC639:EG639"/>
    <mergeCell ref="EH639:EL639"/>
    <mergeCell ref="EM639:EQ639"/>
    <mergeCell ref="EM637:EQ637"/>
    <mergeCell ref="EM644:EQ644"/>
    <mergeCell ref="ER644:EV644"/>
    <mergeCell ref="EC655:EG655"/>
    <mergeCell ref="EM636:EQ636"/>
    <mergeCell ref="DX637:EB637"/>
    <mergeCell ref="G659:R659"/>
    <mergeCell ref="Z654:AK654"/>
    <mergeCell ref="ER635:EV635"/>
    <mergeCell ref="EC636:EG636"/>
    <mergeCell ref="EH636:EL636"/>
    <mergeCell ref="DX636:EB636"/>
    <mergeCell ref="ER636:EV636"/>
    <mergeCell ref="DX666:EB666"/>
    <mergeCell ref="EC666:EG666"/>
    <mergeCell ref="EH666:EL666"/>
    <mergeCell ref="AK743:AO743"/>
    <mergeCell ref="AK744:AO744"/>
    <mergeCell ref="X743:AB743"/>
    <mergeCell ref="X744:AB744"/>
    <mergeCell ref="AH743:AJ743"/>
    <mergeCell ref="AH744:AJ744"/>
    <mergeCell ref="X738:AB738"/>
    <mergeCell ref="X729:AB729"/>
    <mergeCell ref="AC738:AG738"/>
    <mergeCell ref="ER665:EV665"/>
    <mergeCell ref="AK742:AO742"/>
    <mergeCell ref="X742:AB742"/>
    <mergeCell ref="K714:N717"/>
    <mergeCell ref="AH742:AJ742"/>
    <mergeCell ref="AI679:AK679"/>
    <mergeCell ref="Z663:AE663"/>
    <mergeCell ref="G731:J731"/>
    <mergeCell ref="G663:L663"/>
    <mergeCell ref="T739:W739"/>
    <mergeCell ref="G643:R643"/>
    <mergeCell ref="Z662:AK662"/>
    <mergeCell ref="M637:P637"/>
    <mergeCell ref="EW665:FA665"/>
    <mergeCell ref="EW662:FA662"/>
    <mergeCell ref="DX663:EB663"/>
    <mergeCell ref="EC663:EG663"/>
    <mergeCell ref="EH663:EL663"/>
    <mergeCell ref="EM663:EQ663"/>
    <mergeCell ref="ER663:EV663"/>
    <mergeCell ref="EW663:FA663"/>
    <mergeCell ref="EC659:EG659"/>
    <mergeCell ref="C631:L631"/>
    <mergeCell ref="C632:L632"/>
    <mergeCell ref="Z628:AB628"/>
    <mergeCell ref="Z629:AB629"/>
    <mergeCell ref="T635:V635"/>
    <mergeCell ref="T636:V636"/>
    <mergeCell ref="AH753:AJ753"/>
    <mergeCell ref="EW635:FA635"/>
    <mergeCell ref="EW631:FA631"/>
    <mergeCell ref="DX629:EB629"/>
    <mergeCell ref="EC629:EG629"/>
    <mergeCell ref="EH629:EL629"/>
    <mergeCell ref="ER659:EV659"/>
    <mergeCell ref="EW659:FA659"/>
    <mergeCell ref="DX660:EB660"/>
    <mergeCell ref="EC660:EG660"/>
    <mergeCell ref="EH660:EL660"/>
    <mergeCell ref="EM660:EQ660"/>
    <mergeCell ref="DX665:EB665"/>
    <mergeCell ref="EC665:EG665"/>
    <mergeCell ref="EH665:EL665"/>
    <mergeCell ref="EM665:EQ665"/>
    <mergeCell ref="P663:R66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9" workbookViewId="0">
      <selection activeCell="C32" sqref="C32"/>
    </sheetView>
  </sheetViews>
  <sheetFormatPr defaultColWidth="0" defaultRowHeight="11.4" zeroHeight="1"/>
  <cols>
    <col min="1" max="1" width="35.77734375" style="199" customWidth="1"/>
    <col min="2" max="12" width="12.109375" style="158" customWidth="1"/>
    <col min="13" max="17" width="11.109375" style="158" customWidth="1"/>
    <col min="18" max="18" width="12.77734375" style="158" customWidth="1"/>
    <col min="19" max="20" width="12.109375" style="158" customWidth="1"/>
    <col min="21" max="21" width="0.109375" style="161" customWidth="1"/>
    <col min="22" max="16383" width="8.77734375" style="158" hidden="1"/>
    <col min="16384" max="16384" width="0.109375" style="158" customWidth="1"/>
  </cols>
  <sheetData>
    <row r="1" spans="1:21" s="110" customFormat="1" ht="13.8">
      <c r="A1" s="168" t="s">
        <v>557</v>
      </c>
      <c r="B1" s="125"/>
      <c r="C1" s="125"/>
      <c r="D1" s="125"/>
      <c r="E1" s="126"/>
      <c r="F1" s="1897" t="s">
        <v>629</v>
      </c>
      <c r="G1" s="1898"/>
      <c r="H1" s="1898"/>
      <c r="I1" s="1898"/>
      <c r="J1" s="1898"/>
      <c r="K1" s="1898"/>
      <c r="L1" s="1898"/>
      <c r="M1" s="1898"/>
      <c r="N1" s="1898"/>
      <c r="O1" s="1898"/>
      <c r="P1" s="1898"/>
      <c r="Q1" s="1898"/>
      <c r="R1" s="1899"/>
      <c r="S1" s="112"/>
      <c r="T1" s="111"/>
      <c r="U1" s="113"/>
    </row>
    <row r="2" spans="1:21" s="138" customFormat="1" ht="71.25" customHeight="1">
      <c r="A2" s="137"/>
      <c r="B2" s="138" t="s">
        <v>23</v>
      </c>
      <c r="C2" s="138" t="s">
        <v>375</v>
      </c>
      <c r="D2" s="138" t="s">
        <v>374</v>
      </c>
      <c r="E2" s="138" t="s">
        <v>24</v>
      </c>
      <c r="F2" s="139" t="str">
        <f>Application!B627&amp;Application!C627</f>
        <v>1)Citibank Permanent Loan</v>
      </c>
      <c r="G2" s="139" t="str">
        <f>Application!B628&amp;Application!C628</f>
        <v>2)Deferred Developer Fee</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1957627</v>
      </c>
      <c r="C4" s="147">
        <v>1957627</v>
      </c>
      <c r="D4" s="147"/>
      <c r="E4" s="147">
        <f>1957627</f>
        <v>1957627</v>
      </c>
      <c r="F4" s="147"/>
      <c r="G4" s="147"/>
      <c r="H4" s="147"/>
      <c r="I4" s="147"/>
      <c r="J4" s="147"/>
      <c r="K4" s="147"/>
      <c r="L4" s="147"/>
      <c r="M4" s="147"/>
      <c r="N4" s="147"/>
      <c r="O4" s="147"/>
      <c r="P4" s="147"/>
      <c r="Q4" s="147"/>
      <c r="R4" s="550">
        <f>SUM(E4:Q4)</f>
        <v>1957627</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601</v>
      </c>
      <c r="B8" s="146">
        <f>SUM(C8:D8)</f>
        <v>1957627</v>
      </c>
      <c r="C8" s="146">
        <f t="shared" ref="C8:Q8" si="0">SUM(C4:C7)</f>
        <v>1957627</v>
      </c>
      <c r="D8" s="146">
        <f t="shared" si="0"/>
        <v>0</v>
      </c>
      <c r="E8" s="146">
        <f t="shared" si="0"/>
        <v>1957627</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1957627</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ht="12">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ht="12">
      <c r="A12" s="149" t="s">
        <v>84</v>
      </c>
      <c r="B12" s="146">
        <f t="shared" ref="B12:Q12" si="2">SUM(B8+B11)</f>
        <v>1957627</v>
      </c>
      <c r="C12" s="146">
        <f t="shared" si="2"/>
        <v>1957627</v>
      </c>
      <c r="D12" s="146">
        <f t="shared" si="2"/>
        <v>0</v>
      </c>
      <c r="E12" s="146">
        <f t="shared" si="2"/>
        <v>1957627</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1957627</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3715272</v>
      </c>
      <c r="C29" s="147">
        <v>3715272</v>
      </c>
      <c r="D29" s="147"/>
      <c r="E29" s="147">
        <f>C29</f>
        <v>3715272</v>
      </c>
      <c r="F29" s="147"/>
      <c r="G29" s="147"/>
      <c r="H29" s="147"/>
      <c r="I29" s="147"/>
      <c r="J29" s="147"/>
      <c r="K29" s="147"/>
      <c r="L29" s="147"/>
      <c r="M29" s="147"/>
      <c r="N29" s="147"/>
      <c r="O29" s="147"/>
      <c r="P29" s="147"/>
      <c r="Q29" s="147"/>
      <c r="R29" s="550">
        <f t="shared" ref="R29:R37" si="7">SUM(E29:Q29)</f>
        <v>3715272</v>
      </c>
      <c r="S29" s="147">
        <f t="shared" ref="S29:S37" si="8">R29</f>
        <v>3715272</v>
      </c>
      <c r="T29" s="147"/>
      <c r="U29" s="143"/>
    </row>
    <row r="30" spans="1:21" s="144" customFormat="1">
      <c r="A30" s="145" t="s">
        <v>607</v>
      </c>
      <c r="B30" s="146">
        <f t="shared" si="6"/>
        <v>31480939</v>
      </c>
      <c r="C30" s="147">
        <v>31480939</v>
      </c>
      <c r="D30" s="147"/>
      <c r="E30" s="147">
        <f>C30-F30</f>
        <v>15283554</v>
      </c>
      <c r="F30" s="147">
        <v>16197385</v>
      </c>
      <c r="G30" s="147"/>
      <c r="H30" s="147"/>
      <c r="I30" s="147"/>
      <c r="J30" s="147"/>
      <c r="K30" s="147"/>
      <c r="L30" s="147"/>
      <c r="M30" s="147"/>
      <c r="N30" s="147"/>
      <c r="O30" s="147"/>
      <c r="P30" s="147"/>
      <c r="Q30" s="147"/>
      <c r="R30" s="550">
        <f t="shared" si="7"/>
        <v>31480939</v>
      </c>
      <c r="S30" s="147">
        <f t="shared" si="8"/>
        <v>31480939</v>
      </c>
      <c r="T30" s="147"/>
      <c r="U30" s="143"/>
    </row>
    <row r="31" spans="1:21" s="144" customFormat="1">
      <c r="A31" s="145" t="s">
        <v>608</v>
      </c>
      <c r="B31" s="146">
        <f t="shared" si="6"/>
        <v>2111773</v>
      </c>
      <c r="C31" s="147">
        <v>2111773</v>
      </c>
      <c r="D31" s="147"/>
      <c r="E31" s="147">
        <f>C31</f>
        <v>2111773</v>
      </c>
      <c r="F31" s="147"/>
      <c r="G31" s="147"/>
      <c r="H31" s="147"/>
      <c r="I31" s="147"/>
      <c r="J31" s="147"/>
      <c r="K31" s="147"/>
      <c r="L31" s="147"/>
      <c r="M31" s="147"/>
      <c r="N31" s="147"/>
      <c r="O31" s="147"/>
      <c r="P31" s="147"/>
      <c r="Q31" s="147"/>
      <c r="R31" s="550">
        <f t="shared" si="7"/>
        <v>2111773</v>
      </c>
      <c r="S31" s="147">
        <f t="shared" si="8"/>
        <v>2111773</v>
      </c>
      <c r="T31" s="147"/>
      <c r="U31" s="143"/>
    </row>
    <row r="32" spans="1:21" s="144" customFormat="1">
      <c r="A32" s="145" t="s">
        <v>137</v>
      </c>
      <c r="B32" s="146">
        <f t="shared" si="6"/>
        <v>1492319.5</v>
      </c>
      <c r="C32" s="147">
        <v>1492319.5</v>
      </c>
      <c r="D32" s="147"/>
      <c r="E32" s="147">
        <f>C32</f>
        <v>1492319.5</v>
      </c>
      <c r="F32" s="147"/>
      <c r="G32" s="147"/>
      <c r="H32" s="147"/>
      <c r="I32" s="147"/>
      <c r="J32" s="147"/>
      <c r="K32" s="147"/>
      <c r="L32" s="147"/>
      <c r="M32" s="147"/>
      <c r="N32" s="147"/>
      <c r="O32" s="147"/>
      <c r="P32" s="147"/>
      <c r="Q32" s="147"/>
      <c r="R32" s="550">
        <f t="shared" si="7"/>
        <v>1492319.5</v>
      </c>
      <c r="S32" s="147">
        <f t="shared" si="8"/>
        <v>1492319.5</v>
      </c>
      <c r="T32" s="147"/>
      <c r="U32" s="143"/>
    </row>
    <row r="33" spans="1:21" s="144" customFormat="1">
      <c r="A33" s="145" t="s">
        <v>138</v>
      </c>
      <c r="B33" s="146">
        <f t="shared" si="6"/>
        <v>1492319.5</v>
      </c>
      <c r="C33" s="147">
        <v>1492319.5</v>
      </c>
      <c r="D33" s="147"/>
      <c r="E33" s="147">
        <f>C33</f>
        <v>1492319.5</v>
      </c>
      <c r="F33" s="147"/>
      <c r="G33" s="147"/>
      <c r="H33" s="147"/>
      <c r="I33" s="147"/>
      <c r="J33" s="147"/>
      <c r="K33" s="147"/>
      <c r="L33" s="147"/>
      <c r="M33" s="147"/>
      <c r="N33" s="147"/>
      <c r="O33" s="147"/>
      <c r="P33" s="147"/>
      <c r="Q33" s="147"/>
      <c r="R33" s="550">
        <f t="shared" si="7"/>
        <v>1492319.5</v>
      </c>
      <c r="S33" s="147">
        <f t="shared" si="8"/>
        <v>1492319.5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402988.5</v>
      </c>
      <c r="C35" s="147">
        <v>402988.5</v>
      </c>
      <c r="D35" s="147"/>
      <c r="E35" s="147">
        <f>C35</f>
        <v>402988.5</v>
      </c>
      <c r="F35" s="147"/>
      <c r="G35" s="147"/>
      <c r="H35" s="147"/>
      <c r="I35" s="147"/>
      <c r="J35" s="147"/>
      <c r="K35" s="147"/>
      <c r="L35" s="147"/>
      <c r="M35" s="147"/>
      <c r="N35" s="147"/>
      <c r="O35" s="147"/>
      <c r="P35" s="147"/>
      <c r="Q35" s="147"/>
      <c r="R35" s="550">
        <f t="shared" si="7"/>
        <v>402988.5</v>
      </c>
      <c r="S35" s="147">
        <f t="shared" si="8"/>
        <v>402988.5</v>
      </c>
      <c r="T35" s="147"/>
      <c r="U35" s="143"/>
    </row>
    <row r="36" spans="1:21" s="144" customFormat="1">
      <c r="A36" s="304" t="s">
        <v>1753</v>
      </c>
      <c r="B36" s="146">
        <f t="shared" si="6"/>
        <v>0</v>
      </c>
      <c r="C36" s="147"/>
      <c r="D36" s="147"/>
      <c r="E36" s="147"/>
      <c r="F36" s="147"/>
      <c r="G36" s="147"/>
      <c r="H36" s="147"/>
      <c r="I36" s="147"/>
      <c r="J36" s="147"/>
      <c r="K36" s="147"/>
      <c r="L36" s="147"/>
      <c r="M36" s="147"/>
      <c r="N36" s="147"/>
      <c r="O36" s="147"/>
      <c r="P36" s="147"/>
      <c r="Q36" s="147"/>
      <c r="R36" s="550">
        <f t="shared" si="7"/>
        <v>0</v>
      </c>
      <c r="S36" s="147">
        <f t="shared" si="8"/>
        <v>0</v>
      </c>
      <c r="T36" s="147"/>
      <c r="U36" s="143"/>
    </row>
    <row r="37" spans="1:21" s="144" customFormat="1">
      <c r="A37" s="1193" t="s">
        <v>2749</v>
      </c>
      <c r="B37" s="146">
        <f t="shared" si="6"/>
        <v>604388.5</v>
      </c>
      <c r="C37" s="147">
        <v>604388.5</v>
      </c>
      <c r="D37" s="147"/>
      <c r="E37" s="147">
        <f>C37</f>
        <v>604388.5</v>
      </c>
      <c r="F37" s="147"/>
      <c r="G37" s="147"/>
      <c r="H37" s="147"/>
      <c r="I37" s="147"/>
      <c r="J37" s="147"/>
      <c r="K37" s="147"/>
      <c r="L37" s="147"/>
      <c r="M37" s="147"/>
      <c r="N37" s="147"/>
      <c r="O37" s="147"/>
      <c r="P37" s="147"/>
      <c r="Q37" s="147"/>
      <c r="R37" s="550">
        <f t="shared" si="7"/>
        <v>604388.5</v>
      </c>
      <c r="S37" s="147">
        <f t="shared" si="8"/>
        <v>604388.5</v>
      </c>
      <c r="T37" s="147"/>
      <c r="U37" s="143"/>
    </row>
    <row r="38" spans="1:21" s="144" customFormat="1" ht="12">
      <c r="A38" s="149" t="s">
        <v>143</v>
      </c>
      <c r="B38" s="146">
        <f t="shared" si="6"/>
        <v>41300000</v>
      </c>
      <c r="C38" s="146">
        <f>SUM(C29:C37)</f>
        <v>41300000</v>
      </c>
      <c r="D38" s="146">
        <f t="shared" ref="D38:Q38" si="9">SUM(D29:D37)</f>
        <v>0</v>
      </c>
      <c r="E38" s="146">
        <f t="shared" si="9"/>
        <v>25102615</v>
      </c>
      <c r="F38" s="146">
        <f t="shared" si="9"/>
        <v>16197385</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41300000</v>
      </c>
      <c r="S38" s="150">
        <f>SUM(S29:S37)</f>
        <v>41300000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0</v>
      </c>
      <c r="C40" s="147"/>
      <c r="D40" s="147"/>
      <c r="E40" s="147"/>
      <c r="F40" s="147"/>
      <c r="G40" s="147"/>
      <c r="H40" s="147"/>
      <c r="I40" s="147"/>
      <c r="J40" s="147"/>
      <c r="K40" s="147"/>
      <c r="L40" s="147"/>
      <c r="M40" s="147"/>
      <c r="N40" s="147"/>
      <c r="O40" s="147"/>
      <c r="P40" s="147"/>
      <c r="Q40" s="147"/>
      <c r="R40" s="550">
        <f>SUM(E40:Q40)</f>
        <v>0</v>
      </c>
      <c r="S40" s="147"/>
      <c r="T40" s="147"/>
      <c r="U40" s="143"/>
    </row>
    <row r="41" spans="1:21" s="144" customFormat="1">
      <c r="A41" s="145" t="s">
        <v>146</v>
      </c>
      <c r="B41" s="146">
        <f>SUM(C41+D41)</f>
        <v>1344000</v>
      </c>
      <c r="C41" s="147">
        <v>1344000</v>
      </c>
      <c r="D41" s="147"/>
      <c r="E41" s="147">
        <f>C41</f>
        <v>1344000</v>
      </c>
      <c r="F41" s="147"/>
      <c r="G41" s="147"/>
      <c r="H41" s="147"/>
      <c r="I41" s="147"/>
      <c r="J41" s="147"/>
      <c r="K41" s="147"/>
      <c r="L41" s="147"/>
      <c r="M41" s="147"/>
      <c r="N41" s="147"/>
      <c r="O41" s="147"/>
      <c r="P41" s="147"/>
      <c r="Q41" s="147"/>
      <c r="R41" s="550">
        <f>SUM(E41:Q41)</f>
        <v>1344000</v>
      </c>
      <c r="S41" s="147">
        <f>R41</f>
        <v>1344000</v>
      </c>
      <c r="T41" s="147"/>
      <c r="U41" s="143"/>
    </row>
    <row r="42" spans="1:21" s="144" customFormat="1" ht="12">
      <c r="A42" s="149" t="s">
        <v>147</v>
      </c>
      <c r="B42" s="146">
        <f>SUM(C42:D42)</f>
        <v>1344000</v>
      </c>
      <c r="C42" s="146">
        <f>SUM(C39:C41)</f>
        <v>1344000</v>
      </c>
      <c r="D42" s="146">
        <f>SUM(D39:D41)</f>
        <v>0</v>
      </c>
      <c r="E42" s="146">
        <f t="shared" ref="E42:T42" si="10">SUM(E40:E41)</f>
        <v>1344000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1344000</v>
      </c>
      <c r="S42" s="150">
        <f t="shared" si="10"/>
        <v>1344000</v>
      </c>
      <c r="T42" s="150">
        <f t="shared" si="10"/>
        <v>0</v>
      </c>
      <c r="U42" s="143"/>
    </row>
    <row r="43" spans="1:21" s="144" customFormat="1" ht="12">
      <c r="A43" s="149" t="s">
        <v>148</v>
      </c>
      <c r="B43" s="146">
        <f>SUM(C43:D43)</f>
        <v>383000</v>
      </c>
      <c r="C43" s="147">
        <v>383000</v>
      </c>
      <c r="D43" s="147"/>
      <c r="E43" s="147">
        <f>C43</f>
        <v>383000</v>
      </c>
      <c r="F43" s="147"/>
      <c r="G43" s="147"/>
      <c r="H43" s="147"/>
      <c r="I43" s="147"/>
      <c r="J43" s="147"/>
      <c r="K43" s="147"/>
      <c r="L43" s="147"/>
      <c r="M43" s="147"/>
      <c r="N43" s="147"/>
      <c r="O43" s="147"/>
      <c r="P43" s="147"/>
      <c r="Q43" s="147"/>
      <c r="R43" s="550">
        <f>SUM(E43:Q43)</f>
        <v>383000</v>
      </c>
      <c r="S43" s="147">
        <f>R43</f>
        <v>383000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4593938.7</v>
      </c>
      <c r="C45" s="147">
        <v>4593938.7</v>
      </c>
      <c r="D45" s="147"/>
      <c r="E45" s="147">
        <f>C45</f>
        <v>4593938.7</v>
      </c>
      <c r="F45" s="147"/>
      <c r="G45" s="147"/>
      <c r="H45" s="147"/>
      <c r="I45" s="147"/>
      <c r="J45" s="147"/>
      <c r="K45" s="147"/>
      <c r="L45" s="147"/>
      <c r="M45" s="147"/>
      <c r="N45" s="147"/>
      <c r="O45" s="147"/>
      <c r="P45" s="147"/>
      <c r="Q45" s="147"/>
      <c r="R45" s="550">
        <f t="shared" ref="R45:R53" si="12">SUM(E45:Q45)</f>
        <v>4593938.7</v>
      </c>
      <c r="S45" s="147">
        <v>2753752.0337100001</v>
      </c>
      <c r="T45" s="147"/>
      <c r="U45" s="143"/>
    </row>
    <row r="46" spans="1:21" s="144" customFormat="1">
      <c r="A46" s="145" t="s">
        <v>151</v>
      </c>
      <c r="B46" s="146">
        <f t="shared" si="11"/>
        <v>424534.8</v>
      </c>
      <c r="C46" s="147">
        <v>424534.8</v>
      </c>
      <c r="D46" s="147"/>
      <c r="E46" s="147">
        <f>C46</f>
        <v>424534.8</v>
      </c>
      <c r="F46" s="147"/>
      <c r="G46" s="147"/>
      <c r="H46" s="147"/>
      <c r="I46" s="147"/>
      <c r="J46" s="147"/>
      <c r="K46" s="147"/>
      <c r="L46" s="147"/>
      <c r="M46" s="147"/>
      <c r="N46" s="147"/>
      <c r="O46" s="147"/>
      <c r="P46" s="147"/>
      <c r="Q46" s="147"/>
      <c r="R46" s="550">
        <f t="shared" si="12"/>
        <v>424534.8</v>
      </c>
      <c r="S46" s="147">
        <f t="shared" ref="S46:S52" si="13">R46</f>
        <v>424534.8</v>
      </c>
      <c r="T46" s="147"/>
      <c r="U46" s="143"/>
    </row>
    <row r="47" spans="1:21" s="144" customFormat="1">
      <c r="A47" s="198" t="s">
        <v>152</v>
      </c>
      <c r="B47" s="146">
        <f t="shared" si="11"/>
        <v>15000</v>
      </c>
      <c r="C47" s="147">
        <v>15000</v>
      </c>
      <c r="D47" s="147"/>
      <c r="E47" s="147">
        <f>C47</f>
        <v>15000</v>
      </c>
      <c r="F47" s="147"/>
      <c r="G47" s="147"/>
      <c r="H47" s="147"/>
      <c r="I47" s="147"/>
      <c r="J47" s="147"/>
      <c r="K47" s="147"/>
      <c r="L47" s="147"/>
      <c r="M47" s="147"/>
      <c r="N47" s="147"/>
      <c r="O47" s="147"/>
      <c r="P47" s="147"/>
      <c r="Q47" s="147"/>
      <c r="R47" s="550">
        <f t="shared" si="12"/>
        <v>15000</v>
      </c>
      <c r="S47" s="147">
        <f t="shared" si="13"/>
        <v>15000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50">
        <f t="shared" si="12"/>
        <v>0</v>
      </c>
      <c r="S48" s="147">
        <f t="shared" si="13"/>
        <v>0</v>
      </c>
      <c r="T48" s="147"/>
      <c r="U48" s="143"/>
    </row>
    <row r="49" spans="1:21" s="144" customFormat="1">
      <c r="A49" s="145" t="s">
        <v>57</v>
      </c>
      <c r="B49" s="146">
        <f t="shared" si="11"/>
        <v>106133.7</v>
      </c>
      <c r="C49" s="147">
        <v>106133.7</v>
      </c>
      <c r="D49" s="147"/>
      <c r="E49" s="147">
        <f>C49</f>
        <v>106133.7</v>
      </c>
      <c r="F49" s="147"/>
      <c r="G49" s="147"/>
      <c r="H49" s="147"/>
      <c r="I49" s="147"/>
      <c r="J49" s="147"/>
      <c r="K49" s="147"/>
      <c r="L49" s="147"/>
      <c r="M49" s="147"/>
      <c r="N49" s="147"/>
      <c r="O49" s="147"/>
      <c r="P49" s="147"/>
      <c r="Q49" s="147"/>
      <c r="R49" s="550">
        <f t="shared" si="12"/>
        <v>106133.7</v>
      </c>
      <c r="S49" s="147">
        <f t="shared" si="13"/>
        <v>106133.7</v>
      </c>
      <c r="T49" s="147"/>
      <c r="U49" s="143"/>
    </row>
    <row r="50" spans="1:21" s="144" customFormat="1">
      <c r="A50" s="145" t="s">
        <v>156</v>
      </c>
      <c r="B50" s="146">
        <f t="shared" si="11"/>
        <v>75000</v>
      </c>
      <c r="C50" s="147">
        <v>75000</v>
      </c>
      <c r="D50" s="147"/>
      <c r="E50" s="147">
        <f>C50</f>
        <v>75000</v>
      </c>
      <c r="F50" s="147"/>
      <c r="G50" s="147"/>
      <c r="H50" s="147"/>
      <c r="I50" s="147"/>
      <c r="J50" s="147"/>
      <c r="K50" s="147"/>
      <c r="L50" s="147"/>
      <c r="M50" s="147"/>
      <c r="N50" s="147"/>
      <c r="O50" s="147"/>
      <c r="P50" s="147"/>
      <c r="Q50" s="147"/>
      <c r="R50" s="550">
        <f t="shared" si="12"/>
        <v>75000</v>
      </c>
      <c r="S50" s="147">
        <f t="shared" si="13"/>
        <v>75000</v>
      </c>
      <c r="T50" s="147"/>
      <c r="U50" s="143"/>
    </row>
    <row r="51" spans="1:21" s="144" customFormat="1">
      <c r="A51" s="304" t="s">
        <v>154</v>
      </c>
      <c r="B51" s="146">
        <f t="shared" si="11"/>
        <v>35000</v>
      </c>
      <c r="C51" s="147">
        <v>35000</v>
      </c>
      <c r="D51" s="147"/>
      <c r="E51" s="147">
        <f>C51</f>
        <v>35000</v>
      </c>
      <c r="F51" s="147"/>
      <c r="G51" s="147"/>
      <c r="H51" s="147"/>
      <c r="I51" s="147"/>
      <c r="J51" s="147"/>
      <c r="K51" s="147"/>
      <c r="L51" s="147"/>
      <c r="M51" s="147"/>
      <c r="N51" s="147"/>
      <c r="O51" s="147"/>
      <c r="P51" s="147"/>
      <c r="Q51" s="147"/>
      <c r="R51" s="550">
        <f t="shared" si="12"/>
        <v>35000</v>
      </c>
      <c r="S51" s="147">
        <f t="shared" si="13"/>
        <v>35000</v>
      </c>
      <c r="T51" s="147"/>
      <c r="U51" s="143"/>
    </row>
    <row r="52" spans="1:21" s="144" customFormat="1">
      <c r="A52" s="145" t="s">
        <v>155</v>
      </c>
      <c r="B52" s="146">
        <f t="shared" si="11"/>
        <v>620000</v>
      </c>
      <c r="C52" s="147">
        <v>620000</v>
      </c>
      <c r="D52" s="147"/>
      <c r="E52" s="147">
        <f>C52</f>
        <v>620000</v>
      </c>
      <c r="F52" s="147"/>
      <c r="G52" s="147"/>
      <c r="H52" s="147"/>
      <c r="I52" s="147"/>
      <c r="J52" s="147"/>
      <c r="K52" s="147"/>
      <c r="L52" s="147"/>
      <c r="M52" s="147"/>
      <c r="N52" s="147"/>
      <c r="O52" s="147"/>
      <c r="P52" s="147"/>
      <c r="Q52" s="147"/>
      <c r="R52" s="550">
        <f t="shared" si="12"/>
        <v>620000</v>
      </c>
      <c r="S52" s="147">
        <f t="shared" si="13"/>
        <v>620000</v>
      </c>
      <c r="T52" s="147"/>
      <c r="U52" s="143"/>
    </row>
    <row r="53" spans="1:21" s="144" customFormat="1">
      <c r="A53" s="1193" t="s">
        <v>34</v>
      </c>
      <c r="B53" s="146">
        <f t="shared" si="11"/>
        <v>0</v>
      </c>
      <c r="C53" s="147"/>
      <c r="D53" s="147"/>
      <c r="E53" s="147"/>
      <c r="F53" s="147"/>
      <c r="G53" s="147"/>
      <c r="H53" s="147"/>
      <c r="I53" s="147"/>
      <c r="J53" s="147"/>
      <c r="K53" s="147"/>
      <c r="L53" s="147"/>
      <c r="M53" s="147"/>
      <c r="N53" s="147"/>
      <c r="O53" s="147"/>
      <c r="P53" s="147"/>
      <c r="Q53" s="147"/>
      <c r="R53" s="550">
        <f t="shared" si="12"/>
        <v>0</v>
      </c>
      <c r="S53" s="147"/>
      <c r="T53" s="147"/>
      <c r="U53" s="143"/>
    </row>
    <row r="54" spans="1:21" s="153" customFormat="1" ht="12">
      <c r="A54" s="149" t="s">
        <v>157</v>
      </c>
      <c r="B54" s="150">
        <f>SUM(C54:D54)</f>
        <v>5869607.2000000002</v>
      </c>
      <c r="C54" s="150">
        <f t="shared" ref="C54:T54" si="14">SUM(C45:C53)</f>
        <v>5869607.2000000002</v>
      </c>
      <c r="D54" s="150">
        <f t="shared" si="14"/>
        <v>0</v>
      </c>
      <c r="E54" s="150">
        <f t="shared" si="14"/>
        <v>5869607.2000000002</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0">
        <f t="shared" si="14"/>
        <v>5869607.2000000002</v>
      </c>
      <c r="S54" s="150">
        <f t="shared" si="14"/>
        <v>4029420.5337100001</v>
      </c>
      <c r="T54" s="150">
        <f t="shared" si="14"/>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161974</v>
      </c>
      <c r="C56" s="147">
        <v>161974</v>
      </c>
      <c r="D56" s="147"/>
      <c r="E56" s="147">
        <f>C56</f>
        <v>161974</v>
      </c>
      <c r="F56" s="147"/>
      <c r="G56" s="147"/>
      <c r="H56" s="147"/>
      <c r="I56" s="147"/>
      <c r="J56" s="147"/>
      <c r="K56" s="147"/>
      <c r="L56" s="147"/>
      <c r="M56" s="147"/>
      <c r="N56" s="147"/>
      <c r="O56" s="147"/>
      <c r="P56" s="147"/>
      <c r="Q56" s="147"/>
      <c r="R56" s="550">
        <f t="shared" ref="R56:R61" si="16">SUM(E56:Q56)</f>
        <v>161974</v>
      </c>
      <c r="S56" s="148"/>
      <c r="T56" s="148"/>
      <c r="U56" s="143"/>
    </row>
    <row r="57" spans="1:21" s="204" customFormat="1">
      <c r="A57" s="198" t="s">
        <v>152</v>
      </c>
      <c r="B57" s="205">
        <f t="shared" si="15"/>
        <v>0</v>
      </c>
      <c r="C57" s="202"/>
      <c r="D57" s="202"/>
      <c r="E57" s="202"/>
      <c r="F57" s="202"/>
      <c r="G57" s="202"/>
      <c r="H57" s="202"/>
      <c r="I57" s="202"/>
      <c r="J57" s="202"/>
      <c r="K57" s="202"/>
      <c r="L57" s="202"/>
      <c r="M57" s="202"/>
      <c r="N57" s="202"/>
      <c r="O57" s="202"/>
      <c r="P57" s="202"/>
      <c r="Q57" s="202"/>
      <c r="R57" s="550">
        <f t="shared" si="16"/>
        <v>0</v>
      </c>
      <c r="S57" s="206"/>
      <c r="T57" s="206"/>
      <c r="U57" s="203"/>
    </row>
    <row r="58" spans="1:21" s="144" customFormat="1">
      <c r="A58" s="145" t="s">
        <v>156</v>
      </c>
      <c r="B58" s="146">
        <f t="shared" si="15"/>
        <v>10000</v>
      </c>
      <c r="C58" s="147">
        <v>10000</v>
      </c>
      <c r="D58" s="147"/>
      <c r="E58" s="147">
        <f>C58</f>
        <v>10000</v>
      </c>
      <c r="F58" s="147"/>
      <c r="G58" s="147"/>
      <c r="H58" s="147"/>
      <c r="I58" s="147"/>
      <c r="J58" s="147"/>
      <c r="K58" s="147"/>
      <c r="L58" s="147"/>
      <c r="M58" s="147"/>
      <c r="N58" s="147"/>
      <c r="O58" s="147"/>
      <c r="P58" s="147"/>
      <c r="Q58" s="147"/>
      <c r="R58" s="550">
        <f t="shared" si="16"/>
        <v>10000</v>
      </c>
      <c r="S58" s="148"/>
      <c r="T58" s="148"/>
      <c r="U58" s="143"/>
    </row>
    <row r="59" spans="1:21" s="144" customFormat="1">
      <c r="A59" s="304" t="s">
        <v>154</v>
      </c>
      <c r="B59" s="146">
        <f t="shared" si="15"/>
        <v>0</v>
      </c>
      <c r="C59" s="147"/>
      <c r="D59" s="147"/>
      <c r="E59" s="147"/>
      <c r="F59" s="147"/>
      <c r="G59" s="147"/>
      <c r="H59" s="147"/>
      <c r="I59" s="147"/>
      <c r="J59" s="147"/>
      <c r="K59" s="147"/>
      <c r="L59" s="147"/>
      <c r="M59" s="147"/>
      <c r="N59" s="147"/>
      <c r="O59" s="147"/>
      <c r="P59" s="147"/>
      <c r="Q59" s="147"/>
      <c r="R59" s="550">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50">
        <f t="shared" si="16"/>
        <v>0</v>
      </c>
      <c r="S60" s="148"/>
      <c r="T60" s="148"/>
      <c r="U60" s="143"/>
    </row>
    <row r="61" spans="1:21" s="144" customFormat="1">
      <c r="A61" s="1193" t="s">
        <v>2750</v>
      </c>
      <c r="B61" s="146">
        <f t="shared" si="15"/>
        <v>10000</v>
      </c>
      <c r="C61" s="147">
        <v>10000</v>
      </c>
      <c r="D61" s="147"/>
      <c r="E61" s="147">
        <f>C61</f>
        <v>10000</v>
      </c>
      <c r="F61" s="147"/>
      <c r="G61" s="147"/>
      <c r="H61" s="147"/>
      <c r="I61" s="147"/>
      <c r="J61" s="147"/>
      <c r="K61" s="147"/>
      <c r="L61" s="147"/>
      <c r="M61" s="147"/>
      <c r="N61" s="147"/>
      <c r="O61" s="147"/>
      <c r="P61" s="147"/>
      <c r="Q61" s="147"/>
      <c r="R61" s="550">
        <f t="shared" si="16"/>
        <v>10000</v>
      </c>
      <c r="S61" s="148"/>
      <c r="T61" s="148"/>
      <c r="U61" s="143"/>
    </row>
    <row r="62" spans="1:21" s="144" customFormat="1" ht="13.8" customHeight="1">
      <c r="A62" s="149" t="s">
        <v>302</v>
      </c>
      <c r="B62" s="146">
        <f>SUM(C62:D62)</f>
        <v>181974</v>
      </c>
      <c r="C62" s="146">
        <f t="shared" ref="C62:R62" si="17">SUM(C56:C61)</f>
        <v>181974</v>
      </c>
      <c r="D62" s="146">
        <f t="shared" si="17"/>
        <v>0</v>
      </c>
      <c r="E62" s="146">
        <f t="shared" si="17"/>
        <v>181974</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70">
        <f t="shared" si="17"/>
        <v>181974</v>
      </c>
      <c r="S62" s="148"/>
      <c r="T62" s="148"/>
      <c r="U62" s="143"/>
    </row>
    <row r="63" spans="1:21" s="144" customFormat="1">
      <c r="A63" s="154" t="s">
        <v>303</v>
      </c>
      <c r="B63" s="146">
        <f t="shared" ref="B63:R63" si="18">SUM(B8+B11+B13+B14+B15+B26+B27+B38+B42+B43+B54+B62)</f>
        <v>51036208.200000003</v>
      </c>
      <c r="C63" s="146">
        <f t="shared" si="18"/>
        <v>51036208.200000003</v>
      </c>
      <c r="D63" s="146">
        <f t="shared" si="18"/>
        <v>0</v>
      </c>
      <c r="E63" s="146">
        <f t="shared" si="18"/>
        <v>34838823.200000003</v>
      </c>
      <c r="F63" s="146">
        <f t="shared" si="18"/>
        <v>16197385</v>
      </c>
      <c r="G63" s="146">
        <f t="shared" si="18"/>
        <v>0</v>
      </c>
      <c r="H63" s="146">
        <f t="shared" si="18"/>
        <v>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70">
        <f t="shared" si="18"/>
        <v>51036208.200000003</v>
      </c>
      <c r="S63" s="146">
        <f>SUM(S10+S13+S14+S15+S26+S27+S38+S42+S43+S54)</f>
        <v>47056420.533710003</v>
      </c>
      <c r="T63" s="146">
        <f>SUM(T11+T13+T14+T15+T26+T27+T38+T42+T43+T54)</f>
        <v>0</v>
      </c>
      <c r="U63" s="143"/>
    </row>
    <row r="64" spans="1:21" s="144" customFormat="1" ht="22.8">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50000</v>
      </c>
      <c r="C65" s="147">
        <v>50000</v>
      </c>
      <c r="D65" s="147"/>
      <c r="E65" s="147">
        <f>C65</f>
        <v>50000</v>
      </c>
      <c r="F65" s="147"/>
      <c r="G65" s="147"/>
      <c r="H65" s="147"/>
      <c r="I65" s="147"/>
      <c r="J65" s="147"/>
      <c r="K65" s="147"/>
      <c r="L65" s="147"/>
      <c r="M65" s="147"/>
      <c r="N65" s="147"/>
      <c r="O65" s="147"/>
      <c r="P65" s="147"/>
      <c r="Q65" s="147"/>
      <c r="R65" s="550">
        <f>SUM(E65:Q65)</f>
        <v>50000</v>
      </c>
      <c r="S65" s="147">
        <f>R65</f>
        <v>50000</v>
      </c>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ht="22.8">
      <c r="A69" s="1193" t="s">
        <v>2751</v>
      </c>
      <c r="B69" s="146">
        <f>SUM(C69+D69)</f>
        <v>200000</v>
      </c>
      <c r="C69" s="147">
        <v>200000</v>
      </c>
      <c r="D69" s="147"/>
      <c r="E69" s="147">
        <f>C69</f>
        <v>200000</v>
      </c>
      <c r="F69" s="147"/>
      <c r="G69" s="147"/>
      <c r="H69" s="147"/>
      <c r="I69" s="147"/>
      <c r="J69" s="147"/>
      <c r="K69" s="147"/>
      <c r="L69" s="147"/>
      <c r="M69" s="147"/>
      <c r="N69" s="147"/>
      <c r="O69" s="147"/>
      <c r="P69" s="147"/>
      <c r="Q69" s="147"/>
      <c r="R69" s="550">
        <f>SUM(E69:Q69)</f>
        <v>200000</v>
      </c>
      <c r="S69" s="147">
        <v>100000</v>
      </c>
      <c r="T69" s="147"/>
      <c r="U69" s="143"/>
    </row>
    <row r="70" spans="1:21" s="144" customFormat="1" ht="12">
      <c r="A70" s="149" t="s">
        <v>1758</v>
      </c>
      <c r="B70" s="146">
        <f>SUM(C70:D70)</f>
        <v>250000</v>
      </c>
      <c r="C70" s="146">
        <f>SUM(C65:C69)</f>
        <v>250000</v>
      </c>
      <c r="D70" s="146">
        <f>SUM(D65:D69)</f>
        <v>0</v>
      </c>
      <c r="E70" s="146">
        <f t="shared" ref="E70:T70" si="19">SUM(E65:E69)</f>
        <v>250000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70">
        <f t="shared" si="19"/>
        <v>250000</v>
      </c>
      <c r="S70" s="150">
        <f t="shared" si="19"/>
        <v>150000</v>
      </c>
      <c r="T70" s="150">
        <f t="shared" si="19"/>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676887</v>
      </c>
      <c r="C75" s="147">
        <v>676887</v>
      </c>
      <c r="D75" s="147"/>
      <c r="E75" s="147">
        <f>C75</f>
        <v>676887</v>
      </c>
      <c r="F75" s="147"/>
      <c r="G75" s="147"/>
      <c r="H75" s="147"/>
      <c r="I75" s="147"/>
      <c r="J75" s="147"/>
      <c r="K75" s="147"/>
      <c r="L75" s="147"/>
      <c r="M75" s="147"/>
      <c r="N75" s="147"/>
      <c r="O75" s="147"/>
      <c r="P75" s="147"/>
      <c r="Q75" s="147"/>
      <c r="R75" s="550">
        <f>SUM(E75:Q75)</f>
        <v>676887</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ht="12">
      <c r="A77" s="149" t="s">
        <v>614</v>
      </c>
      <c r="B77" s="146">
        <f>SUM(C77:D77)</f>
        <v>676887</v>
      </c>
      <c r="C77" s="146">
        <f>SUM(C72:C76)</f>
        <v>676887</v>
      </c>
      <c r="D77" s="146">
        <f>SUM(D72:D76)</f>
        <v>0</v>
      </c>
      <c r="E77" s="146">
        <f t="shared" ref="E77:Q77" si="20">SUM(E72:E76)</f>
        <v>676887</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70">
        <f>SUM(R72:R76)</f>
        <v>676887</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2065000</v>
      </c>
      <c r="C79" s="147">
        <v>2065000</v>
      </c>
      <c r="D79" s="147"/>
      <c r="E79" s="147">
        <f>C79</f>
        <v>2065000</v>
      </c>
      <c r="F79" s="147"/>
      <c r="G79" s="147"/>
      <c r="H79" s="147"/>
      <c r="I79" s="147"/>
      <c r="J79" s="147"/>
      <c r="K79" s="147"/>
      <c r="L79" s="147"/>
      <c r="M79" s="147"/>
      <c r="N79" s="147"/>
      <c r="O79" s="147"/>
      <c r="P79" s="147"/>
      <c r="Q79" s="147"/>
      <c r="R79" s="550">
        <f>SUM(E79:Q79)</f>
        <v>2065000</v>
      </c>
      <c r="S79" s="147">
        <f>R79</f>
        <v>2065000</v>
      </c>
      <c r="T79" s="147"/>
      <c r="U79" s="143"/>
    </row>
    <row r="80" spans="1:21" s="144" customFormat="1">
      <c r="A80" s="304" t="s">
        <v>58</v>
      </c>
      <c r="B80" s="146">
        <f>SUM(C80:D80)</f>
        <v>647840</v>
      </c>
      <c r="C80" s="147">
        <v>647840</v>
      </c>
      <c r="D80" s="147"/>
      <c r="E80" s="147">
        <f>C80</f>
        <v>647840</v>
      </c>
      <c r="F80" s="147"/>
      <c r="G80" s="147"/>
      <c r="H80" s="147"/>
      <c r="I80" s="147"/>
      <c r="J80" s="147"/>
      <c r="K80" s="147"/>
      <c r="L80" s="147"/>
      <c r="M80" s="147"/>
      <c r="N80" s="147"/>
      <c r="O80" s="147"/>
      <c r="P80" s="147"/>
      <c r="Q80" s="147"/>
      <c r="R80" s="550">
        <f>SUM(E80:Q80)</f>
        <v>647840</v>
      </c>
      <c r="S80" s="147">
        <f>R80</f>
        <v>647840</v>
      </c>
      <c r="T80" s="147"/>
      <c r="U80" s="143"/>
    </row>
    <row r="81" spans="1:21" s="144" customFormat="1" ht="12">
      <c r="A81" s="149" t="s">
        <v>1315</v>
      </c>
      <c r="B81" s="146">
        <f>SUM(C81:D81)</f>
        <v>2712840</v>
      </c>
      <c r="C81" s="543">
        <f>SUM(C79:C80)</f>
        <v>2712840</v>
      </c>
      <c r="D81" s="543">
        <f t="shared" ref="D81:T81" si="21">SUM(D79:D80)</f>
        <v>0</v>
      </c>
      <c r="E81" s="543">
        <f t="shared" si="21"/>
        <v>2712840</v>
      </c>
      <c r="F81" s="543">
        <f t="shared" si="21"/>
        <v>0</v>
      </c>
      <c r="G81" s="543">
        <f t="shared" si="21"/>
        <v>0</v>
      </c>
      <c r="H81" s="543">
        <f t="shared" si="21"/>
        <v>0</v>
      </c>
      <c r="I81" s="543">
        <f t="shared" si="21"/>
        <v>0</v>
      </c>
      <c r="J81" s="543">
        <f t="shared" si="21"/>
        <v>0</v>
      </c>
      <c r="K81" s="543">
        <f t="shared" si="21"/>
        <v>0</v>
      </c>
      <c r="L81" s="543">
        <f t="shared" si="21"/>
        <v>0</v>
      </c>
      <c r="M81" s="543">
        <f t="shared" si="21"/>
        <v>0</v>
      </c>
      <c r="N81" s="543">
        <f t="shared" si="21"/>
        <v>0</v>
      </c>
      <c r="O81" s="543">
        <f t="shared" si="21"/>
        <v>0</v>
      </c>
      <c r="P81" s="543">
        <f t="shared" si="21"/>
        <v>0</v>
      </c>
      <c r="Q81" s="543">
        <f t="shared" si="21"/>
        <v>0</v>
      </c>
      <c r="R81" s="543">
        <f t="shared" si="21"/>
        <v>2712840</v>
      </c>
      <c r="S81" s="543">
        <f t="shared" si="21"/>
        <v>2712840</v>
      </c>
      <c r="T81" s="543">
        <f t="shared" si="21"/>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8" customHeight="1">
      <c r="A83" s="145" t="s">
        <v>2407</v>
      </c>
      <c r="B83" s="146">
        <f t="shared" ref="B83:B95" si="22">SUM(C83+D83)</f>
        <v>134979</v>
      </c>
      <c r="C83" s="147">
        <v>134979</v>
      </c>
      <c r="D83" s="147"/>
      <c r="E83" s="147">
        <v>134979</v>
      </c>
      <c r="F83" s="147"/>
      <c r="G83" s="147"/>
      <c r="H83" s="147"/>
      <c r="I83" s="147"/>
      <c r="J83" s="147"/>
      <c r="K83" s="147"/>
      <c r="L83" s="147"/>
      <c r="M83" s="147"/>
      <c r="N83" s="147"/>
      <c r="O83" s="147"/>
      <c r="P83" s="147"/>
      <c r="Q83" s="147"/>
      <c r="R83" s="550">
        <f t="shared" ref="R83:R95" si="23">SUM(E83:Q83)</f>
        <v>134979</v>
      </c>
      <c r="S83" s="148"/>
      <c r="T83" s="148"/>
      <c r="U83" s="143"/>
    </row>
    <row r="84" spans="1:21" s="144" customFormat="1">
      <c r="A84" s="145" t="s">
        <v>776</v>
      </c>
      <c r="B84" s="146">
        <f t="shared" si="22"/>
        <v>25000</v>
      </c>
      <c r="C84" s="147">
        <v>25000</v>
      </c>
      <c r="D84" s="147"/>
      <c r="E84" s="147">
        <f>C84</f>
        <v>25000</v>
      </c>
      <c r="F84" s="147"/>
      <c r="G84" s="147"/>
      <c r="H84" s="147"/>
      <c r="I84" s="147"/>
      <c r="J84" s="147"/>
      <c r="K84" s="147"/>
      <c r="L84" s="147"/>
      <c r="M84" s="147"/>
      <c r="N84" s="147"/>
      <c r="O84" s="147"/>
      <c r="P84" s="147"/>
      <c r="Q84" s="147"/>
      <c r="R84" s="550">
        <f t="shared" si="23"/>
        <v>25000</v>
      </c>
      <c r="S84" s="147">
        <f>R84</f>
        <v>25000</v>
      </c>
      <c r="T84" s="147"/>
      <c r="U84" s="143"/>
    </row>
    <row r="85" spans="1:21" s="144" customFormat="1">
      <c r="A85" s="145" t="s">
        <v>777</v>
      </c>
      <c r="B85" s="146">
        <f t="shared" si="22"/>
        <v>8757322</v>
      </c>
      <c r="C85" s="147">
        <v>8757322</v>
      </c>
      <c r="D85" s="147"/>
      <c r="E85" s="147">
        <f>C85</f>
        <v>8757322</v>
      </c>
      <c r="F85" s="147"/>
      <c r="G85" s="147"/>
      <c r="H85" s="147"/>
      <c r="I85" s="147"/>
      <c r="J85" s="147"/>
      <c r="K85" s="147"/>
      <c r="L85" s="147"/>
      <c r="M85" s="147"/>
      <c r="N85" s="147"/>
      <c r="O85" s="147"/>
      <c r="P85" s="147"/>
      <c r="Q85" s="147"/>
      <c r="R85" s="550">
        <f t="shared" si="23"/>
        <v>8757322</v>
      </c>
      <c r="S85" s="147">
        <f>R85</f>
        <v>8757322</v>
      </c>
      <c r="T85" s="147"/>
      <c r="U85" s="143"/>
    </row>
    <row r="86" spans="1:21" s="144" customFormat="1">
      <c r="A86" s="145" t="s">
        <v>778</v>
      </c>
      <c r="B86" s="146">
        <f t="shared" si="22"/>
        <v>212678</v>
      </c>
      <c r="C86" s="147">
        <v>212678</v>
      </c>
      <c r="D86" s="147"/>
      <c r="E86" s="147">
        <f>C86</f>
        <v>212678</v>
      </c>
      <c r="F86" s="147"/>
      <c r="G86" s="147"/>
      <c r="H86" s="147"/>
      <c r="I86" s="147"/>
      <c r="J86" s="147"/>
      <c r="K86" s="147"/>
      <c r="L86" s="147"/>
      <c r="M86" s="147"/>
      <c r="N86" s="147"/>
      <c r="O86" s="147"/>
      <c r="P86" s="147"/>
      <c r="Q86" s="147"/>
      <c r="R86" s="550">
        <f t="shared" si="23"/>
        <v>212678</v>
      </c>
      <c r="S86" s="147">
        <f>R86</f>
        <v>212678</v>
      </c>
      <c r="T86" s="147"/>
      <c r="U86" s="143"/>
    </row>
    <row r="87" spans="1:21" s="144" customFormat="1">
      <c r="A87" s="145" t="s">
        <v>779</v>
      </c>
      <c r="B87" s="146">
        <f t="shared" si="22"/>
        <v>0</v>
      </c>
      <c r="C87" s="147"/>
      <c r="D87" s="147"/>
      <c r="E87" s="147"/>
      <c r="F87" s="147"/>
      <c r="G87" s="147"/>
      <c r="H87" s="147"/>
      <c r="I87" s="147"/>
      <c r="J87" s="147"/>
      <c r="K87" s="147"/>
      <c r="L87" s="147"/>
      <c r="M87" s="147"/>
      <c r="N87" s="147"/>
      <c r="O87" s="147"/>
      <c r="P87" s="147"/>
      <c r="Q87" s="147"/>
      <c r="R87" s="550">
        <f t="shared" si="23"/>
        <v>0</v>
      </c>
      <c r="S87" s="147"/>
      <c r="T87" s="147"/>
      <c r="U87" s="143"/>
    </row>
    <row r="88" spans="1:21" s="144" customFormat="1">
      <c r="A88" s="145" t="s">
        <v>780</v>
      </c>
      <c r="B88" s="146">
        <f t="shared" si="22"/>
        <v>59690</v>
      </c>
      <c r="C88" s="147">
        <v>59690</v>
      </c>
      <c r="D88" s="147"/>
      <c r="E88" s="147">
        <f t="shared" ref="E88:E95" si="24">C88</f>
        <v>59690</v>
      </c>
      <c r="F88" s="147"/>
      <c r="G88" s="147"/>
      <c r="H88" s="147"/>
      <c r="I88" s="147"/>
      <c r="J88" s="147"/>
      <c r="K88" s="147"/>
      <c r="L88" s="147"/>
      <c r="M88" s="147"/>
      <c r="N88" s="147"/>
      <c r="O88" s="147"/>
      <c r="P88" s="147"/>
      <c r="Q88" s="147"/>
      <c r="R88" s="550">
        <f t="shared" si="23"/>
        <v>59690</v>
      </c>
      <c r="S88" s="148"/>
      <c r="T88" s="148"/>
      <c r="U88" s="143"/>
    </row>
    <row r="89" spans="1:21" s="144" customFormat="1">
      <c r="A89" s="145" t="s">
        <v>781</v>
      </c>
      <c r="B89" s="146">
        <f t="shared" si="22"/>
        <v>50000</v>
      </c>
      <c r="C89" s="147">
        <v>50000</v>
      </c>
      <c r="D89" s="147"/>
      <c r="E89" s="147">
        <f t="shared" si="24"/>
        <v>50000</v>
      </c>
      <c r="F89" s="147"/>
      <c r="G89" s="147"/>
      <c r="H89" s="147"/>
      <c r="I89" s="147"/>
      <c r="J89" s="147"/>
      <c r="K89" s="147"/>
      <c r="L89" s="147"/>
      <c r="M89" s="147"/>
      <c r="N89" s="147"/>
      <c r="O89" s="147"/>
      <c r="P89" s="147"/>
      <c r="Q89" s="147"/>
      <c r="R89" s="550">
        <f t="shared" si="23"/>
        <v>50000</v>
      </c>
      <c r="S89" s="147">
        <f>R89</f>
        <v>50000</v>
      </c>
      <c r="T89" s="147"/>
      <c r="U89" s="143"/>
    </row>
    <row r="90" spans="1:21" s="144" customFormat="1">
      <c r="A90" s="145" t="s">
        <v>782</v>
      </c>
      <c r="B90" s="146">
        <f t="shared" si="22"/>
        <v>10000</v>
      </c>
      <c r="C90" s="147">
        <v>10000</v>
      </c>
      <c r="D90" s="147"/>
      <c r="E90" s="147">
        <f t="shared" si="24"/>
        <v>10000</v>
      </c>
      <c r="F90" s="147"/>
      <c r="G90" s="147"/>
      <c r="H90" s="147"/>
      <c r="I90" s="147"/>
      <c r="J90" s="147"/>
      <c r="K90" s="147"/>
      <c r="L90" s="147"/>
      <c r="M90" s="147"/>
      <c r="N90" s="147"/>
      <c r="O90" s="147"/>
      <c r="P90" s="147"/>
      <c r="Q90" s="147"/>
      <c r="R90" s="550">
        <f t="shared" si="23"/>
        <v>10000</v>
      </c>
      <c r="S90" s="147">
        <f>R90</f>
        <v>10000</v>
      </c>
      <c r="T90" s="147"/>
      <c r="U90" s="143"/>
    </row>
    <row r="91" spans="1:21" s="144" customFormat="1">
      <c r="A91" s="145" t="s">
        <v>373</v>
      </c>
      <c r="B91" s="146">
        <f t="shared" si="22"/>
        <v>25000</v>
      </c>
      <c r="C91" s="147">
        <v>25000</v>
      </c>
      <c r="D91" s="147"/>
      <c r="E91" s="147">
        <f t="shared" si="24"/>
        <v>25000</v>
      </c>
      <c r="F91" s="147"/>
      <c r="G91" s="147"/>
      <c r="H91" s="147"/>
      <c r="I91" s="147"/>
      <c r="J91" s="147"/>
      <c r="K91" s="147"/>
      <c r="L91" s="147"/>
      <c r="M91" s="147"/>
      <c r="N91" s="147"/>
      <c r="O91" s="147"/>
      <c r="P91" s="147"/>
      <c r="Q91" s="147"/>
      <c r="R91" s="550">
        <f t="shared" si="23"/>
        <v>25000</v>
      </c>
      <c r="S91" s="147">
        <f>R91</f>
        <v>25000</v>
      </c>
      <c r="T91" s="147"/>
      <c r="U91" s="143"/>
    </row>
    <row r="92" spans="1:21" s="144" customFormat="1">
      <c r="A92" s="304" t="s">
        <v>1317</v>
      </c>
      <c r="B92" s="146">
        <f t="shared" si="22"/>
        <v>10000</v>
      </c>
      <c r="C92" s="147">
        <v>10000</v>
      </c>
      <c r="D92" s="147"/>
      <c r="E92" s="147">
        <f t="shared" si="24"/>
        <v>10000</v>
      </c>
      <c r="F92" s="147"/>
      <c r="G92" s="147"/>
      <c r="H92" s="147"/>
      <c r="I92" s="147"/>
      <c r="J92" s="147"/>
      <c r="K92" s="147"/>
      <c r="L92" s="147"/>
      <c r="M92" s="147"/>
      <c r="N92" s="147"/>
      <c r="O92" s="147"/>
      <c r="P92" s="147"/>
      <c r="Q92" s="147"/>
      <c r="R92" s="550">
        <f t="shared" si="23"/>
        <v>10000</v>
      </c>
      <c r="S92" s="147">
        <f>R92</f>
        <v>10000</v>
      </c>
      <c r="T92" s="147"/>
      <c r="U92" s="143"/>
    </row>
    <row r="93" spans="1:21" s="144" customFormat="1">
      <c r="A93" s="1193" t="s">
        <v>2752</v>
      </c>
      <c r="B93" s="146">
        <f t="shared" si="22"/>
        <v>17500</v>
      </c>
      <c r="C93" s="147">
        <v>17500</v>
      </c>
      <c r="D93" s="147"/>
      <c r="E93" s="147">
        <f t="shared" si="24"/>
        <v>17500</v>
      </c>
      <c r="F93" s="147"/>
      <c r="G93" s="147"/>
      <c r="H93" s="147"/>
      <c r="I93" s="147"/>
      <c r="J93" s="147"/>
      <c r="K93" s="147"/>
      <c r="L93" s="147"/>
      <c r="M93" s="147"/>
      <c r="N93" s="147"/>
      <c r="O93" s="147"/>
      <c r="P93" s="147"/>
      <c r="Q93" s="147"/>
      <c r="R93" s="550">
        <f t="shared" si="23"/>
        <v>17500</v>
      </c>
      <c r="S93" s="147">
        <f>R93</f>
        <v>17500</v>
      </c>
      <c r="T93" s="147"/>
      <c r="U93" s="143"/>
    </row>
    <row r="94" spans="1:21" s="144" customFormat="1" ht="22.8">
      <c r="A94" s="1193" t="s">
        <v>2753</v>
      </c>
      <c r="B94" s="146">
        <f t="shared" si="22"/>
        <v>437411.8</v>
      </c>
      <c r="C94" s="147">
        <f>25000+12411.8+400000</f>
        <v>437411.8</v>
      </c>
      <c r="D94" s="147"/>
      <c r="E94" s="147">
        <f t="shared" si="24"/>
        <v>437411.8</v>
      </c>
      <c r="F94" s="147"/>
      <c r="G94" s="147"/>
      <c r="H94" s="147"/>
      <c r="I94" s="147"/>
      <c r="J94" s="147"/>
      <c r="K94" s="147"/>
      <c r="L94" s="147"/>
      <c r="M94" s="147"/>
      <c r="N94" s="147"/>
      <c r="O94" s="147"/>
      <c r="P94" s="147"/>
      <c r="Q94" s="147"/>
      <c r="R94" s="550">
        <f t="shared" si="23"/>
        <v>437411.8</v>
      </c>
      <c r="S94" s="147">
        <f>R94-25000</f>
        <v>412411.8</v>
      </c>
      <c r="T94" s="147"/>
      <c r="U94" s="143"/>
    </row>
    <row r="95" spans="1:21" s="144" customFormat="1">
      <c r="A95" s="1193" t="s">
        <v>2754</v>
      </c>
      <c r="B95" s="146">
        <f t="shared" si="22"/>
        <v>450000</v>
      </c>
      <c r="C95" s="147">
        <v>450000</v>
      </c>
      <c r="D95" s="147"/>
      <c r="E95" s="147">
        <f t="shared" si="24"/>
        <v>450000</v>
      </c>
      <c r="F95" s="147"/>
      <c r="G95" s="147"/>
      <c r="H95" s="147"/>
      <c r="I95" s="147"/>
      <c r="J95" s="147"/>
      <c r="K95" s="147"/>
      <c r="L95" s="147"/>
      <c r="M95" s="147"/>
      <c r="N95" s="147"/>
      <c r="O95" s="147"/>
      <c r="P95" s="147"/>
      <c r="Q95" s="147"/>
      <c r="R95" s="550">
        <f t="shared" si="23"/>
        <v>450000</v>
      </c>
      <c r="S95" s="147">
        <v>225000</v>
      </c>
      <c r="T95" s="147"/>
      <c r="U95" s="143"/>
    </row>
    <row r="96" spans="1:21" s="144" customFormat="1" ht="12">
      <c r="A96" s="149" t="s">
        <v>783</v>
      </c>
      <c r="B96" s="146">
        <f>SUM(C96:D96)</f>
        <v>10189580.800000001</v>
      </c>
      <c r="C96" s="146">
        <f t="shared" ref="C96:R96" si="25">SUM(C83:C95)</f>
        <v>10189580.800000001</v>
      </c>
      <c r="D96" s="146">
        <f t="shared" si="25"/>
        <v>0</v>
      </c>
      <c r="E96" s="146">
        <f t="shared" si="25"/>
        <v>10189580.800000001</v>
      </c>
      <c r="F96" s="146">
        <f t="shared" si="25"/>
        <v>0</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70">
        <f t="shared" si="25"/>
        <v>10189580.800000001</v>
      </c>
      <c r="S96" s="150">
        <f>SUM(S84:S87,S89:S95)</f>
        <v>9744911.8000000007</v>
      </c>
      <c r="T96" s="146">
        <f>SUM(T84:T87,T89:T95)</f>
        <v>0</v>
      </c>
      <c r="U96" s="143"/>
    </row>
    <row r="97" spans="1:21" s="144" customFormat="1" ht="12">
      <c r="A97" s="149" t="s">
        <v>784</v>
      </c>
      <c r="B97" s="146">
        <f>SUM(C97:D97)</f>
        <v>64865516</v>
      </c>
      <c r="C97" s="146">
        <f t="shared" ref="C97:R97" si="26">SUM(C63+C70+C77+C81+C96)</f>
        <v>64865516</v>
      </c>
      <c r="D97" s="146">
        <f t="shared" si="26"/>
        <v>0</v>
      </c>
      <c r="E97" s="146">
        <f t="shared" si="26"/>
        <v>48668131</v>
      </c>
      <c r="F97" s="146">
        <f t="shared" si="26"/>
        <v>16197385</v>
      </c>
      <c r="G97" s="146">
        <f t="shared" si="26"/>
        <v>0</v>
      </c>
      <c r="H97" s="146">
        <f t="shared" si="26"/>
        <v>0</v>
      </c>
      <c r="I97" s="146">
        <f t="shared" si="26"/>
        <v>0</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64865516</v>
      </c>
      <c r="S97" s="146">
        <f>SUM(S63+S70+S81+S96)</f>
        <v>59664172.33371</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8949626</v>
      </c>
      <c r="C99" s="1014">
        <v>8949626</v>
      </c>
      <c r="D99" s="1014"/>
      <c r="E99" s="1014">
        <f>C99-G99</f>
        <v>2583165</v>
      </c>
      <c r="F99" s="147"/>
      <c r="G99" s="147">
        <v>6366461</v>
      </c>
      <c r="H99" s="147"/>
      <c r="I99" s="147"/>
      <c r="J99" s="147"/>
      <c r="K99" s="147"/>
      <c r="L99" s="147"/>
      <c r="M99" s="147"/>
      <c r="N99" s="147"/>
      <c r="O99" s="147"/>
      <c r="P99" s="147"/>
      <c r="Q99" s="147"/>
      <c r="R99" s="550">
        <f>SUM(E99:Q99)</f>
        <v>8949626</v>
      </c>
      <c r="S99" s="147">
        <f>R99</f>
        <v>8949626</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788</v>
      </c>
      <c r="B104" s="146">
        <f>SUM(C104:D104)</f>
        <v>8949626</v>
      </c>
      <c r="C104" s="146">
        <f>SUM(C99:C103)</f>
        <v>8949626</v>
      </c>
      <c r="D104" s="146">
        <f t="shared" ref="D104:T104" si="27">SUM(D99:D103)</f>
        <v>0</v>
      </c>
      <c r="E104" s="146">
        <f t="shared" si="27"/>
        <v>2583165</v>
      </c>
      <c r="F104" s="146">
        <f t="shared" si="27"/>
        <v>0</v>
      </c>
      <c r="G104" s="146">
        <f t="shared" si="27"/>
        <v>6366461</v>
      </c>
      <c r="H104" s="146">
        <f t="shared" si="27"/>
        <v>0</v>
      </c>
      <c r="I104" s="146">
        <f t="shared" si="27"/>
        <v>0</v>
      </c>
      <c r="J104" s="146">
        <f t="shared" si="27"/>
        <v>0</v>
      </c>
      <c r="K104" s="146">
        <f t="shared" si="27"/>
        <v>0</v>
      </c>
      <c r="L104" s="146">
        <f t="shared" si="27"/>
        <v>0</v>
      </c>
      <c r="M104" s="146">
        <f t="shared" si="27"/>
        <v>0</v>
      </c>
      <c r="N104" s="146">
        <f t="shared" si="27"/>
        <v>0</v>
      </c>
      <c r="O104" s="146">
        <f t="shared" si="27"/>
        <v>0</v>
      </c>
      <c r="P104" s="146">
        <f t="shared" si="27"/>
        <v>0</v>
      </c>
      <c r="Q104" s="146">
        <f t="shared" si="27"/>
        <v>0</v>
      </c>
      <c r="R104" s="370">
        <f t="shared" si="27"/>
        <v>8949626</v>
      </c>
      <c r="S104" s="150">
        <f t="shared" si="27"/>
        <v>8949626</v>
      </c>
      <c r="T104" s="150">
        <f t="shared" si="27"/>
        <v>0</v>
      </c>
      <c r="U104" s="143"/>
    </row>
    <row r="105" spans="1:21" s="144" customFormat="1" ht="12">
      <c r="A105" s="149" t="s">
        <v>789</v>
      </c>
      <c r="B105" s="150">
        <f>SUM(C105:D105)</f>
        <v>73815142</v>
      </c>
      <c r="C105" s="150">
        <f t="shared" ref="C105:R105" si="28">SUM(C97+C104)</f>
        <v>73815142</v>
      </c>
      <c r="D105" s="150">
        <f t="shared" si="28"/>
        <v>0</v>
      </c>
      <c r="E105" s="150">
        <f t="shared" si="28"/>
        <v>51251296</v>
      </c>
      <c r="F105" s="150">
        <f t="shared" si="28"/>
        <v>16197385</v>
      </c>
      <c r="G105" s="150">
        <f t="shared" si="28"/>
        <v>6366461</v>
      </c>
      <c r="H105" s="150">
        <f t="shared" si="28"/>
        <v>0</v>
      </c>
      <c r="I105" s="150">
        <f t="shared" si="28"/>
        <v>0</v>
      </c>
      <c r="J105" s="150">
        <f t="shared" si="28"/>
        <v>0</v>
      </c>
      <c r="K105" s="150">
        <f t="shared" si="28"/>
        <v>0</v>
      </c>
      <c r="L105" s="150">
        <f t="shared" si="28"/>
        <v>0</v>
      </c>
      <c r="M105" s="150">
        <f t="shared" si="28"/>
        <v>0</v>
      </c>
      <c r="N105" s="150">
        <f t="shared" si="28"/>
        <v>0</v>
      </c>
      <c r="O105" s="150">
        <f t="shared" si="28"/>
        <v>0</v>
      </c>
      <c r="P105" s="150">
        <f t="shared" si="28"/>
        <v>0</v>
      </c>
      <c r="Q105" s="150">
        <f t="shared" si="28"/>
        <v>0</v>
      </c>
      <c r="R105" s="370">
        <f t="shared" si="28"/>
        <v>73815142</v>
      </c>
      <c r="S105" s="150">
        <f>S97+S104</f>
        <v>68613798.33371</v>
      </c>
      <c r="T105" s="150">
        <f>T97+T104</f>
        <v>0</v>
      </c>
      <c r="U105" s="143"/>
    </row>
    <row r="106" spans="1:21" ht="12">
      <c r="A106" s="548" t="s">
        <v>1044</v>
      </c>
      <c r="B106" s="157"/>
      <c r="C106" s="157"/>
      <c r="D106" s="157"/>
      <c r="H106" s="159" t="s">
        <v>92</v>
      </c>
      <c r="I106" s="159"/>
      <c r="J106" s="159"/>
      <c r="R106" s="160" t="s">
        <v>93</v>
      </c>
      <c r="S106" s="147"/>
      <c r="T106" s="147"/>
    </row>
    <row r="107" spans="1:21" ht="12">
      <c r="A107" s="157" t="s">
        <v>184</v>
      </c>
      <c r="C107" s="157"/>
      <c r="D107" s="157"/>
      <c r="I107" s="162" t="s">
        <v>351</v>
      </c>
      <c r="J107" s="162"/>
      <c r="R107" s="160" t="s">
        <v>94</v>
      </c>
      <c r="S107" s="150">
        <f>S105+S106</f>
        <v>68613798.33371</v>
      </c>
      <c r="T107" s="150">
        <f>T105+T106</f>
        <v>0</v>
      </c>
    </row>
    <row r="108" spans="1:21" s="201" customFormat="1" ht="12">
      <c r="A108" s="162" t="s">
        <v>891</v>
      </c>
      <c r="B108" s="157"/>
      <c r="C108" s="157"/>
      <c r="D108" s="157"/>
      <c r="E108" s="323">
        <f>Application!AO640</f>
        <v>51251296</v>
      </c>
      <c r="F108" s="323">
        <f>Application!AO627</f>
        <v>16197385</v>
      </c>
      <c r="G108" s="323">
        <f>Application!AO628</f>
        <v>6366461</v>
      </c>
      <c r="H108" s="323">
        <f>Application!AO629</f>
        <v>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977</v>
      </c>
      <c r="B110" s="157"/>
      <c r="C110" s="157"/>
      <c r="D110" s="157"/>
    </row>
    <row r="111" spans="1:21" ht="12">
      <c r="A111" s="156" t="s">
        <v>978</v>
      </c>
      <c r="B111" s="157"/>
      <c r="C111" s="157"/>
      <c r="D111" s="157"/>
    </row>
    <row r="112" spans="1:21" ht="12" customHeight="1">
      <c r="A112" s="336"/>
      <c r="B112" s="157"/>
      <c r="C112" s="157"/>
      <c r="D112" s="157"/>
    </row>
    <row r="113" spans="1:21" ht="12">
      <c r="A113" s="156" t="s">
        <v>1043</v>
      </c>
      <c r="B113" s="157"/>
      <c r="C113" s="157"/>
      <c r="D113" s="157"/>
    </row>
    <row r="114" spans="1:21" ht="12">
      <c r="A114" s="156" t="s">
        <v>2408</v>
      </c>
      <c r="B114" s="157"/>
      <c r="C114" s="157"/>
      <c r="D114" s="157"/>
    </row>
    <row r="115" spans="1:21" ht="12" customHeight="1">
      <c r="A115" s="336"/>
      <c r="B115" s="157"/>
      <c r="C115" s="157"/>
      <c r="D115" s="157"/>
    </row>
    <row r="116" spans="1:21" ht="12">
      <c r="A116" s="373" t="s">
        <v>1046</v>
      </c>
      <c r="B116" s="157"/>
      <c r="C116" s="157"/>
      <c r="D116" s="157"/>
    </row>
    <row r="117" spans="1:21" ht="12">
      <c r="A117" s="373" t="s">
        <v>1330</v>
      </c>
      <c r="B117" s="157"/>
      <c r="C117" s="157"/>
      <c r="D117" s="157"/>
    </row>
    <row r="118" spans="1:21" ht="12">
      <c r="A118" s="373" t="s">
        <v>1045</v>
      </c>
      <c r="B118" s="157"/>
      <c r="C118" s="157"/>
      <c r="D118" s="157"/>
    </row>
    <row r="119" spans="1:21" ht="12">
      <c r="A119" s="373" t="s">
        <v>1047</v>
      </c>
      <c r="B119" s="157"/>
      <c r="C119" s="157"/>
      <c r="D119" s="157"/>
    </row>
    <row r="120" spans="1:21" ht="12" customHeight="1">
      <c r="A120" s="372"/>
      <c r="B120" s="157"/>
      <c r="C120" s="157"/>
      <c r="D120" s="157"/>
    </row>
    <row r="121" spans="1:21" ht="15.6">
      <c r="A121" s="366" t="s">
        <v>1029</v>
      </c>
      <c r="B121" s="157"/>
      <c r="C121" s="157"/>
      <c r="D121" s="157"/>
    </row>
    <row r="122" spans="1:21">
      <c r="A122" s="353" t="s">
        <v>1013</v>
      </c>
      <c r="B122" s="352"/>
      <c r="C122" s="352"/>
      <c r="D122" s="1901" t="s">
        <v>1014</v>
      </c>
      <c r="E122" s="1901"/>
      <c r="F122" s="1901"/>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92" t="s">
        <v>1331</v>
      </c>
      <c r="E123" s="1572"/>
      <c r="F123" s="1572"/>
      <c r="G123" s="1572"/>
      <c r="H123" s="1572"/>
      <c r="I123" s="1572"/>
      <c r="J123" s="1572"/>
      <c r="K123" s="1572"/>
      <c r="L123" s="1572"/>
      <c r="M123" s="1572"/>
      <c r="N123" s="1572"/>
      <c r="O123" s="1572"/>
      <c r="P123" s="1572"/>
      <c r="Q123" s="1572"/>
      <c r="R123" s="1572"/>
      <c r="S123" s="1572"/>
      <c r="T123" s="352"/>
      <c r="U123" s="354"/>
    </row>
    <row r="124" spans="1:21" ht="13.2">
      <c r="A124" s="117" t="s">
        <v>1016</v>
      </c>
      <c r="B124" s="361"/>
      <c r="C124" s="117"/>
      <c r="D124" s="1572"/>
      <c r="E124" s="1572"/>
      <c r="F124" s="1572"/>
      <c r="G124" s="1572"/>
      <c r="H124" s="1572"/>
      <c r="I124" s="1572"/>
      <c r="J124" s="1572"/>
      <c r="K124" s="1572"/>
      <c r="L124" s="1572"/>
      <c r="M124" s="1572"/>
      <c r="N124" s="1572"/>
      <c r="O124" s="1572"/>
      <c r="P124" s="1572"/>
      <c r="Q124" s="1572"/>
      <c r="R124" s="1572"/>
      <c r="S124" s="1572"/>
      <c r="T124" s="352"/>
      <c r="U124" s="354"/>
    </row>
    <row r="125" spans="1:21" ht="13.2">
      <c r="A125" s="117" t="s">
        <v>1017</v>
      </c>
      <c r="B125" s="361"/>
      <c r="C125" s="117"/>
      <c r="D125" s="1572"/>
      <c r="E125" s="1572"/>
      <c r="F125" s="1572"/>
      <c r="G125" s="1572"/>
      <c r="H125" s="1572"/>
      <c r="I125" s="1572"/>
      <c r="J125" s="1572"/>
      <c r="K125" s="1572"/>
      <c r="L125" s="1572"/>
      <c r="M125" s="1572"/>
      <c r="N125" s="1572"/>
      <c r="O125" s="1572"/>
      <c r="P125" s="1572"/>
      <c r="Q125" s="1572"/>
      <c r="R125" s="1572"/>
      <c r="S125" s="1572"/>
      <c r="T125" s="352"/>
      <c r="U125" s="354"/>
    </row>
    <row r="126" spans="1:21" ht="13.2">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1020</v>
      </c>
      <c r="B128" s="361"/>
      <c r="C128" s="117"/>
      <c r="D128" s="1896"/>
      <c r="E128" s="1896"/>
      <c r="F128" s="1896"/>
      <c r="G128" s="1896"/>
      <c r="H128" s="1896"/>
      <c r="I128" s="117"/>
      <c r="J128" s="1891"/>
      <c r="K128" s="1891"/>
      <c r="L128" s="117"/>
      <c r="M128" s="117"/>
      <c r="N128" s="117"/>
      <c r="O128" s="117"/>
      <c r="P128" s="117"/>
      <c r="Q128" s="117"/>
      <c r="R128" s="117"/>
      <c r="S128" s="117"/>
      <c r="T128" s="352"/>
      <c r="U128" s="354"/>
    </row>
    <row r="129" spans="1:21" ht="13.2">
      <c r="A129" s="117" t="s">
        <v>301</v>
      </c>
      <c r="B129" s="361"/>
      <c r="C129" s="117"/>
      <c r="D129" s="1900" t="s">
        <v>1021</v>
      </c>
      <c r="E129" s="1900"/>
      <c r="F129" s="1900"/>
      <c r="G129" s="1900"/>
      <c r="H129" s="1900"/>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1023</v>
      </c>
      <c r="B131" s="362">
        <f>SUM(B123:B129)</f>
        <v>0</v>
      </c>
      <c r="C131" s="117"/>
      <c r="D131" s="1894" t="s">
        <v>2643</v>
      </c>
      <c r="E131" s="1500"/>
      <c r="F131" s="1500"/>
      <c r="G131" s="1500"/>
      <c r="H131" s="1500"/>
      <c r="I131" s="117"/>
      <c r="J131" s="1894" t="s">
        <v>2767</v>
      </c>
      <c r="K131" s="1500"/>
      <c r="L131" s="1500"/>
      <c r="M131" s="1500"/>
      <c r="N131" s="117"/>
      <c r="O131" s="117"/>
      <c r="P131" s="117"/>
      <c r="Q131" s="117"/>
      <c r="R131" s="117"/>
      <c r="S131" s="117"/>
      <c r="T131" s="352"/>
      <c r="U131" s="354"/>
    </row>
    <row r="132" spans="1:21" ht="12" customHeight="1">
      <c r="A132" s="364"/>
      <c r="B132" s="117"/>
      <c r="C132" s="117"/>
      <c r="D132" s="1893" t="s">
        <v>1024</v>
      </c>
      <c r="E132" s="1893"/>
      <c r="F132" s="1893"/>
      <c r="G132" s="1893"/>
      <c r="H132" s="1893"/>
      <c r="I132" s="117"/>
      <c r="J132" s="1893" t="s">
        <v>1025</v>
      </c>
      <c r="K132" s="1893"/>
      <c r="L132" s="1893"/>
      <c r="M132" s="189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1027</v>
      </c>
      <c r="B135" s="117"/>
      <c r="C135" s="117"/>
      <c r="D135" s="117"/>
      <c r="E135" s="117"/>
      <c r="F135" s="117"/>
      <c r="G135" s="117"/>
      <c r="H135" s="117"/>
      <c r="I135" s="117"/>
      <c r="J135" s="117"/>
      <c r="K135" s="117"/>
      <c r="L135" s="117"/>
      <c r="M135" s="117"/>
      <c r="N135" s="365">
        <v>0.50249999999999995</v>
      </c>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95"/>
      <c r="B138" s="1896"/>
      <c r="C138" s="1896"/>
      <c r="D138" s="356"/>
      <c r="E138" s="1891"/>
      <c r="F138" s="1891"/>
      <c r="G138" s="117"/>
      <c r="H138" s="117"/>
      <c r="I138" s="117"/>
      <c r="J138" s="117"/>
      <c r="K138" s="117"/>
      <c r="L138" s="117"/>
      <c r="M138" s="117"/>
      <c r="N138" s="117"/>
      <c r="O138" s="117"/>
      <c r="P138" s="117"/>
      <c r="Q138" s="117"/>
      <c r="R138" s="117"/>
      <c r="S138" s="117"/>
      <c r="T138" s="358"/>
      <c r="U138" s="359"/>
    </row>
    <row r="139" spans="1:21" ht="13.2">
      <c r="A139" s="1890" t="s">
        <v>1028</v>
      </c>
      <c r="B139" s="1890"/>
      <c r="C139" s="1890"/>
      <c r="D139" s="356"/>
      <c r="E139" s="117" t="s">
        <v>1022</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59" zoomScale="75" workbookViewId="0">
      <selection activeCell="D110" sqref="D110"/>
    </sheetView>
  </sheetViews>
  <sheetFormatPr defaultColWidth="0" defaultRowHeight="12" zeroHeight="1"/>
  <cols>
    <col min="1" max="1" width="32.77734375" style="428" customWidth="1"/>
    <col min="2" max="3" width="12.109375" style="424" customWidth="1"/>
    <col min="4" max="6" width="12.77734375" style="424" customWidth="1"/>
    <col min="7" max="9" width="12.109375" style="424" customWidth="1"/>
    <col min="10" max="10" width="12.109375" style="425" customWidth="1"/>
    <col min="11" max="11" width="8.77734375" style="426" hidden="1" customWidth="1"/>
    <col min="12" max="21" width="8.77734375" style="424" hidden="1" customWidth="1"/>
    <col min="22" max="23" width="0" style="424" hidden="1"/>
    <col min="24" max="256" width="8.77734375" style="424" hidden="1"/>
    <col min="257" max="257" width="32.77734375" style="424" hidden="1" customWidth="1"/>
    <col min="258" max="259" width="12.109375" style="424" hidden="1" customWidth="1"/>
    <col min="260" max="260" width="12.77734375" style="424" hidden="1" customWidth="1"/>
    <col min="261" max="266" width="12.109375" style="424" hidden="1" customWidth="1"/>
    <col min="267" max="277" width="8.77734375" style="424" hidden="1" customWidth="1"/>
    <col min="278" max="512" width="8.77734375" style="424" hidden="1"/>
    <col min="513" max="513" width="32.77734375" style="424" hidden="1" customWidth="1"/>
    <col min="514" max="515" width="12.109375" style="424" hidden="1" customWidth="1"/>
    <col min="516" max="516" width="12.77734375" style="424" hidden="1" customWidth="1"/>
    <col min="517" max="522" width="12.109375" style="424" hidden="1" customWidth="1"/>
    <col min="523" max="533" width="8.77734375" style="424" hidden="1" customWidth="1"/>
    <col min="534" max="768" width="8.77734375" style="424" hidden="1"/>
    <col min="769" max="769" width="32.77734375" style="424" hidden="1" customWidth="1"/>
    <col min="770" max="771" width="12.109375" style="424" hidden="1" customWidth="1"/>
    <col min="772" max="772" width="12.77734375" style="424" hidden="1" customWidth="1"/>
    <col min="773" max="778" width="12.109375" style="424" hidden="1" customWidth="1"/>
    <col min="779" max="789" width="8.77734375" style="424" hidden="1" customWidth="1"/>
    <col min="790" max="1024" width="8.77734375" style="424" hidden="1"/>
    <col min="1025" max="1025" width="32.77734375" style="424" hidden="1" customWidth="1"/>
    <col min="1026" max="1027" width="12.109375" style="424" hidden="1" customWidth="1"/>
    <col min="1028" max="1028" width="12.77734375" style="424" hidden="1" customWidth="1"/>
    <col min="1029" max="1034" width="12.109375" style="424" hidden="1" customWidth="1"/>
    <col min="1035" max="1045" width="8.77734375" style="424" hidden="1" customWidth="1"/>
    <col min="1046" max="1280" width="8.77734375" style="424" hidden="1"/>
    <col min="1281" max="1281" width="32.77734375" style="424" hidden="1" customWidth="1"/>
    <col min="1282" max="1283" width="12.109375" style="424" hidden="1" customWidth="1"/>
    <col min="1284" max="1284" width="12.77734375" style="424" hidden="1" customWidth="1"/>
    <col min="1285" max="1290" width="12.109375" style="424" hidden="1" customWidth="1"/>
    <col min="1291" max="1301" width="8.77734375" style="424" hidden="1" customWidth="1"/>
    <col min="1302" max="1536" width="8.77734375" style="424" hidden="1"/>
    <col min="1537" max="1537" width="32.77734375" style="424" hidden="1" customWidth="1"/>
    <col min="1538" max="1539" width="12.109375" style="424" hidden="1" customWidth="1"/>
    <col min="1540" max="1540" width="12.77734375" style="424" hidden="1" customWidth="1"/>
    <col min="1541" max="1546" width="12.109375" style="424" hidden="1" customWidth="1"/>
    <col min="1547" max="1557" width="8.77734375" style="424" hidden="1" customWidth="1"/>
    <col min="1558" max="1792" width="8.77734375" style="424" hidden="1"/>
    <col min="1793" max="1793" width="32.77734375" style="424" hidden="1" customWidth="1"/>
    <col min="1794" max="1795" width="12.109375" style="424" hidden="1" customWidth="1"/>
    <col min="1796" max="1796" width="12.77734375" style="424" hidden="1" customWidth="1"/>
    <col min="1797" max="1802" width="12.109375" style="424" hidden="1" customWidth="1"/>
    <col min="1803" max="1813" width="8.77734375" style="424" hidden="1" customWidth="1"/>
    <col min="1814" max="2048" width="8.77734375" style="424" hidden="1"/>
    <col min="2049" max="2049" width="32.77734375" style="424" hidden="1" customWidth="1"/>
    <col min="2050" max="2051" width="12.109375" style="424" hidden="1" customWidth="1"/>
    <col min="2052" max="2052" width="12.77734375" style="424" hidden="1" customWidth="1"/>
    <col min="2053" max="2058" width="12.109375" style="424" hidden="1" customWidth="1"/>
    <col min="2059" max="2069" width="8.77734375" style="424" hidden="1" customWidth="1"/>
    <col min="2070" max="2304" width="8.77734375" style="424" hidden="1"/>
    <col min="2305" max="2305" width="32.77734375" style="424" hidden="1" customWidth="1"/>
    <col min="2306" max="2307" width="12.109375" style="424" hidden="1" customWidth="1"/>
    <col min="2308" max="2308" width="12.77734375" style="424" hidden="1" customWidth="1"/>
    <col min="2309" max="2314" width="12.109375" style="424" hidden="1" customWidth="1"/>
    <col min="2315" max="2325" width="8.77734375" style="424" hidden="1" customWidth="1"/>
    <col min="2326" max="2560" width="8.77734375" style="424" hidden="1"/>
    <col min="2561" max="2561" width="32.77734375" style="424" hidden="1" customWidth="1"/>
    <col min="2562" max="2563" width="12.109375" style="424" hidden="1" customWidth="1"/>
    <col min="2564" max="2564" width="12.77734375" style="424" hidden="1" customWidth="1"/>
    <col min="2565" max="2570" width="12.109375" style="424" hidden="1" customWidth="1"/>
    <col min="2571" max="2581" width="8.77734375" style="424" hidden="1" customWidth="1"/>
    <col min="2582" max="2816" width="8.77734375" style="424" hidden="1"/>
    <col min="2817" max="2817" width="32.77734375" style="424" hidden="1" customWidth="1"/>
    <col min="2818" max="2819" width="12.109375" style="424" hidden="1" customWidth="1"/>
    <col min="2820" max="2820" width="12.77734375" style="424" hidden="1" customWidth="1"/>
    <col min="2821" max="2826" width="12.109375" style="424" hidden="1" customWidth="1"/>
    <col min="2827" max="2837" width="8.77734375" style="424" hidden="1" customWidth="1"/>
    <col min="2838" max="3072" width="8.77734375" style="424" hidden="1"/>
    <col min="3073" max="3073" width="32.77734375" style="424" hidden="1" customWidth="1"/>
    <col min="3074" max="3075" width="12.109375" style="424" hidden="1" customWidth="1"/>
    <col min="3076" max="3076" width="12.77734375" style="424" hidden="1" customWidth="1"/>
    <col min="3077" max="3082" width="12.109375" style="424" hidden="1" customWidth="1"/>
    <col min="3083" max="3093" width="8.77734375" style="424" hidden="1" customWidth="1"/>
    <col min="3094" max="3328" width="8.77734375" style="424" hidden="1"/>
    <col min="3329" max="3329" width="32.77734375" style="424" hidden="1" customWidth="1"/>
    <col min="3330" max="3331" width="12.109375" style="424" hidden="1" customWidth="1"/>
    <col min="3332" max="3332" width="12.77734375" style="424" hidden="1" customWidth="1"/>
    <col min="3333" max="3338" width="12.109375" style="424" hidden="1" customWidth="1"/>
    <col min="3339" max="3349" width="8.77734375" style="424" hidden="1" customWidth="1"/>
    <col min="3350" max="3584" width="8.77734375" style="424" hidden="1"/>
    <col min="3585" max="3585" width="32.77734375" style="424" hidden="1" customWidth="1"/>
    <col min="3586" max="3587" width="12.109375" style="424" hidden="1" customWidth="1"/>
    <col min="3588" max="3588" width="12.77734375" style="424" hidden="1" customWidth="1"/>
    <col min="3589" max="3594" width="12.109375" style="424" hidden="1" customWidth="1"/>
    <col min="3595" max="3605" width="8.77734375" style="424" hidden="1" customWidth="1"/>
    <col min="3606" max="3840" width="8.77734375" style="424" hidden="1"/>
    <col min="3841" max="3841" width="32.77734375" style="424" hidden="1" customWidth="1"/>
    <col min="3842" max="3843" width="12.109375" style="424" hidden="1" customWidth="1"/>
    <col min="3844" max="3844" width="12.77734375" style="424" hidden="1" customWidth="1"/>
    <col min="3845" max="3850" width="12.109375" style="424" hidden="1" customWidth="1"/>
    <col min="3851" max="3861" width="8.77734375" style="424" hidden="1" customWidth="1"/>
    <col min="3862" max="4096" width="8.77734375" style="424" hidden="1"/>
    <col min="4097" max="4097" width="32.77734375" style="424" hidden="1" customWidth="1"/>
    <col min="4098" max="4099" width="12.109375" style="424" hidden="1" customWidth="1"/>
    <col min="4100" max="4100" width="12.77734375" style="424" hidden="1" customWidth="1"/>
    <col min="4101" max="4106" width="12.109375" style="424" hidden="1" customWidth="1"/>
    <col min="4107" max="4117" width="8.77734375" style="424" hidden="1" customWidth="1"/>
    <col min="4118" max="4352" width="8.77734375" style="424" hidden="1"/>
    <col min="4353" max="4353" width="32.77734375" style="424" hidden="1" customWidth="1"/>
    <col min="4354" max="4355" width="12.109375" style="424" hidden="1" customWidth="1"/>
    <col min="4356" max="4356" width="12.77734375" style="424" hidden="1" customWidth="1"/>
    <col min="4357" max="4362" width="12.109375" style="424" hidden="1" customWidth="1"/>
    <col min="4363" max="4373" width="8.77734375" style="424" hidden="1" customWidth="1"/>
    <col min="4374" max="4608" width="8.77734375" style="424" hidden="1"/>
    <col min="4609" max="4609" width="32.77734375" style="424" hidden="1" customWidth="1"/>
    <col min="4610" max="4611" width="12.109375" style="424" hidden="1" customWidth="1"/>
    <col min="4612" max="4612" width="12.77734375" style="424" hidden="1" customWidth="1"/>
    <col min="4613" max="4618" width="12.109375" style="424" hidden="1" customWidth="1"/>
    <col min="4619" max="4629" width="8.77734375" style="424" hidden="1" customWidth="1"/>
    <col min="4630" max="4864" width="8.77734375" style="424" hidden="1"/>
    <col min="4865" max="4865" width="32.77734375" style="424" hidden="1" customWidth="1"/>
    <col min="4866" max="4867" width="12.109375" style="424" hidden="1" customWidth="1"/>
    <col min="4868" max="4868" width="12.77734375" style="424" hidden="1" customWidth="1"/>
    <col min="4869" max="4874" width="12.109375" style="424" hidden="1" customWidth="1"/>
    <col min="4875" max="4885" width="8.77734375" style="424" hidden="1" customWidth="1"/>
    <col min="4886" max="5120" width="8.77734375" style="424" hidden="1"/>
    <col min="5121" max="5121" width="32.77734375" style="424" hidden="1" customWidth="1"/>
    <col min="5122" max="5123" width="12.109375" style="424" hidden="1" customWidth="1"/>
    <col min="5124" max="5124" width="12.77734375" style="424" hidden="1" customWidth="1"/>
    <col min="5125" max="5130" width="12.109375" style="424" hidden="1" customWidth="1"/>
    <col min="5131" max="5141" width="8.77734375" style="424" hidden="1" customWidth="1"/>
    <col min="5142" max="5376" width="8.77734375" style="424" hidden="1"/>
    <col min="5377" max="5377" width="32.77734375" style="424" hidden="1" customWidth="1"/>
    <col min="5378" max="5379" width="12.109375" style="424" hidden="1" customWidth="1"/>
    <col min="5380" max="5380" width="12.77734375" style="424" hidden="1" customWidth="1"/>
    <col min="5381" max="5386" width="12.109375" style="424" hidden="1" customWidth="1"/>
    <col min="5387" max="5397" width="8.77734375" style="424" hidden="1" customWidth="1"/>
    <col min="5398" max="5632" width="8.77734375" style="424" hidden="1"/>
    <col min="5633" max="5633" width="32.77734375" style="424" hidden="1" customWidth="1"/>
    <col min="5634" max="5635" width="12.109375" style="424" hidden="1" customWidth="1"/>
    <col min="5636" max="5636" width="12.77734375" style="424" hidden="1" customWidth="1"/>
    <col min="5637" max="5642" width="12.109375" style="424" hidden="1" customWidth="1"/>
    <col min="5643" max="5653" width="8.77734375" style="424" hidden="1" customWidth="1"/>
    <col min="5654" max="5888" width="8.77734375" style="424" hidden="1"/>
    <col min="5889" max="5889" width="32.77734375" style="424" hidden="1" customWidth="1"/>
    <col min="5890" max="5891" width="12.109375" style="424" hidden="1" customWidth="1"/>
    <col min="5892" max="5892" width="12.77734375" style="424" hidden="1" customWidth="1"/>
    <col min="5893" max="5898" width="12.109375" style="424" hidden="1" customWidth="1"/>
    <col min="5899" max="5909" width="8.77734375" style="424" hidden="1" customWidth="1"/>
    <col min="5910" max="6144" width="8.77734375" style="424" hidden="1"/>
    <col min="6145" max="6145" width="32.77734375" style="424" hidden="1" customWidth="1"/>
    <col min="6146" max="6147" width="12.109375" style="424" hidden="1" customWidth="1"/>
    <col min="6148" max="6148" width="12.77734375" style="424" hidden="1" customWidth="1"/>
    <col min="6149" max="6154" width="12.109375" style="424" hidden="1" customWidth="1"/>
    <col min="6155" max="6165" width="8.77734375" style="424" hidden="1" customWidth="1"/>
    <col min="6166" max="6400" width="8.77734375" style="424" hidden="1"/>
    <col min="6401" max="6401" width="32.77734375" style="424" hidden="1" customWidth="1"/>
    <col min="6402" max="6403" width="12.109375" style="424" hidden="1" customWidth="1"/>
    <col min="6404" max="6404" width="12.77734375" style="424" hidden="1" customWidth="1"/>
    <col min="6405" max="6410" width="12.109375" style="424" hidden="1" customWidth="1"/>
    <col min="6411" max="6421" width="8.77734375" style="424" hidden="1" customWidth="1"/>
    <col min="6422" max="6656" width="8.77734375" style="424" hidden="1"/>
    <col min="6657" max="6657" width="32.77734375" style="424" hidden="1" customWidth="1"/>
    <col min="6658" max="6659" width="12.109375" style="424" hidden="1" customWidth="1"/>
    <col min="6660" max="6660" width="12.77734375" style="424" hidden="1" customWidth="1"/>
    <col min="6661" max="6666" width="12.109375" style="424" hidden="1" customWidth="1"/>
    <col min="6667" max="6677" width="8.77734375" style="424" hidden="1" customWidth="1"/>
    <col min="6678" max="6912" width="8.77734375" style="424" hidden="1"/>
    <col min="6913" max="6913" width="32.77734375" style="424" hidden="1" customWidth="1"/>
    <col min="6914" max="6915" width="12.109375" style="424" hidden="1" customWidth="1"/>
    <col min="6916" max="6916" width="12.77734375" style="424" hidden="1" customWidth="1"/>
    <col min="6917" max="6922" width="12.109375" style="424" hidden="1" customWidth="1"/>
    <col min="6923" max="6933" width="8.77734375" style="424" hidden="1" customWidth="1"/>
    <col min="6934" max="7168" width="8.77734375" style="424" hidden="1"/>
    <col min="7169" max="7169" width="32.77734375" style="424" hidden="1" customWidth="1"/>
    <col min="7170" max="7171" width="12.109375" style="424" hidden="1" customWidth="1"/>
    <col min="7172" max="7172" width="12.77734375" style="424" hidden="1" customWidth="1"/>
    <col min="7173" max="7178" width="12.109375" style="424" hidden="1" customWidth="1"/>
    <col min="7179" max="7189" width="8.77734375" style="424" hidden="1" customWidth="1"/>
    <col min="7190" max="7424" width="8.77734375" style="424" hidden="1"/>
    <col min="7425" max="7425" width="32.77734375" style="424" hidden="1" customWidth="1"/>
    <col min="7426" max="7427" width="12.109375" style="424" hidden="1" customWidth="1"/>
    <col min="7428" max="7428" width="12.77734375" style="424" hidden="1" customWidth="1"/>
    <col min="7429" max="7434" width="12.109375" style="424" hidden="1" customWidth="1"/>
    <col min="7435" max="7445" width="8.77734375" style="424" hidden="1" customWidth="1"/>
    <col min="7446" max="7680" width="8.77734375" style="424" hidden="1"/>
    <col min="7681" max="7681" width="32.77734375" style="424" hidden="1" customWidth="1"/>
    <col min="7682" max="7683" width="12.109375" style="424" hidden="1" customWidth="1"/>
    <col min="7684" max="7684" width="12.77734375" style="424" hidden="1" customWidth="1"/>
    <col min="7685" max="7690" width="12.109375" style="424" hidden="1" customWidth="1"/>
    <col min="7691" max="7701" width="8.77734375" style="424" hidden="1" customWidth="1"/>
    <col min="7702" max="7936" width="8.77734375" style="424" hidden="1"/>
    <col min="7937" max="7937" width="32.77734375" style="424" hidden="1" customWidth="1"/>
    <col min="7938" max="7939" width="12.109375" style="424" hidden="1" customWidth="1"/>
    <col min="7940" max="7940" width="12.77734375" style="424" hidden="1" customWidth="1"/>
    <col min="7941" max="7946" width="12.109375" style="424" hidden="1" customWidth="1"/>
    <col min="7947" max="7957" width="8.77734375" style="424" hidden="1" customWidth="1"/>
    <col min="7958" max="8192" width="8.77734375" style="424" hidden="1"/>
    <col min="8193" max="8193" width="32.77734375" style="424" hidden="1" customWidth="1"/>
    <col min="8194" max="8195" width="12.109375" style="424" hidden="1" customWidth="1"/>
    <col min="8196" max="8196" width="12.77734375" style="424" hidden="1" customWidth="1"/>
    <col min="8197" max="8202" width="12.109375" style="424" hidden="1" customWidth="1"/>
    <col min="8203" max="8213" width="8.77734375" style="424" hidden="1" customWidth="1"/>
    <col min="8214" max="8448" width="8.77734375" style="424" hidden="1"/>
    <col min="8449" max="8449" width="32.77734375" style="424" hidden="1" customWidth="1"/>
    <col min="8450" max="8451" width="12.109375" style="424" hidden="1" customWidth="1"/>
    <col min="8452" max="8452" width="12.77734375" style="424" hidden="1" customWidth="1"/>
    <col min="8453" max="8458" width="12.109375" style="424" hidden="1" customWidth="1"/>
    <col min="8459" max="8469" width="8.77734375" style="424" hidden="1" customWidth="1"/>
    <col min="8470" max="8704" width="8.77734375" style="424" hidden="1"/>
    <col min="8705" max="8705" width="32.77734375" style="424" hidden="1" customWidth="1"/>
    <col min="8706" max="8707" width="12.109375" style="424" hidden="1" customWidth="1"/>
    <col min="8708" max="8708" width="12.77734375" style="424" hidden="1" customWidth="1"/>
    <col min="8709" max="8714" width="12.109375" style="424" hidden="1" customWidth="1"/>
    <col min="8715" max="8725" width="8.77734375" style="424" hidden="1" customWidth="1"/>
    <col min="8726" max="8960" width="8.77734375" style="424" hidden="1"/>
    <col min="8961" max="8961" width="32.77734375" style="424" hidden="1" customWidth="1"/>
    <col min="8962" max="8963" width="12.109375" style="424" hidden="1" customWidth="1"/>
    <col min="8964" max="8964" width="12.77734375" style="424" hidden="1" customWidth="1"/>
    <col min="8965" max="8970" width="12.109375" style="424" hidden="1" customWidth="1"/>
    <col min="8971" max="8981" width="8.77734375" style="424" hidden="1" customWidth="1"/>
    <col min="8982" max="9216" width="8.77734375" style="424" hidden="1"/>
    <col min="9217" max="9217" width="32.77734375" style="424" hidden="1" customWidth="1"/>
    <col min="9218" max="9219" width="12.109375" style="424" hidden="1" customWidth="1"/>
    <col min="9220" max="9220" width="12.77734375" style="424" hidden="1" customWidth="1"/>
    <col min="9221" max="9226" width="12.109375" style="424" hidden="1" customWidth="1"/>
    <col min="9227" max="9237" width="8.77734375" style="424" hidden="1" customWidth="1"/>
    <col min="9238" max="9472" width="8.77734375" style="424" hidden="1"/>
    <col min="9473" max="9473" width="32.77734375" style="424" hidden="1" customWidth="1"/>
    <col min="9474" max="9475" width="12.109375" style="424" hidden="1" customWidth="1"/>
    <col min="9476" max="9476" width="12.77734375" style="424" hidden="1" customWidth="1"/>
    <col min="9477" max="9482" width="12.109375" style="424" hidden="1" customWidth="1"/>
    <col min="9483" max="9493" width="8.77734375" style="424" hidden="1" customWidth="1"/>
    <col min="9494" max="9728" width="8.77734375" style="424" hidden="1"/>
    <col min="9729" max="9729" width="32.77734375" style="424" hidden="1" customWidth="1"/>
    <col min="9730" max="9731" width="12.109375" style="424" hidden="1" customWidth="1"/>
    <col min="9732" max="9732" width="12.77734375" style="424" hidden="1" customWidth="1"/>
    <col min="9733" max="9738" width="12.109375" style="424" hidden="1" customWidth="1"/>
    <col min="9739" max="9749" width="8.77734375" style="424" hidden="1" customWidth="1"/>
    <col min="9750" max="9984" width="8.77734375" style="424" hidden="1"/>
    <col min="9985" max="9985" width="32.77734375" style="424" hidden="1" customWidth="1"/>
    <col min="9986" max="9987" width="12.109375" style="424" hidden="1" customWidth="1"/>
    <col min="9988" max="9988" width="12.77734375" style="424" hidden="1" customWidth="1"/>
    <col min="9989" max="9994" width="12.109375" style="424" hidden="1" customWidth="1"/>
    <col min="9995" max="10005" width="8.77734375" style="424" hidden="1" customWidth="1"/>
    <col min="10006" max="10240" width="8.77734375" style="424" hidden="1"/>
    <col min="10241" max="10241" width="32.77734375" style="424" hidden="1" customWidth="1"/>
    <col min="10242" max="10243" width="12.109375" style="424" hidden="1" customWidth="1"/>
    <col min="10244" max="10244" width="12.77734375" style="424" hidden="1" customWidth="1"/>
    <col min="10245" max="10250" width="12.109375" style="424" hidden="1" customWidth="1"/>
    <col min="10251" max="10261" width="8.77734375" style="424" hidden="1" customWidth="1"/>
    <col min="10262" max="10496" width="8.77734375" style="424" hidden="1"/>
    <col min="10497" max="10497" width="32.77734375" style="424" hidden="1" customWidth="1"/>
    <col min="10498" max="10499" width="12.109375" style="424" hidden="1" customWidth="1"/>
    <col min="10500" max="10500" width="12.77734375" style="424" hidden="1" customWidth="1"/>
    <col min="10501" max="10506" width="12.109375" style="424" hidden="1" customWidth="1"/>
    <col min="10507" max="10517" width="8.77734375" style="424" hidden="1" customWidth="1"/>
    <col min="10518" max="10752" width="8.77734375" style="424" hidden="1"/>
    <col min="10753" max="10753" width="32.77734375" style="424" hidden="1" customWidth="1"/>
    <col min="10754" max="10755" width="12.109375" style="424" hidden="1" customWidth="1"/>
    <col min="10756" max="10756" width="12.77734375" style="424" hidden="1" customWidth="1"/>
    <col min="10757" max="10762" width="12.109375" style="424" hidden="1" customWidth="1"/>
    <col min="10763" max="10773" width="8.77734375" style="424" hidden="1" customWidth="1"/>
    <col min="10774" max="11008" width="8.77734375" style="424" hidden="1"/>
    <col min="11009" max="11009" width="32.77734375" style="424" hidden="1" customWidth="1"/>
    <col min="11010" max="11011" width="12.109375" style="424" hidden="1" customWidth="1"/>
    <col min="11012" max="11012" width="12.77734375" style="424" hidden="1" customWidth="1"/>
    <col min="11013" max="11018" width="12.109375" style="424" hidden="1" customWidth="1"/>
    <col min="11019" max="11029" width="8.77734375" style="424" hidden="1" customWidth="1"/>
    <col min="11030" max="11264" width="8.77734375" style="424" hidden="1"/>
    <col min="11265" max="11265" width="32.77734375" style="424" hidden="1" customWidth="1"/>
    <col min="11266" max="11267" width="12.109375" style="424" hidden="1" customWidth="1"/>
    <col min="11268" max="11268" width="12.77734375" style="424" hidden="1" customWidth="1"/>
    <col min="11269" max="11274" width="12.109375" style="424" hidden="1" customWidth="1"/>
    <col min="11275" max="11285" width="8.77734375" style="424" hidden="1" customWidth="1"/>
    <col min="11286" max="11520" width="8.77734375" style="424" hidden="1"/>
    <col min="11521" max="11521" width="32.77734375" style="424" hidden="1" customWidth="1"/>
    <col min="11522" max="11523" width="12.109375" style="424" hidden="1" customWidth="1"/>
    <col min="11524" max="11524" width="12.77734375" style="424" hidden="1" customWidth="1"/>
    <col min="11525" max="11530" width="12.109375" style="424" hidden="1" customWidth="1"/>
    <col min="11531" max="11541" width="8.77734375" style="424" hidden="1" customWidth="1"/>
    <col min="11542" max="11776" width="8.77734375" style="424" hidden="1"/>
    <col min="11777" max="11777" width="32.77734375" style="424" hidden="1" customWidth="1"/>
    <col min="11778" max="11779" width="12.109375" style="424" hidden="1" customWidth="1"/>
    <col min="11780" max="11780" width="12.77734375" style="424" hidden="1" customWidth="1"/>
    <col min="11781" max="11786" width="12.109375" style="424" hidden="1" customWidth="1"/>
    <col min="11787" max="11797" width="8.77734375" style="424" hidden="1" customWidth="1"/>
    <col min="11798" max="12032" width="8.77734375" style="424" hidden="1"/>
    <col min="12033" max="12033" width="32.77734375" style="424" hidden="1" customWidth="1"/>
    <col min="12034" max="12035" width="12.109375" style="424" hidden="1" customWidth="1"/>
    <col min="12036" max="12036" width="12.77734375" style="424" hidden="1" customWidth="1"/>
    <col min="12037" max="12042" width="12.109375" style="424" hidden="1" customWidth="1"/>
    <col min="12043" max="12053" width="8.77734375" style="424" hidden="1" customWidth="1"/>
    <col min="12054" max="12288" width="8.77734375" style="424" hidden="1"/>
    <col min="12289" max="12289" width="32.77734375" style="424" hidden="1" customWidth="1"/>
    <col min="12290" max="12291" width="12.109375" style="424" hidden="1" customWidth="1"/>
    <col min="12292" max="12292" width="12.77734375" style="424" hidden="1" customWidth="1"/>
    <col min="12293" max="12298" width="12.109375" style="424" hidden="1" customWidth="1"/>
    <col min="12299" max="12309" width="8.77734375" style="424" hidden="1" customWidth="1"/>
    <col min="12310" max="12544" width="8.77734375" style="424" hidden="1"/>
    <col min="12545" max="12545" width="32.77734375" style="424" hidden="1" customWidth="1"/>
    <col min="12546" max="12547" width="12.109375" style="424" hidden="1" customWidth="1"/>
    <col min="12548" max="12548" width="12.77734375" style="424" hidden="1" customWidth="1"/>
    <col min="12549" max="12554" width="12.109375" style="424" hidden="1" customWidth="1"/>
    <col min="12555" max="12565" width="8.77734375" style="424" hidden="1" customWidth="1"/>
    <col min="12566" max="12800" width="8.77734375" style="424" hidden="1"/>
    <col min="12801" max="12801" width="32.77734375" style="424" hidden="1" customWidth="1"/>
    <col min="12802" max="12803" width="12.109375" style="424" hidden="1" customWidth="1"/>
    <col min="12804" max="12804" width="12.77734375" style="424" hidden="1" customWidth="1"/>
    <col min="12805" max="12810" width="12.109375" style="424" hidden="1" customWidth="1"/>
    <col min="12811" max="12821" width="8.77734375" style="424" hidden="1" customWidth="1"/>
    <col min="12822" max="13056" width="8.77734375" style="424" hidden="1"/>
    <col min="13057" max="13057" width="32.77734375" style="424" hidden="1" customWidth="1"/>
    <col min="13058" max="13059" width="12.109375" style="424" hidden="1" customWidth="1"/>
    <col min="13060" max="13060" width="12.77734375" style="424" hidden="1" customWidth="1"/>
    <col min="13061" max="13066" width="12.109375" style="424" hidden="1" customWidth="1"/>
    <col min="13067" max="13077" width="8.77734375" style="424" hidden="1" customWidth="1"/>
    <col min="13078" max="13312" width="8.77734375" style="424" hidden="1"/>
    <col min="13313" max="13313" width="32.77734375" style="424" hidden="1" customWidth="1"/>
    <col min="13314" max="13315" width="12.109375" style="424" hidden="1" customWidth="1"/>
    <col min="13316" max="13316" width="12.77734375" style="424" hidden="1" customWidth="1"/>
    <col min="13317" max="13322" width="12.109375" style="424" hidden="1" customWidth="1"/>
    <col min="13323" max="13333" width="8.77734375" style="424" hidden="1" customWidth="1"/>
    <col min="13334" max="13568" width="8.77734375" style="424" hidden="1"/>
    <col min="13569" max="13569" width="32.77734375" style="424" hidden="1" customWidth="1"/>
    <col min="13570" max="13571" width="12.109375" style="424" hidden="1" customWidth="1"/>
    <col min="13572" max="13572" width="12.77734375" style="424" hidden="1" customWidth="1"/>
    <col min="13573" max="13578" width="12.109375" style="424" hidden="1" customWidth="1"/>
    <col min="13579" max="13589" width="8.77734375" style="424" hidden="1" customWidth="1"/>
    <col min="13590" max="13824" width="8.77734375" style="424" hidden="1"/>
    <col min="13825" max="13825" width="32.77734375" style="424" hidden="1" customWidth="1"/>
    <col min="13826" max="13827" width="12.109375" style="424" hidden="1" customWidth="1"/>
    <col min="13828" max="13828" width="12.77734375" style="424" hidden="1" customWidth="1"/>
    <col min="13829" max="13834" width="12.109375" style="424" hidden="1" customWidth="1"/>
    <col min="13835" max="13845" width="8.77734375" style="424" hidden="1" customWidth="1"/>
    <col min="13846" max="14080" width="8.77734375" style="424" hidden="1"/>
    <col min="14081" max="14081" width="32.77734375" style="424" hidden="1" customWidth="1"/>
    <col min="14082" max="14083" width="12.109375" style="424" hidden="1" customWidth="1"/>
    <col min="14084" max="14084" width="12.77734375" style="424" hidden="1" customWidth="1"/>
    <col min="14085" max="14090" width="12.109375" style="424" hidden="1" customWidth="1"/>
    <col min="14091" max="14101" width="8.77734375" style="424" hidden="1" customWidth="1"/>
    <col min="14102" max="14336" width="8.77734375" style="424" hidden="1"/>
    <col min="14337" max="14337" width="32.77734375" style="424" hidden="1" customWidth="1"/>
    <col min="14338" max="14339" width="12.109375" style="424" hidden="1" customWidth="1"/>
    <col min="14340" max="14340" width="12.77734375" style="424" hidden="1" customWidth="1"/>
    <col min="14341" max="14346" width="12.109375" style="424" hidden="1" customWidth="1"/>
    <col min="14347" max="14357" width="8.77734375" style="424" hidden="1" customWidth="1"/>
    <col min="14358" max="14592" width="8.77734375" style="424" hidden="1"/>
    <col min="14593" max="14593" width="32.77734375" style="424" hidden="1" customWidth="1"/>
    <col min="14594" max="14595" width="12.109375" style="424" hidden="1" customWidth="1"/>
    <col min="14596" max="14596" width="12.77734375" style="424" hidden="1" customWidth="1"/>
    <col min="14597" max="14602" width="12.109375" style="424" hidden="1" customWidth="1"/>
    <col min="14603" max="14613" width="8.77734375" style="424" hidden="1" customWidth="1"/>
    <col min="14614" max="14848" width="8.77734375" style="424" hidden="1"/>
    <col min="14849" max="14849" width="32.77734375" style="424" hidden="1" customWidth="1"/>
    <col min="14850" max="14851" width="12.109375" style="424" hidden="1" customWidth="1"/>
    <col min="14852" max="14852" width="12.77734375" style="424" hidden="1" customWidth="1"/>
    <col min="14853" max="14858" width="12.109375" style="424" hidden="1" customWidth="1"/>
    <col min="14859" max="14869" width="8.77734375" style="424" hidden="1" customWidth="1"/>
    <col min="14870" max="15104" width="8.77734375" style="424" hidden="1"/>
    <col min="15105" max="15105" width="32.77734375" style="424" hidden="1" customWidth="1"/>
    <col min="15106" max="15107" width="12.109375" style="424" hidden="1" customWidth="1"/>
    <col min="15108" max="15108" width="12.77734375" style="424" hidden="1" customWidth="1"/>
    <col min="15109" max="15114" width="12.109375" style="424" hidden="1" customWidth="1"/>
    <col min="15115" max="15125" width="8.77734375" style="424" hidden="1" customWidth="1"/>
    <col min="15126" max="15360" width="8.77734375" style="424" hidden="1"/>
    <col min="15361" max="15361" width="32.77734375" style="424" hidden="1" customWidth="1"/>
    <col min="15362" max="15363" width="12.109375" style="424" hidden="1" customWidth="1"/>
    <col min="15364" max="15364" width="12.77734375" style="424" hidden="1" customWidth="1"/>
    <col min="15365" max="15370" width="12.109375" style="424" hidden="1" customWidth="1"/>
    <col min="15371" max="15381" width="8.77734375" style="424" hidden="1" customWidth="1"/>
    <col min="15382" max="15616" width="8.77734375" style="424" hidden="1"/>
    <col min="15617" max="15617" width="32.77734375" style="424" hidden="1" customWidth="1"/>
    <col min="15618" max="15619" width="12.109375" style="424" hidden="1" customWidth="1"/>
    <col min="15620" max="15620" width="12.77734375" style="424" hidden="1" customWidth="1"/>
    <col min="15621" max="15626" width="12.109375" style="424" hidden="1" customWidth="1"/>
    <col min="15627" max="15637" width="8.77734375" style="424" hidden="1" customWidth="1"/>
    <col min="15638" max="15872" width="8.77734375" style="424" hidden="1"/>
    <col min="15873" max="15873" width="32.77734375" style="424" hidden="1" customWidth="1"/>
    <col min="15874" max="15875" width="12.109375" style="424" hidden="1" customWidth="1"/>
    <col min="15876" max="15876" width="12.77734375" style="424" hidden="1" customWidth="1"/>
    <col min="15877" max="15882" width="12.109375" style="424" hidden="1" customWidth="1"/>
    <col min="15883" max="15893" width="8.77734375" style="424" hidden="1" customWidth="1"/>
    <col min="15894" max="16128" width="8.77734375" style="424" hidden="1"/>
    <col min="16129" max="16129" width="32.77734375" style="424" hidden="1" customWidth="1"/>
    <col min="16130" max="16131" width="12.109375" style="424" hidden="1" customWidth="1"/>
    <col min="16132" max="16132" width="12.77734375" style="424" hidden="1" customWidth="1"/>
    <col min="16133" max="16138" width="12.109375" style="424" hidden="1" customWidth="1"/>
    <col min="16139" max="16149" width="8.77734375" style="424" hidden="1" customWidth="1"/>
    <col min="16150" max="16384" width="8.77734375" style="424" hidden="1"/>
  </cols>
  <sheetData>
    <row r="1" spans="1:11" s="387" customFormat="1" ht="13.2">
      <c r="A1" s="1904" t="s">
        <v>1334</v>
      </c>
      <c r="B1" s="1905"/>
      <c r="C1" s="1905"/>
      <c r="D1" s="1905"/>
      <c r="E1" s="1905"/>
      <c r="F1" s="1905"/>
      <c r="G1" s="1905"/>
      <c r="H1" s="1905"/>
      <c r="I1" s="1905"/>
      <c r="J1" s="1906"/>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1957627</v>
      </c>
      <c r="C4" s="393">
        <f>B4</f>
        <v>1957627</v>
      </c>
      <c r="D4" s="393"/>
      <c r="E4" s="394"/>
      <c r="F4" s="394"/>
      <c r="G4" s="394"/>
      <c r="H4" s="394"/>
      <c r="I4" s="394"/>
      <c r="J4" s="394"/>
      <c r="K4" s="390"/>
    </row>
    <row r="5" spans="1:11" s="391" customFormat="1" ht="11.4">
      <c r="A5" s="395" t="s">
        <v>28</v>
      </c>
      <c r="B5" s="392">
        <f>'Sources and Uses Budget'!C5</f>
        <v>0</v>
      </c>
      <c r="C5" s="393"/>
      <c r="D5" s="393"/>
      <c r="E5" s="394"/>
      <c r="F5" s="394"/>
      <c r="G5" s="394"/>
      <c r="H5" s="394"/>
      <c r="I5" s="394"/>
      <c r="J5" s="394"/>
      <c r="K5" s="390"/>
    </row>
    <row r="6" spans="1:11" s="391" customFormat="1" ht="11.4">
      <c r="A6" s="395" t="s">
        <v>29</v>
      </c>
      <c r="B6" s="392">
        <f>'Sources and Uses Budget'!C6</f>
        <v>0</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601</v>
      </c>
      <c r="B8" s="392">
        <f>'Sources and Uses Budget'!C8</f>
        <v>1957627</v>
      </c>
      <c r="C8" s="392">
        <f>SUM(C4:C7)</f>
        <v>1957627</v>
      </c>
      <c r="D8" s="392">
        <f>SUM(D4:D7)</f>
        <v>0</v>
      </c>
      <c r="E8" s="394"/>
      <c r="F8" s="394"/>
      <c r="G8" s="394"/>
      <c r="H8" s="394"/>
      <c r="I8" s="394"/>
      <c r="J8" s="394"/>
      <c r="K8" s="390"/>
    </row>
    <row r="9" spans="1:11" s="391" customFormat="1" ht="11.4">
      <c r="A9" s="395" t="s">
        <v>602</v>
      </c>
      <c r="B9" s="392">
        <f>'Sources and Uses Budget'!C9</f>
        <v>0</v>
      </c>
      <c r="C9" s="393"/>
      <c r="D9" s="393"/>
      <c r="E9" s="394"/>
      <c r="F9" s="394"/>
      <c r="G9" s="394"/>
      <c r="H9" s="392">
        <f>'Sources and Uses Budget'!T9</f>
        <v>0</v>
      </c>
      <c r="I9" s="393"/>
      <c r="J9" s="393"/>
      <c r="K9" s="390"/>
    </row>
    <row r="10" spans="1:11" s="391" customFormat="1" ht="11.4">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1957627</v>
      </c>
      <c r="C12" s="392">
        <f>SUM(C8+C11)</f>
        <v>1957627</v>
      </c>
      <c r="D12" s="392">
        <f>SUM(D8+D11)</f>
        <v>0</v>
      </c>
      <c r="E12" s="394"/>
      <c r="F12" s="394"/>
      <c r="G12" s="394"/>
      <c r="H12" s="394"/>
      <c r="I12" s="394"/>
      <c r="J12" s="394"/>
      <c r="K12" s="390"/>
    </row>
    <row r="13" spans="1:11" s="391" customFormat="1" ht="11.4">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605</v>
      </c>
      <c r="B16" s="389"/>
      <c r="C16" s="389"/>
      <c r="D16" s="389"/>
      <c r="E16" s="389"/>
      <c r="F16" s="389"/>
      <c r="G16" s="389"/>
      <c r="H16" s="389"/>
      <c r="I16" s="389"/>
      <c r="J16" s="389"/>
      <c r="K16" s="390"/>
    </row>
    <row r="17" spans="1:11" s="391" customFormat="1" ht="11.4">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606</v>
      </c>
      <c r="B29" s="392">
        <f>'Sources and Uses Budget'!C29</f>
        <v>3715272</v>
      </c>
      <c r="C29" s="393">
        <f>B29</f>
        <v>3715272</v>
      </c>
      <c r="D29" s="393"/>
      <c r="E29" s="392">
        <f>'Sources and Uses Budget'!S29</f>
        <v>3715272</v>
      </c>
      <c r="F29" s="393">
        <f>E29</f>
        <v>3715272</v>
      </c>
      <c r="G29" s="393"/>
      <c r="H29" s="392">
        <f>'Sources and Uses Budget'!T29</f>
        <v>0</v>
      </c>
      <c r="I29" s="393"/>
      <c r="J29" s="393"/>
      <c r="K29" s="390"/>
    </row>
    <row r="30" spans="1:11" s="391" customFormat="1" ht="11.4">
      <c r="A30" s="145" t="s">
        <v>607</v>
      </c>
      <c r="B30" s="392">
        <f>'Sources and Uses Budget'!C30</f>
        <v>31480939</v>
      </c>
      <c r="C30" s="393">
        <f>B30</f>
        <v>31480939</v>
      </c>
      <c r="D30" s="393"/>
      <c r="E30" s="392">
        <f>'Sources and Uses Budget'!S30</f>
        <v>31480939</v>
      </c>
      <c r="F30" s="393">
        <f>E30</f>
        <v>31480939</v>
      </c>
      <c r="G30" s="393"/>
      <c r="H30" s="392">
        <f>'Sources and Uses Budget'!T30</f>
        <v>0</v>
      </c>
      <c r="I30" s="393"/>
      <c r="J30" s="393"/>
      <c r="K30" s="390"/>
    </row>
    <row r="31" spans="1:11" s="391" customFormat="1" ht="11.4">
      <c r="A31" s="145" t="s">
        <v>608</v>
      </c>
      <c r="B31" s="392">
        <f>'Sources and Uses Budget'!C31</f>
        <v>2111773</v>
      </c>
      <c r="C31" s="393">
        <f>B31</f>
        <v>2111773</v>
      </c>
      <c r="D31" s="393"/>
      <c r="E31" s="392">
        <f>'Sources and Uses Budget'!S31</f>
        <v>2111773</v>
      </c>
      <c r="F31" s="393">
        <f>E31</f>
        <v>2111773</v>
      </c>
      <c r="G31" s="393"/>
      <c r="H31" s="392">
        <f>'Sources and Uses Budget'!T31</f>
        <v>0</v>
      </c>
      <c r="I31" s="393"/>
      <c r="J31" s="393"/>
      <c r="K31" s="390"/>
    </row>
    <row r="32" spans="1:11" s="391" customFormat="1" ht="11.4">
      <c r="A32" s="145" t="s">
        <v>137</v>
      </c>
      <c r="B32" s="392">
        <f>'Sources and Uses Budget'!C32</f>
        <v>1492319.5</v>
      </c>
      <c r="C32" s="393">
        <f>B32</f>
        <v>1492319.5</v>
      </c>
      <c r="D32" s="393"/>
      <c r="E32" s="392">
        <f>'Sources and Uses Budget'!S32</f>
        <v>1492319.5</v>
      </c>
      <c r="F32" s="393">
        <f>E32</f>
        <v>1492319.5</v>
      </c>
      <c r="G32" s="393"/>
      <c r="H32" s="392">
        <f>'Sources and Uses Budget'!T32</f>
        <v>0</v>
      </c>
      <c r="I32" s="393"/>
      <c r="J32" s="393"/>
      <c r="K32" s="390"/>
    </row>
    <row r="33" spans="1:11" s="391" customFormat="1" ht="11.4">
      <c r="A33" s="145" t="s">
        <v>138</v>
      </c>
      <c r="B33" s="392">
        <f>'Sources and Uses Budget'!C33</f>
        <v>1492319.5</v>
      </c>
      <c r="C33" s="393">
        <f>B33</f>
        <v>1492319.5</v>
      </c>
      <c r="D33" s="393"/>
      <c r="E33" s="392">
        <f>'Sources and Uses Budget'!S33</f>
        <v>1492319.5</v>
      </c>
      <c r="F33" s="393">
        <f>E33</f>
        <v>1492319.5</v>
      </c>
      <c r="G33" s="393"/>
      <c r="H33" s="392">
        <f>'Sources and Uses Budget'!T33</f>
        <v>0</v>
      </c>
      <c r="I33" s="393"/>
      <c r="J33" s="393"/>
      <c r="K33" s="390"/>
    </row>
    <row r="34" spans="1:11" s="391" customFormat="1" ht="11.4">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1.4">
      <c r="A35" s="145" t="s">
        <v>140</v>
      </c>
      <c r="B35" s="392">
        <f>'Sources and Uses Budget'!C35</f>
        <v>402988.5</v>
      </c>
      <c r="C35" s="393">
        <f>B35</f>
        <v>402988.5</v>
      </c>
      <c r="D35" s="393"/>
      <c r="E35" s="392">
        <f>'Sources and Uses Budget'!S35</f>
        <v>402988.5</v>
      </c>
      <c r="F35" s="393">
        <f>E35</f>
        <v>402988.5</v>
      </c>
      <c r="G35" s="393"/>
      <c r="H35" s="392">
        <f>'Sources and Uses Budget'!T35</f>
        <v>0</v>
      </c>
      <c r="I35" s="393"/>
      <c r="J35" s="393"/>
      <c r="K35" s="390"/>
    </row>
    <row r="36" spans="1:11" s="391" customFormat="1" ht="11.4">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ht="11.4">
      <c r="A37" s="395" t="str">
        <f>'Sources and Uses Budget'!$A37</f>
        <v>Other: (Bond Premium)</v>
      </c>
      <c r="B37" s="392">
        <f>'Sources and Uses Budget'!C37</f>
        <v>604388.5</v>
      </c>
      <c r="C37" s="393">
        <f>B37</f>
        <v>604388.5</v>
      </c>
      <c r="D37" s="393"/>
      <c r="E37" s="392">
        <f>'Sources and Uses Budget'!S37</f>
        <v>604388.5</v>
      </c>
      <c r="F37" s="393">
        <f>E37</f>
        <v>604388.5</v>
      </c>
      <c r="G37" s="393"/>
      <c r="H37" s="392">
        <f>'Sources and Uses Budget'!T37</f>
        <v>0</v>
      </c>
      <c r="I37" s="393"/>
      <c r="J37" s="393"/>
      <c r="K37" s="390"/>
    </row>
    <row r="38" spans="1:11" s="391" customFormat="1">
      <c r="A38" s="396" t="s">
        <v>143</v>
      </c>
      <c r="B38" s="392">
        <f>'Sources and Uses Budget'!C38</f>
        <v>41300000</v>
      </c>
      <c r="C38" s="392">
        <f>SUM(C29:C37)</f>
        <v>41300000</v>
      </c>
      <c r="D38" s="392">
        <f>SUM(D29:D37)</f>
        <v>0</v>
      </c>
      <c r="E38" s="392">
        <f>'Sources and Uses Budget'!S38</f>
        <v>41300000</v>
      </c>
      <c r="F38" s="398">
        <f>SUM(F29:F37)</f>
        <v>41300000</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0</v>
      </c>
      <c r="C40" s="393"/>
      <c r="D40" s="393"/>
      <c r="E40" s="392">
        <f>'Sources and Uses Budget'!S40</f>
        <v>0</v>
      </c>
      <c r="F40" s="393"/>
      <c r="G40" s="393"/>
      <c r="H40" s="392">
        <f>'Sources and Uses Budget'!T40</f>
        <v>0</v>
      </c>
      <c r="I40" s="393"/>
      <c r="J40" s="393"/>
      <c r="K40" s="390"/>
    </row>
    <row r="41" spans="1:11" s="391" customFormat="1" ht="11.4">
      <c r="A41" s="395" t="s">
        <v>146</v>
      </c>
      <c r="B41" s="392">
        <f>'Sources and Uses Budget'!C41</f>
        <v>1344000</v>
      </c>
      <c r="C41" s="393">
        <f>B41</f>
        <v>1344000</v>
      </c>
      <c r="D41" s="393"/>
      <c r="E41" s="392">
        <f>'Sources and Uses Budget'!S41</f>
        <v>1344000</v>
      </c>
      <c r="F41" s="393">
        <f>E41</f>
        <v>1344000</v>
      </c>
      <c r="G41" s="393"/>
      <c r="H41" s="392">
        <f>'Sources and Uses Budget'!T41</f>
        <v>0</v>
      </c>
      <c r="I41" s="393"/>
      <c r="J41" s="393"/>
      <c r="K41" s="390"/>
    </row>
    <row r="42" spans="1:11" s="391" customFormat="1">
      <c r="A42" s="396" t="s">
        <v>147</v>
      </c>
      <c r="B42" s="392">
        <f>'Sources and Uses Budget'!C42</f>
        <v>1344000</v>
      </c>
      <c r="C42" s="392">
        <f>SUM(C39:C41)</f>
        <v>1344000</v>
      </c>
      <c r="D42" s="392">
        <f>SUM(D39:D41)</f>
        <v>0</v>
      </c>
      <c r="E42" s="392">
        <f>'Sources and Uses Budget'!S42</f>
        <v>1344000</v>
      </c>
      <c r="F42" s="398">
        <f>SUM(F40:F41)</f>
        <v>1344000</v>
      </c>
      <c r="G42" s="398">
        <f>SUM(G40:G41)</f>
        <v>0</v>
      </c>
      <c r="H42" s="392">
        <f>'Sources and Uses Budget'!T42</f>
        <v>0</v>
      </c>
      <c r="I42" s="398">
        <f>SUM(I40:I41)</f>
        <v>0</v>
      </c>
      <c r="J42" s="398">
        <f>SUM(J40:J41)</f>
        <v>0</v>
      </c>
      <c r="K42" s="390"/>
    </row>
    <row r="43" spans="1:11" s="391" customFormat="1">
      <c r="A43" s="396" t="s">
        <v>148</v>
      </c>
      <c r="B43" s="392">
        <f>'Sources and Uses Budget'!C43</f>
        <v>383000</v>
      </c>
      <c r="C43" s="393">
        <f>B43</f>
        <v>383000</v>
      </c>
      <c r="D43" s="393"/>
      <c r="E43" s="392">
        <f>'Sources and Uses Budget'!S43</f>
        <v>383000</v>
      </c>
      <c r="F43" s="393">
        <f>E43</f>
        <v>383000</v>
      </c>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4593938.7</v>
      </c>
      <c r="C45" s="393">
        <f>B45</f>
        <v>4593938.7</v>
      </c>
      <c r="D45" s="393"/>
      <c r="E45" s="392">
        <f>'Sources and Uses Budget'!S45</f>
        <v>2753752.0337100001</v>
      </c>
      <c r="F45" s="393">
        <f>E45</f>
        <v>2753752.0337100001</v>
      </c>
      <c r="G45" s="393"/>
      <c r="H45" s="392">
        <f>'Sources and Uses Budget'!T45</f>
        <v>0</v>
      </c>
      <c r="I45" s="393"/>
      <c r="J45" s="393"/>
      <c r="K45" s="390"/>
    </row>
    <row r="46" spans="1:11" s="391" customFormat="1" ht="11.4">
      <c r="A46" s="395" t="s">
        <v>151</v>
      </c>
      <c r="B46" s="392">
        <f>'Sources and Uses Budget'!C46</f>
        <v>424534.8</v>
      </c>
      <c r="C46" s="393">
        <f>B46</f>
        <v>424534.8</v>
      </c>
      <c r="D46" s="393"/>
      <c r="E46" s="392">
        <f>'Sources and Uses Budget'!S46</f>
        <v>424534.8</v>
      </c>
      <c r="F46" s="393">
        <f>E46</f>
        <v>424534.8</v>
      </c>
      <c r="G46" s="393"/>
      <c r="H46" s="392">
        <f>'Sources and Uses Budget'!T46</f>
        <v>0</v>
      </c>
      <c r="I46" s="393"/>
      <c r="J46" s="393"/>
      <c r="K46" s="390"/>
    </row>
    <row r="47" spans="1:11" s="391" customFormat="1" ht="12" customHeight="1">
      <c r="A47" s="395" t="s">
        <v>152</v>
      </c>
      <c r="B47" s="392">
        <f>'Sources and Uses Budget'!C47</f>
        <v>15000</v>
      </c>
      <c r="C47" s="393">
        <f>B47</f>
        <v>15000</v>
      </c>
      <c r="D47" s="393"/>
      <c r="E47" s="392">
        <f>'Sources and Uses Budget'!S47</f>
        <v>15000</v>
      </c>
      <c r="F47" s="393">
        <f>E47</f>
        <v>15000</v>
      </c>
      <c r="G47" s="393"/>
      <c r="H47" s="392">
        <f>'Sources and Uses Budget'!T47</f>
        <v>0</v>
      </c>
      <c r="I47" s="393"/>
      <c r="J47" s="393"/>
      <c r="K47" s="390"/>
    </row>
    <row r="48" spans="1:11" s="391" customFormat="1" ht="11.4">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1.4">
      <c r="A49" s="304" t="s">
        <v>57</v>
      </c>
      <c r="B49" s="392">
        <f>'Sources and Uses Budget'!C49</f>
        <v>106133.7</v>
      </c>
      <c r="C49" s="393">
        <f>B49</f>
        <v>106133.7</v>
      </c>
      <c r="D49" s="393"/>
      <c r="E49" s="392">
        <f>'Sources and Uses Budget'!S49</f>
        <v>106133.7</v>
      </c>
      <c r="F49" s="393">
        <f>E49</f>
        <v>106133.7</v>
      </c>
      <c r="G49" s="393"/>
      <c r="H49" s="392">
        <f>'Sources and Uses Budget'!T49</f>
        <v>0</v>
      </c>
      <c r="I49" s="393"/>
      <c r="J49" s="393"/>
      <c r="K49" s="390"/>
    </row>
    <row r="50" spans="1:11" s="391" customFormat="1" ht="11.4">
      <c r="A50" s="395" t="s">
        <v>156</v>
      </c>
      <c r="B50" s="392">
        <f>'Sources and Uses Budget'!C50</f>
        <v>75000</v>
      </c>
      <c r="C50" s="393">
        <f>B50</f>
        <v>75000</v>
      </c>
      <c r="D50" s="393"/>
      <c r="E50" s="392">
        <f>'Sources and Uses Budget'!S50</f>
        <v>75000</v>
      </c>
      <c r="F50" s="393">
        <f>E50</f>
        <v>75000</v>
      </c>
      <c r="G50" s="393"/>
      <c r="H50" s="392">
        <f>'Sources and Uses Budget'!T50</f>
        <v>0</v>
      </c>
      <c r="I50" s="393"/>
      <c r="J50" s="393"/>
      <c r="K50" s="390"/>
    </row>
    <row r="51" spans="1:11" s="391" customFormat="1" ht="11.4">
      <c r="A51" s="395" t="s">
        <v>154</v>
      </c>
      <c r="B51" s="392">
        <f>'Sources and Uses Budget'!C51</f>
        <v>35000</v>
      </c>
      <c r="C51" s="393">
        <f>B51</f>
        <v>35000</v>
      </c>
      <c r="D51" s="393"/>
      <c r="E51" s="392">
        <f>'Sources and Uses Budget'!S51</f>
        <v>35000</v>
      </c>
      <c r="F51" s="393">
        <f>E51</f>
        <v>35000</v>
      </c>
      <c r="G51" s="393"/>
      <c r="H51" s="392">
        <f>'Sources and Uses Budget'!T51</f>
        <v>0</v>
      </c>
      <c r="I51" s="393"/>
      <c r="J51" s="393"/>
      <c r="K51" s="390"/>
    </row>
    <row r="52" spans="1:11" s="391" customFormat="1" ht="11.4">
      <c r="A52" s="395" t="s">
        <v>155</v>
      </c>
      <c r="B52" s="392">
        <f>'Sources and Uses Budget'!C52</f>
        <v>620000</v>
      </c>
      <c r="C52" s="393">
        <f>B52</f>
        <v>620000</v>
      </c>
      <c r="D52" s="393"/>
      <c r="E52" s="392">
        <f>'Sources and Uses Budget'!S52</f>
        <v>620000</v>
      </c>
      <c r="F52" s="393">
        <f>E52</f>
        <v>620000</v>
      </c>
      <c r="G52" s="393"/>
      <c r="H52" s="392">
        <f>'Sources and Uses Budget'!T52</f>
        <v>0</v>
      </c>
      <c r="I52" s="393"/>
      <c r="J52" s="393"/>
      <c r="K52" s="390"/>
    </row>
    <row r="53" spans="1:11" s="391" customFormat="1" ht="11.4">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5869607.2000000002</v>
      </c>
      <c r="C54" s="398">
        <f>SUM(C45:C53)</f>
        <v>5869607.2000000002</v>
      </c>
      <c r="D54" s="398">
        <f>SUM(D45:D53)</f>
        <v>0</v>
      </c>
      <c r="E54" s="392">
        <f>'Sources and Uses Budget'!S54</f>
        <v>4029420.5337100001</v>
      </c>
      <c r="F54" s="398">
        <f>SUM(F45:F53)</f>
        <v>4029420.5337100001</v>
      </c>
      <c r="G54" s="398">
        <f>SUM(G45:G53)</f>
        <v>0</v>
      </c>
      <c r="H54" s="392">
        <f>'Sources and Uses Budget'!T54</f>
        <v>0</v>
      </c>
      <c r="I54" s="398">
        <f>SUM(I45:I53)</f>
        <v>0</v>
      </c>
      <c r="J54" s="398">
        <f>SUM(J45:J53)</f>
        <v>0</v>
      </c>
      <c r="K54" s="399"/>
    </row>
    <row r="55" spans="1:11" s="391" customFormat="1" ht="11.4">
      <c r="A55" s="388" t="s">
        <v>419</v>
      </c>
      <c r="B55" s="389"/>
      <c r="C55" s="389"/>
      <c r="D55" s="389"/>
      <c r="E55" s="389"/>
      <c r="F55" s="389"/>
      <c r="G55" s="389"/>
      <c r="H55" s="389"/>
      <c r="I55" s="389"/>
      <c r="J55" s="389"/>
      <c r="K55" s="390"/>
    </row>
    <row r="56" spans="1:11" s="391" customFormat="1" ht="11.4">
      <c r="A56" s="395" t="s">
        <v>158</v>
      </c>
      <c r="B56" s="392">
        <f>'Sources and Uses Budget'!C56</f>
        <v>161974</v>
      </c>
      <c r="C56" s="393">
        <f>B56</f>
        <v>161974</v>
      </c>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1.4">
      <c r="A58" s="395" t="s">
        <v>156</v>
      </c>
      <c r="B58" s="392">
        <f>'Sources and Uses Budget'!C58</f>
        <v>10000</v>
      </c>
      <c r="C58" s="393">
        <f>B58</f>
        <v>10000</v>
      </c>
      <c r="D58" s="393"/>
      <c r="E58" s="394"/>
      <c r="F58" s="394"/>
      <c r="G58" s="394"/>
      <c r="H58" s="394"/>
      <c r="I58" s="394"/>
      <c r="J58" s="394"/>
      <c r="K58" s="390"/>
    </row>
    <row r="59" spans="1:11" s="391" customFormat="1" ht="11.4">
      <c r="A59" s="395" t="s">
        <v>154</v>
      </c>
      <c r="B59" s="392">
        <f>'Sources and Uses Budget'!C59</f>
        <v>0</v>
      </c>
      <c r="C59" s="393"/>
      <c r="D59" s="393"/>
      <c r="E59" s="394"/>
      <c r="F59" s="394"/>
      <c r="G59" s="394"/>
      <c r="H59" s="394"/>
      <c r="I59" s="394"/>
      <c r="J59" s="394"/>
      <c r="K59" s="390"/>
    </row>
    <row r="60" spans="1:11" s="391" customFormat="1" ht="11.4">
      <c r="A60" s="395" t="s">
        <v>155</v>
      </c>
      <c r="B60" s="392">
        <f>'Sources and Uses Budget'!C60</f>
        <v>0</v>
      </c>
      <c r="C60" s="393"/>
      <c r="D60" s="393"/>
      <c r="E60" s="394"/>
      <c r="F60" s="394"/>
      <c r="G60" s="394"/>
      <c r="H60" s="394"/>
      <c r="I60" s="394"/>
      <c r="J60" s="394"/>
      <c r="K60" s="390"/>
    </row>
    <row r="61" spans="1:11" s="391" customFormat="1" ht="11.4">
      <c r="A61" s="395" t="str">
        <f>'Sources and Uses Budget'!$A61</f>
        <v>Other: (Legal for Perm Loan)</v>
      </c>
      <c r="B61" s="392">
        <f>'Sources and Uses Budget'!C61</f>
        <v>10000</v>
      </c>
      <c r="C61" s="393">
        <f>B61</f>
        <v>10000</v>
      </c>
      <c r="D61" s="393"/>
      <c r="E61" s="394"/>
      <c r="F61" s="394"/>
      <c r="G61" s="394"/>
      <c r="H61" s="394"/>
      <c r="I61" s="394"/>
      <c r="J61" s="394"/>
      <c r="K61" s="390"/>
    </row>
    <row r="62" spans="1:11" s="391" customFormat="1" ht="13.8" customHeight="1">
      <c r="A62" s="396" t="s">
        <v>302</v>
      </c>
      <c r="B62" s="392">
        <f>'Sources and Uses Budget'!C62</f>
        <v>181974</v>
      </c>
      <c r="C62" s="392">
        <f>SUM(C56:C61)</f>
        <v>181974</v>
      </c>
      <c r="D62" s="392">
        <f>SUM(D56:D61)</f>
        <v>0</v>
      </c>
      <c r="E62" s="394"/>
      <c r="F62" s="394"/>
      <c r="G62" s="394"/>
      <c r="H62" s="394"/>
      <c r="I62" s="394"/>
      <c r="J62" s="394"/>
      <c r="K62" s="390"/>
    </row>
    <row r="63" spans="1:11" s="391" customFormat="1" ht="11.4">
      <c r="A63" s="401" t="s">
        <v>303</v>
      </c>
      <c r="B63" s="392">
        <f>'Sources and Uses Budget'!C63</f>
        <v>51036208.200000003</v>
      </c>
      <c r="C63" s="392">
        <f>SUM(C8+C11+C13+C14+C15+C26+C27+C38+C42+C43+C54+C62)</f>
        <v>51036208.200000003</v>
      </c>
      <c r="D63" s="392">
        <f>SUM(D8+D11+D13+D14+D15+D26+D27+D38+D42+D43+D54+D62)</f>
        <v>0</v>
      </c>
      <c r="E63" s="392">
        <f>'Sources and Uses Budget'!S63</f>
        <v>47056420.533710003</v>
      </c>
      <c r="F63" s="392">
        <f>SUM(F10+F13+F14+F15+F26+F27+F38+F42+F43+F54)</f>
        <v>47056420.533710003</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1757</v>
      </c>
      <c r="B64" s="389"/>
      <c r="C64" s="389"/>
      <c r="D64" s="389"/>
      <c r="E64" s="389"/>
      <c r="F64" s="389"/>
      <c r="G64" s="389"/>
      <c r="H64" s="389"/>
      <c r="I64" s="389"/>
      <c r="J64" s="389"/>
      <c r="K64" s="390"/>
    </row>
    <row r="65" spans="1:11" s="391" customFormat="1" ht="11.4">
      <c r="A65" s="145" t="s">
        <v>171</v>
      </c>
      <c r="B65" s="392">
        <f>'Sources and Uses Budget'!C65</f>
        <v>50000</v>
      </c>
      <c r="C65" s="393">
        <f>B65</f>
        <v>50000</v>
      </c>
      <c r="D65" s="393"/>
      <c r="E65" s="392">
        <f>'Sources and Uses Budget'!S65</f>
        <v>50000</v>
      </c>
      <c r="F65" s="393">
        <f>E65</f>
        <v>50000</v>
      </c>
      <c r="G65" s="393"/>
      <c r="H65" s="392">
        <f>'Sources and Uses Budget'!T65</f>
        <v>0</v>
      </c>
      <c r="I65" s="393"/>
      <c r="J65" s="393"/>
      <c r="K65" s="390"/>
    </row>
    <row r="66" spans="1:11" s="391" customFormat="1" ht="22.8">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ht="11.4">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ht="22.8">
      <c r="A69" s="395" t="str">
        <f>'Sources and Uses Budget'!$A69</f>
        <v>Other: (Legal, Investor, Bond Issuer, MGP Legal)</v>
      </c>
      <c r="B69" s="392">
        <f>'Sources and Uses Budget'!C69</f>
        <v>200000</v>
      </c>
      <c r="C69" s="393">
        <f>B69</f>
        <v>200000</v>
      </c>
      <c r="D69" s="393"/>
      <c r="E69" s="392">
        <f>'Sources and Uses Budget'!S69</f>
        <v>100000</v>
      </c>
      <c r="F69" s="393">
        <f>E69</f>
        <v>100000</v>
      </c>
      <c r="G69" s="393"/>
      <c r="H69" s="392">
        <f>'Sources and Uses Budget'!T69</f>
        <v>0</v>
      </c>
      <c r="I69" s="393"/>
      <c r="J69" s="393"/>
      <c r="K69" s="390"/>
    </row>
    <row r="70" spans="1:11" s="391" customFormat="1">
      <c r="A70" s="396" t="s">
        <v>609</v>
      </c>
      <c r="B70" s="392">
        <f>'Sources and Uses Budget'!C70</f>
        <v>250000</v>
      </c>
      <c r="C70" s="392">
        <f>SUM(C64:C69)</f>
        <v>250000</v>
      </c>
      <c r="D70" s="392">
        <f>SUM(D64:D69)</f>
        <v>0</v>
      </c>
      <c r="E70" s="392">
        <f>'Sources and Uses Budget'!S70</f>
        <v>150000</v>
      </c>
      <c r="F70" s="398">
        <f>SUM(F65:F69)</f>
        <v>150000</v>
      </c>
      <c r="G70" s="398">
        <f>SUM(G65:G69)</f>
        <v>0</v>
      </c>
      <c r="H70" s="392">
        <f>'Sources and Uses Budget'!T70</f>
        <v>0</v>
      </c>
      <c r="I70" s="398">
        <f>SUM(I65:I69)</f>
        <v>0</v>
      </c>
      <c r="J70" s="398">
        <f>SUM(J65:J69)</f>
        <v>0</v>
      </c>
      <c r="K70" s="390"/>
    </row>
    <row r="71" spans="1:11" s="391" customFormat="1" ht="11.4">
      <c r="A71" s="388" t="s">
        <v>610</v>
      </c>
      <c r="B71" s="389"/>
      <c r="C71" s="389"/>
      <c r="D71" s="389"/>
      <c r="E71" s="389"/>
      <c r="F71" s="389"/>
      <c r="G71" s="389"/>
      <c r="H71" s="389"/>
      <c r="I71" s="389"/>
      <c r="J71" s="389"/>
      <c r="K71" s="390"/>
    </row>
    <row r="72" spans="1:11" s="391" customFormat="1" ht="11.4">
      <c r="A72" s="395" t="s">
        <v>611</v>
      </c>
      <c r="B72" s="392">
        <f>'Sources and Uses Budget'!C72</f>
        <v>0</v>
      </c>
      <c r="C72" s="393"/>
      <c r="D72" s="393"/>
      <c r="E72" s="394"/>
      <c r="F72" s="394"/>
      <c r="G72" s="394"/>
      <c r="H72" s="394"/>
      <c r="I72" s="394"/>
      <c r="J72" s="394"/>
      <c r="K72" s="390"/>
    </row>
    <row r="73" spans="1:11" s="391" customFormat="1" ht="11.4">
      <c r="A73" s="395" t="s">
        <v>612</v>
      </c>
      <c r="B73" s="392">
        <f>'Sources and Uses Budget'!C73</f>
        <v>0</v>
      </c>
      <c r="C73" s="393"/>
      <c r="D73" s="393"/>
      <c r="E73" s="394"/>
      <c r="F73" s="394"/>
      <c r="G73" s="394"/>
      <c r="H73" s="394"/>
      <c r="I73" s="394"/>
      <c r="J73" s="394"/>
      <c r="K73" s="390"/>
    </row>
    <row r="74" spans="1:11" s="391" customFormat="1" ht="11.4">
      <c r="A74" s="397" t="s">
        <v>1007</v>
      </c>
      <c r="B74" s="392">
        <f>'Sources and Uses Budget'!C74</f>
        <v>0</v>
      </c>
      <c r="C74" s="393"/>
      <c r="D74" s="393"/>
      <c r="E74" s="394"/>
      <c r="F74" s="394"/>
      <c r="G74" s="394"/>
      <c r="H74" s="394"/>
      <c r="I74" s="394"/>
      <c r="J74" s="394"/>
      <c r="K74" s="390"/>
    </row>
    <row r="75" spans="1:11" s="391" customFormat="1" ht="11.4">
      <c r="A75" s="395" t="s">
        <v>613</v>
      </c>
      <c r="B75" s="392">
        <f>'Sources and Uses Budget'!C75</f>
        <v>676887</v>
      </c>
      <c r="C75" s="393">
        <f>B75</f>
        <v>676887</v>
      </c>
      <c r="D75" s="393"/>
      <c r="E75" s="394"/>
      <c r="F75" s="394"/>
      <c r="G75" s="394"/>
      <c r="H75" s="394"/>
      <c r="I75" s="394"/>
      <c r="J75" s="394"/>
      <c r="K75" s="390"/>
    </row>
    <row r="76" spans="1:11" s="391" customFormat="1" ht="11.4">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676887</v>
      </c>
      <c r="C77" s="392">
        <f>SUM(C72:C76)</f>
        <v>676887</v>
      </c>
      <c r="D77" s="392">
        <f>SUM(D72:D76)</f>
        <v>0</v>
      </c>
      <c r="E77" s="394"/>
      <c r="F77" s="394"/>
      <c r="G77" s="394"/>
      <c r="H77" s="394"/>
      <c r="I77" s="394"/>
      <c r="J77" s="394"/>
      <c r="K77" s="390"/>
    </row>
    <row r="78" spans="1:11" s="391" customFormat="1" ht="11.4">
      <c r="A78" s="388" t="s">
        <v>1316</v>
      </c>
      <c r="B78" s="389"/>
      <c r="C78" s="389"/>
      <c r="D78" s="389"/>
      <c r="E78" s="389"/>
      <c r="F78" s="389"/>
      <c r="G78" s="389"/>
      <c r="H78" s="389"/>
      <c r="I78" s="389"/>
      <c r="J78" s="389"/>
      <c r="K78" s="390"/>
    </row>
    <row r="79" spans="1:11" s="391" customFormat="1" ht="11.4">
      <c r="A79" s="395" t="s">
        <v>1318</v>
      </c>
      <c r="B79" s="392">
        <f>'Sources and Uses Budget'!C79</f>
        <v>2065000</v>
      </c>
      <c r="C79" s="393">
        <f>B79</f>
        <v>2065000</v>
      </c>
      <c r="D79" s="393"/>
      <c r="E79" s="392">
        <f>'Sources and Uses Budget'!S79</f>
        <v>2065000</v>
      </c>
      <c r="F79" s="393">
        <f>E79</f>
        <v>2065000</v>
      </c>
      <c r="G79" s="393"/>
      <c r="H79" s="392">
        <f>'Sources and Uses Budget'!T79</f>
        <v>0</v>
      </c>
      <c r="I79" s="393"/>
      <c r="J79" s="393"/>
      <c r="K79" s="390"/>
    </row>
    <row r="80" spans="1:11" s="391" customFormat="1" ht="11.4">
      <c r="A80" s="395" t="s">
        <v>58</v>
      </c>
      <c r="B80" s="392">
        <f>'Sources and Uses Budget'!C80</f>
        <v>647840</v>
      </c>
      <c r="C80" s="393">
        <f>B80</f>
        <v>647840</v>
      </c>
      <c r="D80" s="393"/>
      <c r="E80" s="392">
        <f>'Sources and Uses Budget'!S80</f>
        <v>647840</v>
      </c>
      <c r="F80" s="393">
        <f>E80</f>
        <v>647840</v>
      </c>
      <c r="G80" s="393"/>
      <c r="H80" s="392">
        <f>'Sources and Uses Budget'!T80</f>
        <v>0</v>
      </c>
      <c r="I80" s="393"/>
      <c r="J80" s="393"/>
      <c r="K80" s="390"/>
    </row>
    <row r="81" spans="1:11" s="391" customFormat="1">
      <c r="A81" s="396" t="s">
        <v>1315</v>
      </c>
      <c r="B81" s="392">
        <f>'Sources and Uses Budget'!C81</f>
        <v>2712840</v>
      </c>
      <c r="C81" s="392">
        <f>SUM(C79:C80)</f>
        <v>2712840</v>
      </c>
      <c r="D81" s="392">
        <f>SUM(D79:D80)</f>
        <v>0</v>
      </c>
      <c r="E81" s="392">
        <f>'Sources and Uses Budget'!S81</f>
        <v>2712840</v>
      </c>
      <c r="F81" s="392">
        <f>SUM(F79:F80)</f>
        <v>2712840</v>
      </c>
      <c r="G81" s="392">
        <f>SUM(G79:G80)</f>
        <v>0</v>
      </c>
      <c r="H81" s="392">
        <f>'Sources and Uses Budget'!T81</f>
        <v>0</v>
      </c>
      <c r="I81" s="392">
        <f>SUM(I79:I80)</f>
        <v>0</v>
      </c>
      <c r="J81" s="392">
        <f>SUM(J79:J80)</f>
        <v>0</v>
      </c>
      <c r="K81" s="390"/>
    </row>
    <row r="82" spans="1:11" s="391" customFormat="1" ht="11.4">
      <c r="A82" s="388" t="s">
        <v>774</v>
      </c>
      <c r="B82" s="389"/>
      <c r="C82" s="389"/>
      <c r="D82" s="389"/>
      <c r="E82" s="389"/>
      <c r="F82" s="389"/>
      <c r="G82" s="389"/>
      <c r="H82" s="389"/>
      <c r="I82" s="389"/>
      <c r="J82" s="389"/>
      <c r="K82" s="390"/>
    </row>
    <row r="83" spans="1:11" s="391" customFormat="1" ht="13.8" customHeight="1">
      <c r="A83" s="145" t="s">
        <v>2407</v>
      </c>
      <c r="B83" s="392">
        <f>'Sources and Uses Budget'!C83</f>
        <v>134979</v>
      </c>
      <c r="C83" s="393">
        <f>B83</f>
        <v>134979</v>
      </c>
      <c r="D83" s="393"/>
      <c r="E83" s="394"/>
      <c r="F83" s="394"/>
      <c r="G83" s="394"/>
      <c r="H83" s="394"/>
      <c r="I83" s="394"/>
      <c r="J83" s="394"/>
      <c r="K83" s="390"/>
    </row>
    <row r="84" spans="1:11" s="391" customFormat="1" ht="11.4">
      <c r="A84" s="145" t="s">
        <v>776</v>
      </c>
      <c r="B84" s="392">
        <f>'Sources and Uses Budget'!C84</f>
        <v>25000</v>
      </c>
      <c r="C84" s="393">
        <f>B84</f>
        <v>25000</v>
      </c>
      <c r="D84" s="393"/>
      <c r="E84" s="392">
        <f>'Sources and Uses Budget'!S84</f>
        <v>25000</v>
      </c>
      <c r="F84" s="393">
        <f>E84</f>
        <v>25000</v>
      </c>
      <c r="G84" s="393"/>
      <c r="H84" s="392">
        <f>'Sources and Uses Budget'!T84</f>
        <v>0</v>
      </c>
      <c r="I84" s="393"/>
      <c r="J84" s="393"/>
      <c r="K84" s="390"/>
    </row>
    <row r="85" spans="1:11" s="391" customFormat="1" ht="11.4">
      <c r="A85" s="145" t="s">
        <v>777</v>
      </c>
      <c r="B85" s="392">
        <f>'Sources and Uses Budget'!C85</f>
        <v>8757322</v>
      </c>
      <c r="C85" s="393">
        <f>B85</f>
        <v>8757322</v>
      </c>
      <c r="D85" s="393"/>
      <c r="E85" s="392">
        <f>'Sources and Uses Budget'!S85</f>
        <v>8757322</v>
      </c>
      <c r="F85" s="393">
        <f>E85</f>
        <v>8757322</v>
      </c>
      <c r="G85" s="393"/>
      <c r="H85" s="392">
        <f>'Sources and Uses Budget'!T85</f>
        <v>0</v>
      </c>
      <c r="I85" s="393"/>
      <c r="J85" s="393"/>
      <c r="K85" s="390"/>
    </row>
    <row r="86" spans="1:11" s="391" customFormat="1" ht="11.4">
      <c r="A86" s="145" t="s">
        <v>778</v>
      </c>
      <c r="B86" s="392">
        <f>'Sources and Uses Budget'!C86</f>
        <v>212678</v>
      </c>
      <c r="C86" s="393">
        <f>B86</f>
        <v>212678</v>
      </c>
      <c r="D86" s="393"/>
      <c r="E86" s="392">
        <f>'Sources and Uses Budget'!S86</f>
        <v>212678</v>
      </c>
      <c r="F86" s="393">
        <f>E86</f>
        <v>212678</v>
      </c>
      <c r="G86" s="393"/>
      <c r="H86" s="392">
        <f>'Sources and Uses Budget'!T86</f>
        <v>0</v>
      </c>
      <c r="I86" s="393"/>
      <c r="J86" s="393"/>
      <c r="K86" s="390"/>
    </row>
    <row r="87" spans="1:11" s="391" customFormat="1" ht="11.4">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ht="11.4">
      <c r="A88" s="145" t="s">
        <v>780</v>
      </c>
      <c r="B88" s="392">
        <f>'Sources and Uses Budget'!C88</f>
        <v>59690</v>
      </c>
      <c r="C88" s="393">
        <f t="shared" ref="C88:C95" si="0">B88</f>
        <v>59690</v>
      </c>
      <c r="D88" s="393"/>
      <c r="E88" s="394"/>
      <c r="F88" s="394"/>
      <c r="G88" s="394"/>
      <c r="H88" s="394"/>
      <c r="I88" s="394"/>
      <c r="J88" s="394"/>
      <c r="K88" s="390"/>
    </row>
    <row r="89" spans="1:11" s="391" customFormat="1" ht="11.4">
      <c r="A89" s="145" t="s">
        <v>781</v>
      </c>
      <c r="B89" s="392">
        <f>'Sources and Uses Budget'!C89</f>
        <v>50000</v>
      </c>
      <c r="C89" s="393">
        <f t="shared" si="0"/>
        <v>50000</v>
      </c>
      <c r="D89" s="393"/>
      <c r="E89" s="392">
        <f>'Sources and Uses Budget'!S89</f>
        <v>50000</v>
      </c>
      <c r="F89" s="393">
        <f t="shared" ref="F89:F95" si="1">E89</f>
        <v>50000</v>
      </c>
      <c r="G89" s="393"/>
      <c r="H89" s="392">
        <f>'Sources and Uses Budget'!T89</f>
        <v>0</v>
      </c>
      <c r="I89" s="393"/>
      <c r="J89" s="393"/>
      <c r="K89" s="390"/>
    </row>
    <row r="90" spans="1:11" s="391" customFormat="1" ht="11.4">
      <c r="A90" s="145" t="s">
        <v>782</v>
      </c>
      <c r="B90" s="392">
        <f>'Sources and Uses Budget'!C90</f>
        <v>10000</v>
      </c>
      <c r="C90" s="393">
        <f t="shared" si="0"/>
        <v>10000</v>
      </c>
      <c r="D90" s="393"/>
      <c r="E90" s="392">
        <f>'Sources and Uses Budget'!S90</f>
        <v>10000</v>
      </c>
      <c r="F90" s="393">
        <f t="shared" si="1"/>
        <v>10000</v>
      </c>
      <c r="G90" s="393"/>
      <c r="H90" s="392">
        <f>'Sources and Uses Budget'!T90</f>
        <v>0</v>
      </c>
      <c r="I90" s="393"/>
      <c r="J90" s="393"/>
      <c r="K90" s="390"/>
    </row>
    <row r="91" spans="1:11" s="391" customFormat="1" ht="11.4">
      <c r="A91" s="155" t="s">
        <v>373</v>
      </c>
      <c r="B91" s="392">
        <f>'Sources and Uses Budget'!C91</f>
        <v>25000</v>
      </c>
      <c r="C91" s="393">
        <f t="shared" si="0"/>
        <v>25000</v>
      </c>
      <c r="D91" s="393"/>
      <c r="E91" s="392">
        <f>'Sources and Uses Budget'!S91</f>
        <v>25000</v>
      </c>
      <c r="F91" s="393">
        <f t="shared" si="1"/>
        <v>25000</v>
      </c>
      <c r="G91" s="393"/>
      <c r="H91" s="392">
        <f>'Sources and Uses Budget'!T91</f>
        <v>0</v>
      </c>
      <c r="I91" s="393"/>
      <c r="J91" s="393"/>
      <c r="K91" s="390"/>
    </row>
    <row r="92" spans="1:11" s="391" customFormat="1" ht="11.4">
      <c r="A92" s="542" t="s">
        <v>1317</v>
      </c>
      <c r="B92" s="392">
        <f>'Sources and Uses Budget'!C92</f>
        <v>10000</v>
      </c>
      <c r="C92" s="393">
        <f t="shared" si="0"/>
        <v>10000</v>
      </c>
      <c r="D92" s="393"/>
      <c r="E92" s="392">
        <f>'Sources and Uses Budget'!S92</f>
        <v>10000</v>
      </c>
      <c r="F92" s="393">
        <f t="shared" si="1"/>
        <v>10000</v>
      </c>
      <c r="G92" s="393"/>
      <c r="H92" s="392">
        <f>'Sources and Uses Budget'!T92</f>
        <v>0</v>
      </c>
      <c r="I92" s="393"/>
      <c r="J92" s="393"/>
      <c r="K92" s="390"/>
    </row>
    <row r="93" spans="1:11" s="391" customFormat="1" ht="22.8">
      <c r="A93" s="395" t="str">
        <f>'Sources and Uses Budget'!$A93</f>
        <v>Construction Management (Lender Inspection)</v>
      </c>
      <c r="B93" s="392">
        <f>'Sources and Uses Budget'!C93</f>
        <v>17500</v>
      </c>
      <c r="C93" s="393">
        <f t="shared" si="0"/>
        <v>17500</v>
      </c>
      <c r="D93" s="393"/>
      <c r="E93" s="392">
        <f>'Sources and Uses Budget'!S93</f>
        <v>17500</v>
      </c>
      <c r="F93" s="393">
        <f t="shared" si="1"/>
        <v>17500</v>
      </c>
      <c r="G93" s="393"/>
      <c r="H93" s="392">
        <f>'Sources and Uses Budget'!T93</f>
        <v>0</v>
      </c>
      <c r="I93" s="393"/>
      <c r="J93" s="393"/>
      <c r="K93" s="390"/>
    </row>
    <row r="94" spans="1:11" s="391" customFormat="1" ht="22.8">
      <c r="A94" s="395" t="str">
        <f>'Sources and Uses Budget'!$A94</f>
        <v>Other: MGP Fee+CDLAC Fee+Miscellaneous Consultants</v>
      </c>
      <c r="B94" s="392">
        <f>'Sources and Uses Budget'!C94</f>
        <v>437411.8</v>
      </c>
      <c r="C94" s="393">
        <f t="shared" si="0"/>
        <v>437411.8</v>
      </c>
      <c r="D94" s="393"/>
      <c r="E94" s="392">
        <f>'Sources and Uses Budget'!S94</f>
        <v>412411.8</v>
      </c>
      <c r="F94" s="393">
        <f t="shared" si="1"/>
        <v>412411.8</v>
      </c>
      <c r="G94" s="393"/>
      <c r="H94" s="392">
        <f>'Sources and Uses Budget'!T94</f>
        <v>0</v>
      </c>
      <c r="I94" s="393"/>
      <c r="J94" s="393"/>
      <c r="K94" s="390"/>
    </row>
    <row r="95" spans="1:11" s="391" customFormat="1" ht="11.4">
      <c r="A95" s="395" t="str">
        <f>'Sources and Uses Budget'!$A95</f>
        <v>Other: Predevelopment Loan Interest</v>
      </c>
      <c r="B95" s="392">
        <f>'Sources and Uses Budget'!C95</f>
        <v>450000</v>
      </c>
      <c r="C95" s="393">
        <f t="shared" si="0"/>
        <v>450000</v>
      </c>
      <c r="D95" s="393"/>
      <c r="E95" s="392">
        <f>'Sources and Uses Budget'!S95</f>
        <v>225000</v>
      </c>
      <c r="F95" s="393">
        <f t="shared" si="1"/>
        <v>225000</v>
      </c>
      <c r="G95" s="393"/>
      <c r="H95" s="392">
        <f>'Sources and Uses Budget'!T95</f>
        <v>0</v>
      </c>
      <c r="I95" s="393"/>
      <c r="J95" s="393"/>
      <c r="K95" s="390"/>
    </row>
    <row r="96" spans="1:11" s="391" customFormat="1">
      <c r="A96" s="396" t="s">
        <v>783</v>
      </c>
      <c r="B96" s="392">
        <f>'Sources and Uses Budget'!C96</f>
        <v>10189580.800000001</v>
      </c>
      <c r="C96" s="392">
        <f>SUM(C83:C95)</f>
        <v>10189580.800000001</v>
      </c>
      <c r="D96" s="392">
        <f>SUM(D83:D95)</f>
        <v>0</v>
      </c>
      <c r="E96" s="392">
        <f>'Sources and Uses Budget'!S96</f>
        <v>9744911.8000000007</v>
      </c>
      <c r="F96" s="398">
        <f>SUM(F84:F87,F89:F95)</f>
        <v>9744911.8000000007</v>
      </c>
      <c r="G96" s="398">
        <f>SUM(G84:G87,G89:G95)</f>
        <v>0</v>
      </c>
      <c r="H96" s="392">
        <f>'Sources and Uses Budget'!T96</f>
        <v>0</v>
      </c>
      <c r="I96" s="392">
        <f>SUM(I84:I87,I89:I95)</f>
        <v>0</v>
      </c>
      <c r="J96" s="392">
        <f>SUM(J84:J87,J89:J95)</f>
        <v>0</v>
      </c>
      <c r="K96" s="390"/>
    </row>
    <row r="97" spans="1:11" s="391" customFormat="1">
      <c r="A97" s="396" t="s">
        <v>1053</v>
      </c>
      <c r="B97" s="392">
        <f>'Sources and Uses Budget'!C97</f>
        <v>64865516</v>
      </c>
      <c r="C97" s="392">
        <f>SUM(C63+C70+C77+C81+C96)</f>
        <v>64865516</v>
      </c>
      <c r="D97" s="392">
        <f>SUM(D63+D70+D77+D81+D96)</f>
        <v>0</v>
      </c>
      <c r="E97" s="392">
        <f>'Sources and Uses Budget'!S97</f>
        <v>59664172.33371</v>
      </c>
      <c r="F97" s="398">
        <f>SUM(+F63+F70+F81+F96)</f>
        <v>59664172.33371</v>
      </c>
      <c r="G97" s="398">
        <f>SUM(+G63+G70+G81+G96)</f>
        <v>0</v>
      </c>
      <c r="H97" s="392">
        <f>'Sources and Uses Budget'!T97</f>
        <v>0</v>
      </c>
      <c r="I97" s="398">
        <f>SUM(I63+I70+I81+I96)</f>
        <v>0</v>
      </c>
      <c r="J97" s="398">
        <f>SUM(J63+J70+J81+J96)</f>
        <v>0</v>
      </c>
      <c r="K97" s="390"/>
    </row>
    <row r="98" spans="1:11" s="391" customFormat="1" ht="11.4">
      <c r="A98" s="388" t="s">
        <v>785</v>
      </c>
      <c r="B98" s="389"/>
      <c r="C98" s="389"/>
      <c r="D98" s="389"/>
      <c r="E98" s="389"/>
      <c r="F98" s="389"/>
      <c r="G98" s="389"/>
      <c r="H98" s="389"/>
      <c r="I98" s="389"/>
      <c r="J98" s="389"/>
      <c r="K98" s="390"/>
    </row>
    <row r="99" spans="1:11" s="391" customFormat="1" ht="11.4">
      <c r="A99" s="145" t="s">
        <v>786</v>
      </c>
      <c r="B99" s="392">
        <f>'Sources and Uses Budget'!C99</f>
        <v>8949626</v>
      </c>
      <c r="C99" s="393">
        <f>B99</f>
        <v>8949626</v>
      </c>
      <c r="D99" s="393"/>
      <c r="E99" s="392">
        <f>'Sources and Uses Budget'!S99</f>
        <v>8949626</v>
      </c>
      <c r="F99" s="393">
        <f>E99</f>
        <v>8949626</v>
      </c>
      <c r="G99" s="393"/>
      <c r="H99" s="392">
        <f>'Sources and Uses Budget'!T99</f>
        <v>0</v>
      </c>
      <c r="I99" s="393"/>
      <c r="J99" s="393"/>
      <c r="K99" s="390"/>
    </row>
    <row r="100" spans="1:11" s="391" customFormat="1" ht="11.4">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8949626</v>
      </c>
      <c r="C104" s="392">
        <f>SUM(C99:C103)</f>
        <v>8949626</v>
      </c>
      <c r="D104" s="392">
        <f>SUM(D99:D103)</f>
        <v>0</v>
      </c>
      <c r="E104" s="392">
        <f>'Sources and Uses Budget'!S104</f>
        <v>8949626</v>
      </c>
      <c r="F104" s="398">
        <f>SUM(F99:F103)</f>
        <v>8949626</v>
      </c>
      <c r="G104" s="398">
        <f>SUM(G99:G103)</f>
        <v>0</v>
      </c>
      <c r="H104" s="392">
        <f>'Sources and Uses Budget'!T104</f>
        <v>0</v>
      </c>
      <c r="I104" s="398">
        <f>SUM(I99:I103)</f>
        <v>0</v>
      </c>
      <c r="J104" s="398">
        <f>SUM(J99:J103)</f>
        <v>0</v>
      </c>
      <c r="K104" s="390"/>
    </row>
    <row r="105" spans="1:11" s="391" customFormat="1">
      <c r="A105" s="396" t="s">
        <v>1054</v>
      </c>
      <c r="B105" s="392">
        <f>'Sources and Uses Budget'!C105</f>
        <v>73815142</v>
      </c>
      <c r="C105" s="398">
        <f>SUM(C97+C104)</f>
        <v>73815142</v>
      </c>
      <c r="D105" s="398">
        <f>SUM(D97+D104)</f>
        <v>0</v>
      </c>
      <c r="E105" s="392">
        <f>'Sources and Uses Budget'!S105</f>
        <v>68613798.33371</v>
      </c>
      <c r="F105" s="398">
        <f>F97+F104</f>
        <v>68613798.33371</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68613798.33371</v>
      </c>
      <c r="F107" s="398">
        <f>F105+F106</f>
        <v>68613798.33371</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902"/>
      <c r="E124" s="1347"/>
      <c r="F124" s="1347"/>
      <c r="G124" s="1347"/>
      <c r="H124" s="1347"/>
      <c r="I124" s="1347"/>
      <c r="J124" s="407"/>
      <c r="K124" s="390"/>
    </row>
    <row r="125" spans="1:11" s="391" customFormat="1" ht="13.2">
      <c r="A125" s="416"/>
      <c r="B125" s="415"/>
      <c r="C125" s="416"/>
      <c r="D125" s="1347"/>
      <c r="E125" s="1347"/>
      <c r="F125" s="1347"/>
      <c r="G125" s="1347"/>
      <c r="H125" s="1347"/>
      <c r="I125" s="1347"/>
      <c r="J125" s="407"/>
      <c r="K125" s="390"/>
    </row>
    <row r="126" spans="1:11" s="391" customFormat="1" ht="13.2">
      <c r="A126" s="416"/>
      <c r="B126" s="415"/>
      <c r="C126" s="416"/>
      <c r="D126" s="1347"/>
      <c r="E126" s="1347"/>
      <c r="F126" s="1347"/>
      <c r="G126" s="1347"/>
      <c r="H126" s="1347"/>
      <c r="I126" s="1347"/>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903"/>
      <c r="B139" s="1347"/>
      <c r="C139" s="1347"/>
      <c r="D139" s="387"/>
      <c r="E139" s="416"/>
      <c r="F139" s="416"/>
      <c r="G139" s="416"/>
    </row>
    <row r="140" spans="1:11" ht="12" customHeight="1">
      <c r="A140" s="1284"/>
      <c r="B140" s="1284"/>
      <c r="C140" s="1284"/>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67" zoomScale="84" workbookViewId="0">
      <selection activeCell="AK149" sqref="AK149"/>
    </sheetView>
  </sheetViews>
  <sheetFormatPr defaultColWidth="0" defaultRowHeight="13.2" zeroHeight="1"/>
  <cols>
    <col min="1" max="1" width="2.7773437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10937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68" customWidth="1"/>
    <col min="41" max="41" width="5.44140625" style="30" hidden="1" customWidth="1"/>
    <col min="42" max="45" width="5.44140625" style="14" hidden="1" customWidth="1"/>
    <col min="46" max="46" width="10.77734375" style="14" hidden="1" customWidth="1"/>
    <col min="47" max="48" width="5.44140625" style="14" hidden="1" customWidth="1"/>
    <col min="49" max="49" width="8.7773437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2135" t="s">
        <v>1411</v>
      </c>
      <c r="B1" s="2135"/>
      <c r="C1" s="2135"/>
      <c r="D1" s="2135"/>
      <c r="E1" s="2135"/>
      <c r="F1" s="2135"/>
      <c r="G1" s="2135"/>
      <c r="H1" s="2135"/>
      <c r="I1" s="2135"/>
      <c r="J1" s="2135"/>
      <c r="K1" s="2135"/>
      <c r="L1" s="2135"/>
      <c r="M1" s="2135"/>
      <c r="N1" s="2135"/>
      <c r="O1" s="2135"/>
      <c r="P1" s="2135"/>
      <c r="Q1" s="2135"/>
      <c r="R1" s="2135"/>
      <c r="S1" s="2135"/>
      <c r="T1" s="2135"/>
      <c r="U1" s="2135"/>
      <c r="V1" s="2135"/>
      <c r="W1" s="2135"/>
      <c r="X1" s="2135"/>
      <c r="Y1" s="2135"/>
      <c r="Z1" s="2135"/>
      <c r="AA1" s="2135"/>
      <c r="AB1" s="2135"/>
      <c r="AC1" s="2135"/>
      <c r="AD1" s="2135"/>
      <c r="AE1" s="2135"/>
      <c r="AF1" s="2135"/>
      <c r="AG1" s="2135"/>
      <c r="AH1" s="2135"/>
      <c r="AI1" s="2135"/>
      <c r="AJ1" s="2135"/>
      <c r="AK1" s="2135"/>
      <c r="AL1" s="2135"/>
      <c r="AM1" s="2135"/>
    </row>
    <row r="2" spans="1:42" s="570" customFormat="1" ht="12.75" customHeight="1" thickBot="1">
      <c r="A2" s="2136"/>
      <c r="B2" s="2136"/>
      <c r="C2" s="2136"/>
      <c r="D2" s="2136"/>
      <c r="E2" s="2136"/>
      <c r="F2" s="2136"/>
      <c r="G2" s="2136"/>
      <c r="H2" s="2136"/>
      <c r="I2" s="2136"/>
      <c r="J2" s="2136"/>
      <c r="K2" s="2136"/>
      <c r="L2" s="2136"/>
      <c r="M2" s="2136"/>
      <c r="N2" s="2136"/>
      <c r="O2" s="2136"/>
      <c r="P2" s="2136"/>
      <c r="Q2" s="2136"/>
      <c r="R2" s="2136"/>
      <c r="S2" s="2136"/>
      <c r="T2" s="2136"/>
      <c r="U2" s="2136"/>
      <c r="V2" s="2136"/>
      <c r="W2" s="2136"/>
      <c r="X2" s="2136"/>
      <c r="Y2" s="2136"/>
      <c r="Z2" s="2136"/>
      <c r="AA2" s="2136"/>
      <c r="AB2" s="2136"/>
      <c r="AC2" s="2136"/>
      <c r="AD2" s="2136"/>
      <c r="AE2" s="2136"/>
      <c r="AF2" s="2136"/>
      <c r="AG2" s="2136"/>
      <c r="AH2" s="2136"/>
      <c r="AI2" s="2136"/>
      <c r="AJ2" s="2136"/>
      <c r="AK2" s="2136"/>
      <c r="AL2" s="2136"/>
      <c r="AM2" s="213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47" t="s">
        <v>1416</v>
      </c>
      <c r="AF7" s="1947"/>
      <c r="AG7" s="1947"/>
      <c r="AH7" s="1947"/>
      <c r="AI7" s="1947"/>
      <c r="AJ7" s="1947"/>
      <c r="AK7" s="1947"/>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2320</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2314</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29" t="s">
        <v>599</v>
      </c>
      <c r="C13" s="2129"/>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37"/>
      <c r="AH13" s="2137"/>
      <c r="AI13" s="2137"/>
      <c r="AJ13" s="213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29" t="s">
        <v>599</v>
      </c>
      <c r="C16" s="2129"/>
      <c r="D16" s="581"/>
      <c r="E16" s="2121" t="s">
        <v>1418</v>
      </c>
      <c r="F16" s="2122"/>
      <c r="G16" s="2122"/>
      <c r="H16" s="2122"/>
      <c r="I16" s="2122"/>
      <c r="J16" s="2122"/>
      <c r="K16" s="2122"/>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c r="AH16" s="2122"/>
      <c r="AI16" s="2122"/>
      <c r="AJ16" s="2123"/>
      <c r="AK16" s="574"/>
      <c r="AL16" s="574"/>
      <c r="AM16" s="574"/>
      <c r="AN16" s="569"/>
      <c r="AO16" s="584">
        <f>IF($B25="yes",20,0)</f>
        <v>0</v>
      </c>
      <c r="AP16" s="14"/>
    </row>
    <row r="17" spans="1:42" s="570" customFormat="1" ht="12.75" customHeight="1">
      <c r="A17" s="574"/>
      <c r="B17" s="574"/>
      <c r="C17" s="574"/>
      <c r="D17" s="585"/>
      <c r="E17" s="2124"/>
      <c r="F17" s="2125"/>
      <c r="G17" s="2125"/>
      <c r="H17" s="2125"/>
      <c r="I17" s="2125"/>
      <c r="J17" s="2125"/>
      <c r="K17" s="2125"/>
      <c r="L17" s="2125"/>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6"/>
      <c r="AK17" s="574"/>
      <c r="AL17" s="574"/>
      <c r="AM17" s="574"/>
      <c r="AN17" s="569"/>
      <c r="AO17" s="570">
        <f>IF(SUM(AO13:AO16)&gt;20,20,(SUM(AO13:AO16)))</f>
        <v>0</v>
      </c>
      <c r="AP17" s="570" t="s">
        <v>1419</v>
      </c>
    </row>
    <row r="18" spans="1:42" s="570" customFormat="1" ht="12.75" customHeight="1">
      <c r="A18" s="574"/>
      <c r="B18" s="574"/>
      <c r="C18" s="574"/>
      <c r="D18" s="585"/>
      <c r="E18" s="2124"/>
      <c r="F18" s="2125"/>
      <c r="G18" s="2125"/>
      <c r="H18" s="2125"/>
      <c r="I18" s="2125"/>
      <c r="J18" s="2125"/>
      <c r="K18" s="2125"/>
      <c r="L18" s="2125"/>
      <c r="M18" s="2125"/>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6"/>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45"/>
      <c r="F20" s="2146"/>
      <c r="G20" s="2146"/>
      <c r="H20" s="2146"/>
      <c r="I20" s="2146"/>
      <c r="J20" s="2146"/>
      <c r="K20" s="2146"/>
      <c r="L20" s="2146"/>
      <c r="M20" s="2146"/>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29" t="s">
        <v>599</v>
      </c>
      <c r="C22" s="2129"/>
      <c r="D22" s="581"/>
      <c r="E22" s="2139" t="s">
        <v>1421</v>
      </c>
      <c r="F22" s="2140"/>
      <c r="G22" s="2140"/>
      <c r="H22" s="2140"/>
      <c r="I22" s="2140"/>
      <c r="J22" s="2140"/>
      <c r="K22" s="2140"/>
      <c r="L22" s="2140"/>
      <c r="M22" s="2140"/>
      <c r="N22" s="2140"/>
      <c r="O22" s="2140"/>
      <c r="P22" s="2140"/>
      <c r="Q22" s="2140"/>
      <c r="R22" s="2140"/>
      <c r="S22" s="2140"/>
      <c r="T22" s="2140"/>
      <c r="U22" s="2140"/>
      <c r="V22" s="2140"/>
      <c r="W22" s="2140"/>
      <c r="X22" s="2140"/>
      <c r="Y22" s="2140"/>
      <c r="Z22" s="2140"/>
      <c r="AA22" s="2140"/>
      <c r="AB22" s="2140"/>
      <c r="AC22" s="2140"/>
      <c r="AD22" s="2140"/>
      <c r="AE22" s="2140"/>
      <c r="AF22" s="2140"/>
      <c r="AG22" s="2140"/>
      <c r="AH22" s="2140"/>
      <c r="AI22" s="2140"/>
      <c r="AJ22" s="2141"/>
      <c r="AK22" s="574"/>
      <c r="AL22" s="574"/>
      <c r="AM22" s="574"/>
      <c r="AN22" s="569"/>
      <c r="AO22" s="570">
        <f>IF(SUM(AO20:AO21)&gt;14,14,SUM(AO20:AO21))</f>
        <v>0</v>
      </c>
      <c r="AP22" s="570" t="s">
        <v>1419</v>
      </c>
    </row>
    <row r="23" spans="1:42" s="570" customFormat="1" ht="12.75" customHeight="1">
      <c r="A23" s="574"/>
      <c r="B23" s="574"/>
      <c r="C23" s="574"/>
      <c r="D23" s="584"/>
      <c r="E23" s="2142"/>
      <c r="F23" s="2143"/>
      <c r="G23" s="2143"/>
      <c r="H23" s="2143"/>
      <c r="I23" s="2143"/>
      <c r="J23" s="2143"/>
      <c r="K23" s="2143"/>
      <c r="L23" s="2143"/>
      <c r="M23" s="2143"/>
      <c r="N23" s="2143"/>
      <c r="O23" s="2143"/>
      <c r="P23" s="2143"/>
      <c r="Q23" s="2143"/>
      <c r="R23" s="2143"/>
      <c r="S23" s="2143"/>
      <c r="T23" s="2143"/>
      <c r="U23" s="2143"/>
      <c r="V23" s="2143"/>
      <c r="W23" s="2143"/>
      <c r="X23" s="2143"/>
      <c r="Y23" s="2143"/>
      <c r="Z23" s="2143"/>
      <c r="AA23" s="2143"/>
      <c r="AB23" s="2143"/>
      <c r="AC23" s="2143"/>
      <c r="AD23" s="2143"/>
      <c r="AE23" s="2143"/>
      <c r="AF23" s="2143"/>
      <c r="AG23" s="2143"/>
      <c r="AH23" s="2143"/>
      <c r="AI23" s="2143"/>
      <c r="AJ23" s="214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29" t="s">
        <v>599</v>
      </c>
      <c r="C25" s="2129"/>
      <c r="D25" s="581"/>
      <c r="E25" s="2057" t="s">
        <v>2344</v>
      </c>
      <c r="F25" s="2058"/>
      <c r="G25" s="2058"/>
      <c r="H25" s="2058"/>
      <c r="I25" s="2058"/>
      <c r="J25" s="2058"/>
      <c r="K25" s="2058"/>
      <c r="L25" s="2058"/>
      <c r="M25" s="2058"/>
      <c r="N25" s="2058"/>
      <c r="O25" s="2058"/>
      <c r="P25" s="2058"/>
      <c r="Q25" s="2058"/>
      <c r="R25" s="2058"/>
      <c r="S25" s="2058"/>
      <c r="T25" s="2058"/>
      <c r="U25" s="2058"/>
      <c r="V25" s="2058"/>
      <c r="W25" s="2058"/>
      <c r="X25" s="2058"/>
      <c r="Y25" s="2058"/>
      <c r="Z25" s="2058"/>
      <c r="AA25" s="2058"/>
      <c r="AB25" s="2058"/>
      <c r="AC25" s="2058"/>
      <c r="AD25" s="2058"/>
      <c r="AE25" s="2058"/>
      <c r="AF25" s="2058"/>
      <c r="AG25" s="2058"/>
      <c r="AH25" s="2058"/>
      <c r="AI25" s="2058"/>
      <c r="AJ25" s="2059"/>
      <c r="AK25" s="574"/>
      <c r="AL25" s="574"/>
      <c r="AM25" s="574"/>
      <c r="AN25" s="569"/>
      <c r="AO25" s="570">
        <f>IF(AO24&gt;6,6,AO24)</f>
        <v>0</v>
      </c>
      <c r="AP25" s="570" t="s">
        <v>1419</v>
      </c>
    </row>
    <row r="26" spans="1:42" s="570" customFormat="1" ht="12.75" customHeight="1">
      <c r="A26" s="574"/>
      <c r="B26" s="574"/>
      <c r="C26" s="574"/>
      <c r="D26" s="584"/>
      <c r="E26" s="2082"/>
      <c r="F26" s="2083"/>
      <c r="G26" s="2083"/>
      <c r="H26" s="2083"/>
      <c r="I26" s="2083"/>
      <c r="J26" s="2083"/>
      <c r="K26" s="2083"/>
      <c r="L26" s="2083"/>
      <c r="M26" s="2083"/>
      <c r="N26" s="2083"/>
      <c r="O26" s="2083"/>
      <c r="P26" s="2083"/>
      <c r="Q26" s="2083"/>
      <c r="R26" s="2083"/>
      <c r="S26" s="2083"/>
      <c r="T26" s="2083"/>
      <c r="U26" s="2083"/>
      <c r="V26" s="2083"/>
      <c r="W26" s="2083"/>
      <c r="X26" s="2083"/>
      <c r="Y26" s="2083"/>
      <c r="Z26" s="2083"/>
      <c r="AA26" s="2083"/>
      <c r="AB26" s="2083"/>
      <c r="AC26" s="2083"/>
      <c r="AD26" s="2083"/>
      <c r="AE26" s="2083"/>
      <c r="AF26" s="2083"/>
      <c r="AG26" s="2083"/>
      <c r="AH26" s="2083"/>
      <c r="AI26" s="2083"/>
      <c r="AJ26" s="208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2315</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29" t="s">
        <v>599</v>
      </c>
      <c r="C30" s="2129"/>
      <c r="D30" s="581"/>
      <c r="E30" s="2139" t="s">
        <v>2316</v>
      </c>
      <c r="F30" s="2140"/>
      <c r="G30" s="2140"/>
      <c r="H30" s="2140"/>
      <c r="I30" s="2140"/>
      <c r="J30" s="2140"/>
      <c r="K30" s="2140"/>
      <c r="L30" s="2140"/>
      <c r="M30" s="2140"/>
      <c r="N30" s="2140"/>
      <c r="O30" s="2140"/>
      <c r="P30" s="2140"/>
      <c r="Q30" s="2140"/>
      <c r="R30" s="2140"/>
      <c r="S30" s="2140"/>
      <c r="T30" s="2140"/>
      <c r="U30" s="2140"/>
      <c r="V30" s="2140"/>
      <c r="W30" s="2140"/>
      <c r="X30" s="2140"/>
      <c r="Y30" s="2140"/>
      <c r="Z30" s="2140"/>
      <c r="AA30" s="2140"/>
      <c r="AB30" s="2140"/>
      <c r="AC30" s="2140"/>
      <c r="AD30" s="2140"/>
      <c r="AE30" s="2140"/>
      <c r="AF30" s="2140"/>
      <c r="AG30" s="2140"/>
      <c r="AH30" s="2140"/>
      <c r="AI30" s="2140"/>
      <c r="AJ30" s="2141"/>
      <c r="AK30" s="574"/>
      <c r="AL30" s="574"/>
      <c r="AM30" s="574"/>
      <c r="AN30" s="569"/>
      <c r="AO30" s="584"/>
    </row>
    <row r="31" spans="1:42" s="570" customFormat="1" ht="12.75" customHeight="1">
      <c r="A31" s="574"/>
      <c r="B31" s="574"/>
      <c r="C31" s="574"/>
      <c r="E31" s="2142"/>
      <c r="F31" s="2143"/>
      <c r="G31" s="2143"/>
      <c r="H31" s="2143"/>
      <c r="I31" s="2143"/>
      <c r="J31" s="2143"/>
      <c r="K31" s="2143"/>
      <c r="L31" s="2143"/>
      <c r="M31" s="2143"/>
      <c r="N31" s="2143"/>
      <c r="O31" s="2143"/>
      <c r="P31" s="2143"/>
      <c r="Q31" s="2143"/>
      <c r="R31" s="2143"/>
      <c r="S31" s="2143"/>
      <c r="T31" s="2143"/>
      <c r="U31" s="2143"/>
      <c r="V31" s="2143"/>
      <c r="W31" s="2143"/>
      <c r="X31" s="2143"/>
      <c r="Y31" s="2143"/>
      <c r="Z31" s="2143"/>
      <c r="AA31" s="2143"/>
      <c r="AB31" s="2143"/>
      <c r="AC31" s="2143"/>
      <c r="AD31" s="2143"/>
      <c r="AE31" s="2143"/>
      <c r="AF31" s="2143"/>
      <c r="AG31" s="2143"/>
      <c r="AH31" s="2143"/>
      <c r="AI31" s="2143"/>
      <c r="AJ31" s="214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29" t="s">
        <v>599</v>
      </c>
      <c r="C33" s="2129"/>
      <c r="D33" s="581"/>
      <c r="E33" s="2057" t="s">
        <v>2317</v>
      </c>
      <c r="F33" s="2058"/>
      <c r="G33" s="2058"/>
      <c r="H33" s="2058"/>
      <c r="I33" s="2058"/>
      <c r="J33" s="2058"/>
      <c r="K33" s="2058"/>
      <c r="L33" s="2058"/>
      <c r="M33" s="2058"/>
      <c r="N33" s="2058"/>
      <c r="O33" s="2058"/>
      <c r="P33" s="2058"/>
      <c r="Q33" s="2058"/>
      <c r="R33" s="2058"/>
      <c r="S33" s="2058"/>
      <c r="T33" s="2058"/>
      <c r="U33" s="2058"/>
      <c r="V33" s="2058"/>
      <c r="W33" s="2058"/>
      <c r="X33" s="2058"/>
      <c r="Y33" s="2058"/>
      <c r="Z33" s="2058"/>
      <c r="AA33" s="2058"/>
      <c r="AB33" s="2058"/>
      <c r="AC33" s="2058"/>
      <c r="AD33" s="2058"/>
      <c r="AE33" s="2058"/>
      <c r="AF33" s="2058"/>
      <c r="AG33" s="2058"/>
      <c r="AH33" s="2058"/>
      <c r="AI33" s="2058"/>
      <c r="AJ33" s="2059"/>
      <c r="AK33" s="574"/>
      <c r="AL33" s="574"/>
      <c r="AM33" s="574"/>
      <c r="AN33" s="569"/>
    </row>
    <row r="34" spans="1:41" s="570" customFormat="1" ht="12.75" customHeight="1">
      <c r="A34" s="574"/>
      <c r="B34" s="574"/>
      <c r="C34" s="574"/>
      <c r="E34" s="2060"/>
      <c r="F34" s="2061"/>
      <c r="G34" s="2061"/>
      <c r="H34" s="2061"/>
      <c r="I34" s="2061"/>
      <c r="J34" s="2061"/>
      <c r="K34" s="2061"/>
      <c r="L34" s="2061"/>
      <c r="M34" s="2061"/>
      <c r="N34" s="2061"/>
      <c r="O34" s="2061"/>
      <c r="P34" s="2061"/>
      <c r="Q34" s="2061"/>
      <c r="R34" s="2061"/>
      <c r="S34" s="2061"/>
      <c r="T34" s="2061"/>
      <c r="U34" s="2061"/>
      <c r="V34" s="2061"/>
      <c r="W34" s="2061"/>
      <c r="X34" s="2061"/>
      <c r="Y34" s="2061"/>
      <c r="Z34" s="2061"/>
      <c r="AA34" s="2061"/>
      <c r="AB34" s="2061"/>
      <c r="AC34" s="2061"/>
      <c r="AD34" s="2061"/>
      <c r="AE34" s="2061"/>
      <c r="AF34" s="2061"/>
      <c r="AG34" s="2061"/>
      <c r="AH34" s="2061"/>
      <c r="AI34" s="2061"/>
      <c r="AJ34" s="2062"/>
      <c r="AK34" s="574"/>
      <c r="AL34" s="574"/>
      <c r="AM34" s="574"/>
      <c r="AN34" s="569"/>
    </row>
    <row r="35" spans="1:41" s="570" customFormat="1" ht="12.75" customHeight="1">
      <c r="A35" s="574"/>
      <c r="B35" s="574"/>
      <c r="C35" s="574"/>
      <c r="E35" s="2082"/>
      <c r="F35" s="2083"/>
      <c r="G35" s="2083"/>
      <c r="H35" s="2083"/>
      <c r="I35" s="2083"/>
      <c r="J35" s="2083"/>
      <c r="K35" s="2083"/>
      <c r="L35" s="2083"/>
      <c r="M35" s="2083"/>
      <c r="N35" s="2083"/>
      <c r="O35" s="2083"/>
      <c r="P35" s="2083"/>
      <c r="Q35" s="2083"/>
      <c r="R35" s="2083"/>
      <c r="S35" s="2083"/>
      <c r="T35" s="2083"/>
      <c r="U35" s="2083"/>
      <c r="V35" s="2083"/>
      <c r="W35" s="2083"/>
      <c r="X35" s="2083"/>
      <c r="Y35" s="2083"/>
      <c r="Z35" s="2083"/>
      <c r="AA35" s="2083"/>
      <c r="AB35" s="2083"/>
      <c r="AC35" s="2083"/>
      <c r="AD35" s="2083"/>
      <c r="AE35" s="2083"/>
      <c r="AF35" s="2083"/>
      <c r="AG35" s="2083"/>
      <c r="AH35" s="2083"/>
      <c r="AI35" s="2083"/>
      <c r="AJ35" s="208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2319</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29" t="s">
        <v>599</v>
      </c>
      <c r="C39" s="2129"/>
      <c r="D39" s="1186"/>
      <c r="E39" s="2057" t="s">
        <v>2318</v>
      </c>
      <c r="F39" s="2058"/>
      <c r="G39" s="2058"/>
      <c r="H39" s="2058"/>
      <c r="I39" s="2058"/>
      <c r="J39" s="2058"/>
      <c r="K39" s="2058"/>
      <c r="L39" s="2058"/>
      <c r="M39" s="2058"/>
      <c r="N39" s="2058"/>
      <c r="O39" s="2058"/>
      <c r="P39" s="2058"/>
      <c r="Q39" s="2058"/>
      <c r="R39" s="2058"/>
      <c r="S39" s="2058"/>
      <c r="T39" s="2058"/>
      <c r="U39" s="2058"/>
      <c r="V39" s="2058"/>
      <c r="W39" s="2058"/>
      <c r="X39" s="2058"/>
      <c r="Y39" s="2058"/>
      <c r="Z39" s="2058"/>
      <c r="AA39" s="2058"/>
      <c r="AB39" s="2058"/>
      <c r="AC39" s="2058"/>
      <c r="AD39" s="2058"/>
      <c r="AE39" s="2058"/>
      <c r="AF39" s="2058"/>
      <c r="AG39" s="2058"/>
      <c r="AH39" s="2058"/>
      <c r="AI39" s="2058"/>
      <c r="AJ39" s="2059"/>
      <c r="AK39" s="1186"/>
      <c r="AL39" s="574"/>
      <c r="AM39" s="574"/>
      <c r="AN39" s="569"/>
    </row>
    <row r="40" spans="1:41" s="570" customFormat="1" ht="12.75" customHeight="1">
      <c r="A40" s="574"/>
      <c r="B40" s="574"/>
      <c r="C40" s="574"/>
      <c r="E40" s="2060"/>
      <c r="F40" s="2061"/>
      <c r="G40" s="2061"/>
      <c r="H40" s="2061"/>
      <c r="I40" s="2061"/>
      <c r="J40" s="2061"/>
      <c r="K40" s="2061"/>
      <c r="L40" s="2061"/>
      <c r="M40" s="2061"/>
      <c r="N40" s="2061"/>
      <c r="O40" s="2061"/>
      <c r="P40" s="2061"/>
      <c r="Q40" s="2061"/>
      <c r="R40" s="2061"/>
      <c r="S40" s="2061"/>
      <c r="T40" s="2061"/>
      <c r="U40" s="2061"/>
      <c r="V40" s="2061"/>
      <c r="W40" s="2061"/>
      <c r="X40" s="2061"/>
      <c r="Y40" s="2061"/>
      <c r="Z40" s="2061"/>
      <c r="AA40" s="2061"/>
      <c r="AB40" s="2061"/>
      <c r="AC40" s="2061"/>
      <c r="AD40" s="2061"/>
      <c r="AE40" s="2061"/>
      <c r="AF40" s="2061"/>
      <c r="AG40" s="2061"/>
      <c r="AH40" s="2061"/>
      <c r="AI40" s="2061"/>
      <c r="AJ40" s="2062"/>
      <c r="AK40" s="574"/>
      <c r="AL40" s="574"/>
      <c r="AM40" s="574"/>
      <c r="AN40" s="569"/>
    </row>
    <row r="41" spans="1:41" s="570" customFormat="1" ht="12.75" customHeight="1">
      <c r="A41" s="574"/>
      <c r="D41" s="581"/>
      <c r="E41" s="2082"/>
      <c r="F41" s="2083"/>
      <c r="G41" s="2083"/>
      <c r="H41" s="2083"/>
      <c r="I41" s="2083"/>
      <c r="J41" s="2083"/>
      <c r="K41" s="2083"/>
      <c r="L41" s="2083"/>
      <c r="M41" s="2083"/>
      <c r="N41" s="2083"/>
      <c r="O41" s="2083"/>
      <c r="P41" s="2083"/>
      <c r="Q41" s="2083"/>
      <c r="R41" s="2083"/>
      <c r="S41" s="2083"/>
      <c r="T41" s="2083"/>
      <c r="U41" s="2083"/>
      <c r="V41" s="2083"/>
      <c r="W41" s="2083"/>
      <c r="X41" s="2083"/>
      <c r="Y41" s="2083"/>
      <c r="Z41" s="2083"/>
      <c r="AA41" s="2083"/>
      <c r="AB41" s="2083"/>
      <c r="AC41" s="2083"/>
      <c r="AD41" s="2083"/>
      <c r="AE41" s="2083"/>
      <c r="AF41" s="2083"/>
      <c r="AG41" s="2083"/>
      <c r="AH41" s="2083"/>
      <c r="AI41" s="2083"/>
      <c r="AJ41" s="208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2321</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2322</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29" t="s">
        <v>599</v>
      </c>
      <c r="C46" s="2129"/>
      <c r="D46" s="574"/>
      <c r="E46" s="2057" t="s">
        <v>2323</v>
      </c>
      <c r="F46" s="2058"/>
      <c r="G46" s="2058"/>
      <c r="H46" s="2058"/>
      <c r="I46" s="2058"/>
      <c r="J46" s="2058"/>
      <c r="K46" s="2058"/>
      <c r="L46" s="2058"/>
      <c r="M46" s="2058"/>
      <c r="N46" s="2058"/>
      <c r="O46" s="2058"/>
      <c r="P46" s="2058"/>
      <c r="Q46" s="2058"/>
      <c r="R46" s="2058"/>
      <c r="S46" s="2058"/>
      <c r="T46" s="2058"/>
      <c r="U46" s="2058"/>
      <c r="V46" s="2058"/>
      <c r="W46" s="2058"/>
      <c r="X46" s="2058"/>
      <c r="Y46" s="2058"/>
      <c r="Z46" s="2058"/>
      <c r="AA46" s="2058"/>
      <c r="AB46" s="2058"/>
      <c r="AC46" s="2058"/>
      <c r="AD46" s="2058"/>
      <c r="AE46" s="2058"/>
      <c r="AF46" s="2058"/>
      <c r="AG46" s="2058"/>
      <c r="AH46" s="2058"/>
      <c r="AI46" s="2058"/>
      <c r="AJ46" s="2059"/>
      <c r="AK46" s="574"/>
      <c r="AL46" s="574"/>
      <c r="AM46" s="574"/>
      <c r="AN46" s="569"/>
      <c r="AO46" s="593"/>
    </row>
    <row r="47" spans="1:41" s="570" customFormat="1" ht="12.75" customHeight="1">
      <c r="A47" s="574"/>
      <c r="D47" s="581"/>
      <c r="E47" s="2060"/>
      <c r="F47" s="2061"/>
      <c r="G47" s="2061"/>
      <c r="H47" s="2061"/>
      <c r="I47" s="2061"/>
      <c r="J47" s="2061"/>
      <c r="K47" s="2061"/>
      <c r="L47" s="2061"/>
      <c r="M47" s="2061"/>
      <c r="N47" s="2061"/>
      <c r="O47" s="2061"/>
      <c r="P47" s="2061"/>
      <c r="Q47" s="2061"/>
      <c r="R47" s="2061"/>
      <c r="S47" s="2061"/>
      <c r="T47" s="2061"/>
      <c r="U47" s="2061"/>
      <c r="V47" s="2061"/>
      <c r="W47" s="2061"/>
      <c r="X47" s="2061"/>
      <c r="Y47" s="2061"/>
      <c r="Z47" s="2061"/>
      <c r="AA47" s="2061"/>
      <c r="AB47" s="2061"/>
      <c r="AC47" s="2061"/>
      <c r="AD47" s="2061"/>
      <c r="AE47" s="2061"/>
      <c r="AF47" s="2061"/>
      <c r="AG47" s="2061"/>
      <c r="AH47" s="2061"/>
      <c r="AI47" s="2061"/>
      <c r="AJ47" s="2062"/>
      <c r="AK47" s="574"/>
      <c r="AL47" s="574"/>
      <c r="AM47" s="574"/>
      <c r="AN47" s="569"/>
      <c r="AO47" s="593"/>
    </row>
    <row r="48" spans="1:41" s="570" customFormat="1" ht="12.75" customHeight="1">
      <c r="A48" s="574"/>
      <c r="D48" s="574"/>
      <c r="E48" s="2082"/>
      <c r="F48" s="2083"/>
      <c r="G48" s="2083"/>
      <c r="H48" s="2083"/>
      <c r="I48" s="2083"/>
      <c r="J48" s="2083"/>
      <c r="K48" s="2083"/>
      <c r="L48" s="2083"/>
      <c r="M48" s="2083"/>
      <c r="N48" s="2083"/>
      <c r="O48" s="2083"/>
      <c r="P48" s="2083"/>
      <c r="Q48" s="2083"/>
      <c r="R48" s="2083"/>
      <c r="S48" s="2083"/>
      <c r="T48" s="2083"/>
      <c r="U48" s="2083"/>
      <c r="V48" s="2083"/>
      <c r="W48" s="2083"/>
      <c r="X48" s="2083"/>
      <c r="Y48" s="2083"/>
      <c r="Z48" s="2083"/>
      <c r="AA48" s="2083"/>
      <c r="AB48" s="2083"/>
      <c r="AC48" s="2083"/>
      <c r="AD48" s="2083"/>
      <c r="AE48" s="2083"/>
      <c r="AF48" s="2083"/>
      <c r="AG48" s="2083"/>
      <c r="AH48" s="2083"/>
      <c r="AI48" s="2083"/>
      <c r="AJ48" s="208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29" t="s">
        <v>599</v>
      </c>
      <c r="C50" s="2129"/>
      <c r="D50" s="574"/>
      <c r="E50" s="2155" t="s">
        <v>2324</v>
      </c>
      <c r="F50" s="2156"/>
      <c r="G50" s="2156"/>
      <c r="H50" s="2156"/>
      <c r="I50" s="2156"/>
      <c r="J50" s="2156"/>
      <c r="K50" s="2156"/>
      <c r="L50" s="2156"/>
      <c r="M50" s="2156"/>
      <c r="N50" s="2156"/>
      <c r="O50" s="2156"/>
      <c r="P50" s="2156"/>
      <c r="Q50" s="2156"/>
      <c r="R50" s="2156"/>
      <c r="S50" s="2156"/>
      <c r="T50" s="2156"/>
      <c r="U50" s="2156"/>
      <c r="V50" s="2156"/>
      <c r="W50" s="2156"/>
      <c r="X50" s="2156"/>
      <c r="Y50" s="2156"/>
      <c r="Z50" s="2156"/>
      <c r="AA50" s="2156"/>
      <c r="AB50" s="2156"/>
      <c r="AC50" s="2156"/>
      <c r="AD50" s="2156"/>
      <c r="AE50" s="2156"/>
      <c r="AF50" s="2156"/>
      <c r="AG50" s="2156"/>
      <c r="AH50" s="2156"/>
      <c r="AI50" s="2156"/>
      <c r="AJ50" s="215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29" t="s">
        <v>599</v>
      </c>
      <c r="C52" s="2129"/>
      <c r="D52" s="574"/>
      <c r="E52" s="2057" t="s">
        <v>2325</v>
      </c>
      <c r="F52" s="2058"/>
      <c r="G52" s="2058"/>
      <c r="H52" s="2058"/>
      <c r="I52" s="2058"/>
      <c r="J52" s="2058"/>
      <c r="K52" s="2058"/>
      <c r="L52" s="2058"/>
      <c r="M52" s="2058"/>
      <c r="N52" s="2058"/>
      <c r="O52" s="2058"/>
      <c r="P52" s="2058"/>
      <c r="Q52" s="2058"/>
      <c r="R52" s="2058"/>
      <c r="S52" s="2058"/>
      <c r="T52" s="2058"/>
      <c r="U52" s="2058"/>
      <c r="V52" s="2058"/>
      <c r="W52" s="2058"/>
      <c r="X52" s="2058"/>
      <c r="Y52" s="2058"/>
      <c r="Z52" s="2058"/>
      <c r="AA52" s="2058"/>
      <c r="AB52" s="2058"/>
      <c r="AC52" s="2058"/>
      <c r="AD52" s="2058"/>
      <c r="AE52" s="2058"/>
      <c r="AF52" s="2058"/>
      <c r="AG52" s="2058"/>
      <c r="AH52" s="2058"/>
      <c r="AI52" s="2058"/>
      <c r="AJ52" s="2059"/>
      <c r="AK52" s="574"/>
      <c r="AL52" s="574"/>
      <c r="AM52" s="574"/>
      <c r="AN52" s="569"/>
    </row>
    <row r="53" spans="1:50" s="570" customFormat="1" ht="12.75" customHeight="1">
      <c r="A53" s="574"/>
      <c r="B53" s="581"/>
      <c r="C53" s="581"/>
      <c r="D53" s="581"/>
      <c r="E53" s="2082"/>
      <c r="F53" s="2083"/>
      <c r="G53" s="2083"/>
      <c r="H53" s="2083"/>
      <c r="I53" s="2083"/>
      <c r="J53" s="2083"/>
      <c r="K53" s="2083"/>
      <c r="L53" s="2083"/>
      <c r="M53" s="2083"/>
      <c r="N53" s="2083"/>
      <c r="O53" s="2083"/>
      <c r="P53" s="2083"/>
      <c r="Q53" s="2083"/>
      <c r="R53" s="2083"/>
      <c r="S53" s="2083"/>
      <c r="T53" s="2083"/>
      <c r="U53" s="2083"/>
      <c r="V53" s="2083"/>
      <c r="W53" s="2083"/>
      <c r="X53" s="2083"/>
      <c r="Y53" s="2083"/>
      <c r="Z53" s="2083"/>
      <c r="AA53" s="2083"/>
      <c r="AB53" s="2083"/>
      <c r="AC53" s="2083"/>
      <c r="AD53" s="2083"/>
      <c r="AE53" s="2083"/>
      <c r="AF53" s="2083"/>
      <c r="AG53" s="2083"/>
      <c r="AH53" s="2083"/>
      <c r="AI53" s="2083"/>
      <c r="AJ53" s="208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103">
        <f>AO36</f>
        <v>0</v>
      </c>
      <c r="AL56" s="2104"/>
      <c r="AM56" s="2105"/>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47" t="s">
        <v>1425</v>
      </c>
      <c r="AF59" s="1947"/>
      <c r="AG59" s="1947"/>
      <c r="AH59" s="1947"/>
      <c r="AI59" s="1947"/>
      <c r="AJ59" s="1947"/>
      <c r="AK59" s="1947"/>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29" t="s">
        <v>553</v>
      </c>
      <c r="C62" s="2129"/>
      <c r="D62" s="581" t="s">
        <v>1426</v>
      </c>
      <c r="E62" s="2121" t="s">
        <v>2326</v>
      </c>
      <c r="F62" s="2122"/>
      <c r="G62" s="2122"/>
      <c r="H62" s="2122"/>
      <c r="I62" s="2122"/>
      <c r="J62" s="2122"/>
      <c r="K62" s="2122"/>
      <c r="L62" s="2122"/>
      <c r="M62" s="2122"/>
      <c r="N62" s="2122"/>
      <c r="O62" s="2122"/>
      <c r="P62" s="2122"/>
      <c r="Q62" s="2122"/>
      <c r="R62" s="2122"/>
      <c r="S62" s="2122"/>
      <c r="T62" s="2122"/>
      <c r="U62" s="2122"/>
      <c r="V62" s="2122"/>
      <c r="W62" s="2122"/>
      <c r="X62" s="2122"/>
      <c r="Y62" s="2122"/>
      <c r="Z62" s="2122"/>
      <c r="AA62" s="2122"/>
      <c r="AB62" s="2122"/>
      <c r="AC62" s="2122"/>
      <c r="AD62" s="2122"/>
      <c r="AE62" s="2122"/>
      <c r="AF62" s="2122"/>
      <c r="AG62" s="2122"/>
      <c r="AH62" s="2122"/>
      <c r="AI62" s="2122"/>
      <c r="AJ62" s="2123"/>
      <c r="AK62" s="577"/>
      <c r="AL62" s="574"/>
      <c r="AM62" s="574"/>
      <c r="AN62" s="569"/>
      <c r="AO62" s="584">
        <f>IF($B62="yes",10,0)</f>
        <v>10</v>
      </c>
    </row>
    <row r="63" spans="1:50" s="570" customFormat="1" ht="12.75" customHeight="1">
      <c r="A63" s="572"/>
      <c r="B63" s="574"/>
      <c r="C63" s="574"/>
      <c r="D63" s="585"/>
      <c r="E63" s="2124"/>
      <c r="F63" s="2125"/>
      <c r="G63" s="2125"/>
      <c r="H63" s="2125"/>
      <c r="I63" s="2125"/>
      <c r="J63" s="2125"/>
      <c r="K63" s="2125"/>
      <c r="L63" s="2125"/>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6"/>
      <c r="AK63" s="577"/>
      <c r="AL63" s="574"/>
      <c r="AM63" s="574"/>
      <c r="AN63" s="569"/>
      <c r="AO63" s="584">
        <f>IF($B68="yes",10,0)</f>
        <v>0</v>
      </c>
    </row>
    <row r="64" spans="1:50" s="570" customFormat="1" ht="12.75" customHeight="1">
      <c r="A64" s="572"/>
      <c r="B64" s="574"/>
      <c r="C64" s="574"/>
      <c r="D64" s="585"/>
      <c r="E64" s="2124"/>
      <c r="F64" s="2125"/>
      <c r="G64" s="2125"/>
      <c r="H64" s="2125"/>
      <c r="I64" s="2125"/>
      <c r="J64" s="2125"/>
      <c r="K64" s="2125"/>
      <c r="L64" s="2125"/>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6"/>
      <c r="AK64" s="577"/>
      <c r="AL64" s="574"/>
      <c r="AM64" s="574"/>
      <c r="AN64" s="569"/>
      <c r="AO64" s="584">
        <f>IF($B75="yes",10,0)</f>
        <v>0</v>
      </c>
    </row>
    <row r="65" spans="1:42" s="570" customFormat="1" ht="12.75" customHeight="1">
      <c r="A65" s="572"/>
      <c r="B65" s="574"/>
      <c r="C65" s="574"/>
      <c r="D65" s="585"/>
      <c r="E65" s="2124"/>
      <c r="F65" s="2125"/>
      <c r="G65" s="2125"/>
      <c r="H65" s="2125"/>
      <c r="I65" s="2125"/>
      <c r="J65" s="2125"/>
      <c r="K65" s="2125"/>
      <c r="L65" s="2125"/>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6"/>
      <c r="AK65" s="577"/>
      <c r="AL65" s="574"/>
      <c r="AM65" s="574"/>
      <c r="AN65" s="569"/>
      <c r="AO65" s="570">
        <f>IF(SUM(AO62:AO64)&gt;10,10,(SUM(AO62:AO64)))</f>
        <v>10</v>
      </c>
      <c r="AP65" s="608" t="s">
        <v>1427</v>
      </c>
    </row>
    <row r="66" spans="1:42" s="570" customFormat="1" ht="12.75" customHeight="1">
      <c r="A66" s="572"/>
      <c r="B66" s="574"/>
      <c r="C66" s="574"/>
      <c r="D66" s="585"/>
      <c r="E66" s="2151"/>
      <c r="F66" s="2152"/>
      <c r="G66" s="2152"/>
      <c r="H66" s="2152"/>
      <c r="I66" s="2152"/>
      <c r="J66" s="2152"/>
      <c r="K66" s="2152"/>
      <c r="L66" s="2152"/>
      <c r="M66" s="2152"/>
      <c r="N66" s="2152"/>
      <c r="O66" s="2152"/>
      <c r="P66" s="2152"/>
      <c r="Q66" s="2152"/>
      <c r="R66" s="2152"/>
      <c r="S66" s="2152"/>
      <c r="T66" s="2152"/>
      <c r="U66" s="2152"/>
      <c r="V66" s="2152"/>
      <c r="W66" s="2152"/>
      <c r="X66" s="2152"/>
      <c r="Y66" s="2152"/>
      <c r="Z66" s="2152"/>
      <c r="AA66" s="2152"/>
      <c r="AB66" s="2152"/>
      <c r="AC66" s="2152"/>
      <c r="AD66" s="2152"/>
      <c r="AE66" s="2152"/>
      <c r="AF66" s="2152"/>
      <c r="AG66" s="2152"/>
      <c r="AH66" s="2152"/>
      <c r="AI66" s="2152"/>
      <c r="AJ66" s="215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29" t="s">
        <v>599</v>
      </c>
      <c r="C68" s="2129"/>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54" t="s">
        <v>599</v>
      </c>
      <c r="F69" s="2129"/>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49" t="s">
        <v>599</v>
      </c>
      <c r="F70" s="2150"/>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49" t="s">
        <v>599</v>
      </c>
      <c r="F71" s="2150"/>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54" t="s">
        <v>599</v>
      </c>
      <c r="F73" s="2129"/>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29" t="s">
        <v>599</v>
      </c>
      <c r="C75" s="2129"/>
      <c r="D75" s="581" t="s">
        <v>1431</v>
      </c>
      <c r="E75" s="2057" t="s">
        <v>1930</v>
      </c>
      <c r="F75" s="2058"/>
      <c r="G75" s="2058"/>
      <c r="H75" s="2058"/>
      <c r="I75" s="2058"/>
      <c r="J75" s="2058"/>
      <c r="K75" s="2058"/>
      <c r="L75" s="2058"/>
      <c r="M75" s="2058"/>
      <c r="N75" s="2058"/>
      <c r="O75" s="2058"/>
      <c r="P75" s="2058"/>
      <c r="Q75" s="2058"/>
      <c r="R75" s="2058"/>
      <c r="S75" s="2058"/>
      <c r="T75" s="2058"/>
      <c r="U75" s="2058"/>
      <c r="V75" s="2058"/>
      <c r="W75" s="2058"/>
      <c r="X75" s="2058"/>
      <c r="Y75" s="2058"/>
      <c r="Z75" s="2058"/>
      <c r="AA75" s="2058"/>
      <c r="AB75" s="2058"/>
      <c r="AC75" s="2058"/>
      <c r="AD75" s="2058"/>
      <c r="AE75" s="2058"/>
      <c r="AF75" s="2058"/>
      <c r="AG75" s="2058"/>
      <c r="AH75" s="2058"/>
      <c r="AI75" s="2058"/>
      <c r="AJ75" s="2059"/>
      <c r="AK75" s="577"/>
      <c r="AL75" s="574"/>
      <c r="AM75" s="574"/>
      <c r="AN75" s="569"/>
    </row>
    <row r="76" spans="1:42" s="570" customFormat="1" ht="12.75" customHeight="1">
      <c r="A76" s="572"/>
      <c r="B76" s="574"/>
      <c r="C76" s="574"/>
      <c r="D76" s="584"/>
      <c r="E76" s="2082"/>
      <c r="F76" s="2083"/>
      <c r="G76" s="2083"/>
      <c r="H76" s="2083"/>
      <c r="I76" s="2083"/>
      <c r="J76" s="2083"/>
      <c r="K76" s="2083"/>
      <c r="L76" s="2083"/>
      <c r="M76" s="2083"/>
      <c r="N76" s="2083"/>
      <c r="O76" s="2083"/>
      <c r="P76" s="2083"/>
      <c r="Q76" s="2083"/>
      <c r="R76" s="2083"/>
      <c r="S76" s="2083"/>
      <c r="T76" s="2083"/>
      <c r="U76" s="2083"/>
      <c r="V76" s="2083"/>
      <c r="W76" s="2083"/>
      <c r="X76" s="2083"/>
      <c r="Y76" s="2083"/>
      <c r="Z76" s="2083"/>
      <c r="AA76" s="2083"/>
      <c r="AB76" s="2083"/>
      <c r="AC76" s="2083"/>
      <c r="AD76" s="2083"/>
      <c r="AE76" s="2083"/>
      <c r="AF76" s="2083"/>
      <c r="AG76" s="2083"/>
      <c r="AH76" s="2083"/>
      <c r="AI76" s="2083"/>
      <c r="AJ76" s="208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103">
        <f>IF(AK56&gt;0,0,AO65)</f>
        <v>10</v>
      </c>
      <c r="AL78" s="2104"/>
      <c r="AM78" s="2105"/>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47" t="s">
        <v>1416</v>
      </c>
      <c r="AF81" s="1947"/>
      <c r="AG81" s="1947"/>
      <c r="AH81" s="1947"/>
      <c r="AI81" s="1947"/>
      <c r="AJ81" s="1947"/>
      <c r="AK81" s="1947"/>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29" t="s">
        <v>599</v>
      </c>
      <c r="C84" s="2129"/>
      <c r="D84" s="581" t="s">
        <v>1426</v>
      </c>
      <c r="E84" s="2121" t="s">
        <v>1436</v>
      </c>
      <c r="F84" s="2122"/>
      <c r="G84" s="2122"/>
      <c r="H84" s="2122"/>
      <c r="I84" s="2122"/>
      <c r="J84" s="2122"/>
      <c r="K84" s="2122"/>
      <c r="L84" s="2122"/>
      <c r="M84" s="2122"/>
      <c r="N84" s="2122"/>
      <c r="O84" s="2122"/>
      <c r="P84" s="2122"/>
      <c r="Q84" s="2122"/>
      <c r="R84" s="2122"/>
      <c r="S84" s="2122"/>
      <c r="T84" s="2122"/>
      <c r="U84" s="2122"/>
      <c r="V84" s="2122"/>
      <c r="W84" s="2122"/>
      <c r="X84" s="2122"/>
      <c r="Y84" s="2122"/>
      <c r="Z84" s="2122"/>
      <c r="AA84" s="2122"/>
      <c r="AB84" s="2122"/>
      <c r="AC84" s="2122"/>
      <c r="AD84" s="2122"/>
      <c r="AE84" s="2122"/>
      <c r="AF84" s="2122"/>
      <c r="AG84" s="2122"/>
      <c r="AH84" s="2122"/>
      <c r="AI84" s="2122"/>
      <c r="AJ84" s="2123"/>
      <c r="AK84" s="577"/>
      <c r="AL84" s="574"/>
      <c r="AM84" s="574"/>
      <c r="AN84" s="569"/>
    </row>
    <row r="85" spans="1:43" s="570" customFormat="1" ht="12.75" customHeight="1">
      <c r="A85" s="572"/>
      <c r="B85" s="573"/>
      <c r="C85" s="573"/>
      <c r="D85" s="573"/>
      <c r="E85" s="2124"/>
      <c r="F85" s="2125"/>
      <c r="G85" s="2125"/>
      <c r="H85" s="2125"/>
      <c r="I85" s="2125"/>
      <c r="J85" s="2125"/>
      <c r="K85" s="2125"/>
      <c r="L85" s="2125"/>
      <c r="M85" s="2125"/>
      <c r="N85" s="2125"/>
      <c r="O85" s="2125"/>
      <c r="P85" s="2125"/>
      <c r="Q85" s="2125"/>
      <c r="R85" s="2125"/>
      <c r="S85" s="2125"/>
      <c r="T85" s="2125"/>
      <c r="U85" s="2125"/>
      <c r="V85" s="2125"/>
      <c r="W85" s="2125"/>
      <c r="X85" s="2125"/>
      <c r="Y85" s="2125"/>
      <c r="Z85" s="2125"/>
      <c r="AA85" s="2125"/>
      <c r="AB85" s="2125"/>
      <c r="AC85" s="2125"/>
      <c r="AD85" s="2125"/>
      <c r="AE85" s="2125"/>
      <c r="AF85" s="2125"/>
      <c r="AG85" s="2125"/>
      <c r="AH85" s="2125"/>
      <c r="AI85" s="2125"/>
      <c r="AJ85" s="212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17">
        <f>Application!AC753</f>
        <v>0.56187050359712221</v>
      </c>
      <c r="F87" s="2118"/>
      <c r="G87" s="2118"/>
      <c r="H87" s="2118"/>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48">
        <f>0.6-ROUNDUP(E87,2)</f>
        <v>2.9999999999999916E-2</v>
      </c>
      <c r="F88" s="1921"/>
      <c r="G88" s="1921"/>
      <c r="H88" s="1921"/>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33">
        <f>IF(E88*200&gt;20,20,E88*200)</f>
        <v>5.9999999999999831</v>
      </c>
      <c r="F89" s="2134"/>
      <c r="G89" s="2134"/>
      <c r="H89" s="2134"/>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29" t="s">
        <v>553</v>
      </c>
      <c r="C92" s="2129"/>
      <c r="D92" s="581" t="s">
        <v>1428</v>
      </c>
      <c r="E92" s="2121" t="s">
        <v>1915</v>
      </c>
      <c r="F92" s="2122"/>
      <c r="G92" s="2122"/>
      <c r="H92" s="2122"/>
      <c r="I92" s="2122"/>
      <c r="J92" s="2122"/>
      <c r="K92" s="2122"/>
      <c r="L92" s="2122"/>
      <c r="M92" s="2122"/>
      <c r="N92" s="2122"/>
      <c r="O92" s="2122"/>
      <c r="P92" s="2122"/>
      <c r="Q92" s="2122"/>
      <c r="R92" s="2122"/>
      <c r="S92" s="2122"/>
      <c r="T92" s="2122"/>
      <c r="U92" s="2122"/>
      <c r="V92" s="2122"/>
      <c r="W92" s="2122"/>
      <c r="X92" s="2122"/>
      <c r="Y92" s="2122"/>
      <c r="Z92" s="2122"/>
      <c r="AA92" s="2122"/>
      <c r="AB92" s="2122"/>
      <c r="AC92" s="2122"/>
      <c r="AD92" s="2122"/>
      <c r="AE92" s="2122"/>
      <c r="AF92" s="2122"/>
      <c r="AG92" s="2122"/>
      <c r="AH92" s="2122"/>
      <c r="AI92" s="2122"/>
      <c r="AJ92" s="2123"/>
      <c r="AK92" s="577"/>
      <c r="AL92" s="574"/>
      <c r="AM92" s="574"/>
      <c r="AN92" s="569"/>
    </row>
    <row r="93" spans="1:43" s="570" customFormat="1" ht="12.75" customHeight="1">
      <c r="A93" s="572"/>
      <c r="B93" s="573"/>
      <c r="C93" s="573"/>
      <c r="D93" s="573"/>
      <c r="E93" s="2124"/>
      <c r="F93" s="2125"/>
      <c r="G93" s="2125"/>
      <c r="H93" s="2125"/>
      <c r="I93" s="2125"/>
      <c r="J93" s="2125"/>
      <c r="K93" s="2125"/>
      <c r="L93" s="2125"/>
      <c r="M93" s="2125"/>
      <c r="N93" s="2125"/>
      <c r="O93" s="2125"/>
      <c r="P93" s="2125"/>
      <c r="Q93" s="2125"/>
      <c r="R93" s="2125"/>
      <c r="S93" s="2125"/>
      <c r="T93" s="2125"/>
      <c r="U93" s="2125"/>
      <c r="V93" s="2125"/>
      <c r="W93" s="2125"/>
      <c r="X93" s="2125"/>
      <c r="Y93" s="2125"/>
      <c r="Z93" s="2125"/>
      <c r="AA93" s="2125"/>
      <c r="AB93" s="2125"/>
      <c r="AC93" s="2125"/>
      <c r="AD93" s="2125"/>
      <c r="AE93" s="2125"/>
      <c r="AF93" s="2125"/>
      <c r="AG93" s="2125"/>
      <c r="AH93" s="2125"/>
      <c r="AI93" s="2125"/>
      <c r="AJ93" s="2126"/>
      <c r="AK93" s="577"/>
      <c r="AL93" s="574"/>
      <c r="AM93" s="574"/>
      <c r="AN93" s="569"/>
    </row>
    <row r="94" spans="1:43" s="570" customFormat="1" ht="12.75" customHeight="1">
      <c r="A94" s="572"/>
      <c r="B94" s="573"/>
      <c r="C94" s="573"/>
      <c r="D94" s="573"/>
      <c r="E94" s="2124"/>
      <c r="F94" s="2125"/>
      <c r="G94" s="2125"/>
      <c r="H94" s="2125"/>
      <c r="I94" s="2125"/>
      <c r="J94" s="2125"/>
      <c r="K94" s="2125"/>
      <c r="L94" s="2125"/>
      <c r="M94" s="2125"/>
      <c r="N94" s="2125"/>
      <c r="O94" s="2125"/>
      <c r="P94" s="2125"/>
      <c r="Q94" s="2125"/>
      <c r="R94" s="2125"/>
      <c r="S94" s="2125"/>
      <c r="T94" s="2125"/>
      <c r="U94" s="2125"/>
      <c r="V94" s="2125"/>
      <c r="W94" s="2125"/>
      <c r="X94" s="2125"/>
      <c r="Y94" s="2125"/>
      <c r="Z94" s="2125"/>
      <c r="AA94" s="2125"/>
      <c r="AB94" s="2125"/>
      <c r="AC94" s="2125"/>
      <c r="AD94" s="2125"/>
      <c r="AE94" s="2125"/>
      <c r="AF94" s="2125"/>
      <c r="AG94" s="2125"/>
      <c r="AH94" s="2125"/>
      <c r="AI94" s="2125"/>
      <c r="AJ94" s="2126"/>
      <c r="AK94" s="577"/>
      <c r="AL94" s="574"/>
      <c r="AM94" s="574"/>
      <c r="AN94" s="569"/>
    </row>
    <row r="95" spans="1:43" s="570" customFormat="1" ht="12.75" customHeight="1">
      <c r="A95" s="572"/>
      <c r="B95" s="573"/>
      <c r="C95" s="573"/>
      <c r="D95" s="573"/>
      <c r="E95" s="2124"/>
      <c r="F95" s="2125"/>
      <c r="G95" s="2125"/>
      <c r="H95" s="2125"/>
      <c r="I95" s="2125"/>
      <c r="J95" s="2125"/>
      <c r="K95" s="2125"/>
      <c r="L95" s="2125"/>
      <c r="M95" s="2125"/>
      <c r="N95" s="2125"/>
      <c r="O95" s="2125"/>
      <c r="P95" s="2125"/>
      <c r="Q95" s="2125"/>
      <c r="R95" s="2125"/>
      <c r="S95" s="2125"/>
      <c r="T95" s="2125"/>
      <c r="U95" s="2125"/>
      <c r="V95" s="2125"/>
      <c r="W95" s="2125"/>
      <c r="X95" s="2125"/>
      <c r="Y95" s="2125"/>
      <c r="Z95" s="2125"/>
      <c r="AA95" s="2125"/>
      <c r="AB95" s="2125"/>
      <c r="AC95" s="2125"/>
      <c r="AD95" s="2125"/>
      <c r="AE95" s="2125"/>
      <c r="AF95" s="2125"/>
      <c r="AG95" s="2125"/>
      <c r="AH95" s="2125"/>
      <c r="AI95" s="2125"/>
      <c r="AJ95" s="212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17">
        <f>Application!AC753</f>
        <v>0.56187050359712221</v>
      </c>
      <c r="F97" s="2118"/>
      <c r="G97" s="2118"/>
      <c r="H97" s="2118"/>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17">
        <f ca="1">SUMIF(Application!AC718:AG752,0.2,Application!G718:J752)/Application!G753+SUMIF(Application!AC718:AG752,0.25,Application!G718:J752)/Application!G753+SUMIF(Application!AC718:AG752,0.3,Application!G718:J752)/Application!G753</f>
        <v>0.30215827338129497</v>
      </c>
      <c r="F98" s="2118"/>
      <c r="G98" s="2118"/>
      <c r="H98" s="2118"/>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17">
        <f ca="1">SUMIF(Application!AC718:AG752,0.35,Application!G718:J752)/Application!G753+SUMIF(Application!AC718:AG752,0.4,Application!G718:J752)/Application!G753+SUMIF(Application!AC718:AG752,0.45,Application!G718:J752)/Application!G753+SUMIF(Application!AC718:AG752,0.5,Application!G718:J752)/Application!G753</f>
        <v>0</v>
      </c>
      <c r="F99" s="2118"/>
      <c r="G99" s="2118"/>
      <c r="H99" s="2118"/>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15">
        <f ca="1">IF(AND(E97&lt;=0.6,E98&gt;=0.1,OR(E99&gt;=0.1,E98&gt;=0.2)),20,0)</f>
        <v>20</v>
      </c>
      <c r="F100" s="2116"/>
      <c r="G100" s="2116"/>
      <c r="H100" s="2116"/>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103">
        <f ca="1">MAX(AP89,AP100)</f>
        <v>20</v>
      </c>
      <c r="AL103" s="2104"/>
      <c r="AM103" s="2105"/>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47" t="s">
        <v>1425</v>
      </c>
      <c r="AF106" s="1947"/>
      <c r="AG106" s="1947"/>
      <c r="AH106" s="1947"/>
      <c r="AI106" s="1947"/>
      <c r="AJ106" s="1947"/>
      <c r="AK106" s="1947"/>
      <c r="AL106" s="574"/>
      <c r="AM106" s="574"/>
      <c r="AN106" s="569"/>
      <c r="AO106" s="570" t="str">
        <f>Application!B718</f>
        <v>1 Bedroom</v>
      </c>
      <c r="AQ106" s="570">
        <f>Application!O718</f>
        <v>521</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1124</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1325</v>
      </c>
    </row>
    <row r="109" spans="1:49" s="570" customFormat="1" ht="12.75" customHeight="1">
      <c r="A109" s="574"/>
      <c r="B109" s="2129" t="s">
        <v>553</v>
      </c>
      <c r="C109" s="2129"/>
      <c r="D109" s="581" t="s">
        <v>1426</v>
      </c>
      <c r="E109" s="2121" t="s">
        <v>2049</v>
      </c>
      <c r="F109" s="2122"/>
      <c r="G109" s="2122"/>
      <c r="H109" s="2122"/>
      <c r="I109" s="2122"/>
      <c r="J109" s="2122"/>
      <c r="K109" s="2122"/>
      <c r="L109" s="2122"/>
      <c r="M109" s="2122"/>
      <c r="N109" s="2122"/>
      <c r="O109" s="2122"/>
      <c r="P109" s="2122"/>
      <c r="Q109" s="2122"/>
      <c r="R109" s="2122"/>
      <c r="S109" s="2122"/>
      <c r="T109" s="2122"/>
      <c r="U109" s="2122"/>
      <c r="V109" s="2122"/>
      <c r="W109" s="2122"/>
      <c r="X109" s="2122"/>
      <c r="Y109" s="2122"/>
      <c r="Z109" s="2122"/>
      <c r="AA109" s="2122"/>
      <c r="AB109" s="2122"/>
      <c r="AC109" s="2122"/>
      <c r="AD109" s="2122"/>
      <c r="AE109" s="2122"/>
      <c r="AF109" s="2122"/>
      <c r="AG109" s="2122"/>
      <c r="AH109" s="2122"/>
      <c r="AI109" s="2122"/>
      <c r="AJ109" s="2123"/>
      <c r="AK109" s="574"/>
      <c r="AL109" s="574"/>
      <c r="AM109" s="574"/>
      <c r="AN109" s="569"/>
      <c r="AO109" s="570" t="str">
        <f>Application!B721</f>
        <v>2 Bedrooms</v>
      </c>
      <c r="AQ109" s="570">
        <f>Application!O721</f>
        <v>621</v>
      </c>
      <c r="AU109" s="570" t="s">
        <v>2031</v>
      </c>
      <c r="AV109" s="629" t="s">
        <v>2032</v>
      </c>
      <c r="AW109" s="570" t="s">
        <v>2033</v>
      </c>
    </row>
    <row r="110" spans="1:49" s="570" customFormat="1" ht="12.75" customHeight="1">
      <c r="A110" s="574"/>
      <c r="B110" s="573"/>
      <c r="C110" s="573"/>
      <c r="D110" s="573"/>
      <c r="E110" s="2124"/>
      <c r="F110" s="2125"/>
      <c r="G110" s="2125"/>
      <c r="H110" s="2125"/>
      <c r="I110" s="2125"/>
      <c r="J110" s="2125"/>
      <c r="K110" s="2125"/>
      <c r="L110" s="2125"/>
      <c r="M110" s="2125"/>
      <c r="N110" s="2125"/>
      <c r="O110" s="2125"/>
      <c r="P110" s="2125"/>
      <c r="Q110" s="2125"/>
      <c r="R110" s="2125"/>
      <c r="S110" s="2125"/>
      <c r="T110" s="2125"/>
      <c r="U110" s="2125"/>
      <c r="V110" s="2125"/>
      <c r="W110" s="2125"/>
      <c r="X110" s="2125"/>
      <c r="Y110" s="2125"/>
      <c r="Z110" s="2125"/>
      <c r="AA110" s="2125"/>
      <c r="AB110" s="2125"/>
      <c r="AC110" s="2125"/>
      <c r="AD110" s="2125"/>
      <c r="AE110" s="2125"/>
      <c r="AF110" s="2125"/>
      <c r="AG110" s="2125"/>
      <c r="AH110" s="2125"/>
      <c r="AI110" s="2125"/>
      <c r="AJ110" s="2126"/>
      <c r="AK110" s="574"/>
      <c r="AL110" s="574"/>
      <c r="AM110" s="574"/>
      <c r="AN110" s="569"/>
      <c r="AO110" s="570" t="str">
        <f>Application!B722</f>
        <v>2 Bedrooms</v>
      </c>
      <c r="AQ110" s="570">
        <f>Application!O722</f>
        <v>619</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24"/>
      <c r="F111" s="2125"/>
      <c r="G111" s="2125"/>
      <c r="H111" s="2125"/>
      <c r="I111" s="2125"/>
      <c r="J111" s="2125"/>
      <c r="K111" s="2125"/>
      <c r="L111" s="2125"/>
      <c r="M111" s="2125"/>
      <c r="N111" s="2125"/>
      <c r="O111" s="2125"/>
      <c r="P111" s="2125"/>
      <c r="Q111" s="2125"/>
      <c r="R111" s="2125"/>
      <c r="S111" s="2125"/>
      <c r="T111" s="2125"/>
      <c r="U111" s="2125"/>
      <c r="V111" s="2125"/>
      <c r="W111" s="2125"/>
      <c r="X111" s="2125"/>
      <c r="Y111" s="2125"/>
      <c r="Z111" s="2125"/>
      <c r="AA111" s="2125"/>
      <c r="AB111" s="2125"/>
      <c r="AC111" s="2125"/>
      <c r="AD111" s="2125"/>
      <c r="AE111" s="2125"/>
      <c r="AF111" s="2125"/>
      <c r="AG111" s="2125"/>
      <c r="AH111" s="2125"/>
      <c r="AI111" s="2125"/>
      <c r="AJ111" s="2126"/>
      <c r="AK111" s="574"/>
      <c r="AL111" s="574"/>
      <c r="AM111" s="574"/>
      <c r="AN111" s="569"/>
      <c r="AO111" s="570" t="str">
        <f>Application!B723</f>
        <v>2 Bedrooms</v>
      </c>
      <c r="AQ111" s="570">
        <f>Application!O723</f>
        <v>1344</v>
      </c>
      <c r="AU111" s="890" t="str">
        <f>J118</f>
        <v>1-bedroom</v>
      </c>
      <c r="AV111" s="570">
        <f t="array" ref="AV111">SUM(IF(Application!B718:F752="1 Bedroom",Application!G718:J752))</f>
        <v>42</v>
      </c>
      <c r="AW111" s="1046">
        <f>AV111/AV116</f>
        <v>0.30215827338129497</v>
      </c>
    </row>
    <row r="112" spans="1:49" s="570" customFormat="1" ht="12.75" customHeight="1">
      <c r="A112" s="574"/>
      <c r="B112" s="573"/>
      <c r="C112" s="573"/>
      <c r="D112" s="573"/>
      <c r="E112" s="2124"/>
      <c r="F112" s="2125"/>
      <c r="G112" s="2125"/>
      <c r="H112" s="2125"/>
      <c r="I112" s="2125"/>
      <c r="J112" s="2125"/>
      <c r="K112" s="2125"/>
      <c r="L112" s="2125"/>
      <c r="M112" s="2125"/>
      <c r="N112" s="2125"/>
      <c r="O112" s="2125"/>
      <c r="P112" s="2125"/>
      <c r="Q112" s="2125"/>
      <c r="R112" s="2125"/>
      <c r="S112" s="2125"/>
      <c r="T112" s="2125"/>
      <c r="U112" s="2125"/>
      <c r="V112" s="2125"/>
      <c r="W112" s="2125"/>
      <c r="X112" s="2125"/>
      <c r="Y112" s="2125"/>
      <c r="Z112" s="2125"/>
      <c r="AA112" s="2125"/>
      <c r="AB112" s="2125"/>
      <c r="AC112" s="2125"/>
      <c r="AD112" s="2125"/>
      <c r="AE112" s="2125"/>
      <c r="AF112" s="2125"/>
      <c r="AG112" s="2125"/>
      <c r="AH112" s="2125"/>
      <c r="AI112" s="2125"/>
      <c r="AJ112" s="2126"/>
      <c r="AK112" s="574"/>
      <c r="AL112" s="574"/>
      <c r="AM112" s="574"/>
      <c r="AN112" s="569"/>
      <c r="AO112" s="570" t="str">
        <f>Application!B724</f>
        <v>2 Bedrooms</v>
      </c>
      <c r="AQ112" s="570">
        <f>Application!O724</f>
        <v>1585</v>
      </c>
      <c r="AU112" s="890" t="str">
        <f>O118</f>
        <v>2-bedroom</v>
      </c>
      <c r="AV112" s="570">
        <f t="array" ref="AV112">SUM(IF(Application!B718:F752="2 Bedrooms",Application!G718:J752))</f>
        <v>48</v>
      </c>
      <c r="AW112" s="1046">
        <f>AV112/AV116</f>
        <v>0.34532374100719426</v>
      </c>
    </row>
    <row r="113" spans="1:52" s="570" customFormat="1" ht="12.75" customHeight="1">
      <c r="A113" s="574"/>
      <c r="B113" s="573"/>
      <c r="C113" s="573"/>
      <c r="D113" s="573"/>
      <c r="E113" s="2124"/>
      <c r="F113" s="2125"/>
      <c r="G113" s="2125"/>
      <c r="H113" s="2125"/>
      <c r="I113" s="2125"/>
      <c r="J113" s="2125"/>
      <c r="K113" s="2125"/>
      <c r="L113" s="2125"/>
      <c r="M113" s="2125"/>
      <c r="N113" s="2125"/>
      <c r="O113" s="2125"/>
      <c r="P113" s="2125"/>
      <c r="Q113" s="2125"/>
      <c r="R113" s="2125"/>
      <c r="S113" s="2125"/>
      <c r="T113" s="2125"/>
      <c r="U113" s="2125"/>
      <c r="V113" s="2125"/>
      <c r="W113" s="2125"/>
      <c r="X113" s="2125"/>
      <c r="Y113" s="2125"/>
      <c r="Z113" s="2125"/>
      <c r="AA113" s="2125"/>
      <c r="AB113" s="2125"/>
      <c r="AC113" s="2125"/>
      <c r="AD113" s="2125"/>
      <c r="AE113" s="2125"/>
      <c r="AF113" s="2125"/>
      <c r="AG113" s="2125"/>
      <c r="AH113" s="2125"/>
      <c r="AI113" s="2125"/>
      <c r="AJ113" s="2126"/>
      <c r="AK113" s="574"/>
      <c r="AL113" s="574"/>
      <c r="AM113" s="574"/>
      <c r="AN113" s="569"/>
      <c r="AO113" s="570" t="str">
        <f>Application!B725</f>
        <v>3 Bedrooms</v>
      </c>
      <c r="AQ113" s="570">
        <f>Application!O725</f>
        <v>711</v>
      </c>
      <c r="AU113" s="890" t="str">
        <f>T118</f>
        <v>3-bedroom</v>
      </c>
      <c r="AV113" s="570">
        <f t="array" ref="AV113">SUM(IF(Application!B718:F752="3 Bedrooms",Application!G718:J752))</f>
        <v>49</v>
      </c>
      <c r="AW113" s="1046">
        <f>AV113/AV116</f>
        <v>0.35251798561151076</v>
      </c>
    </row>
    <row r="114" spans="1:52" s="570" customFormat="1" ht="12.75" customHeight="1">
      <c r="A114" s="574"/>
      <c r="B114" s="573"/>
      <c r="C114" s="573"/>
      <c r="D114" s="573"/>
      <c r="E114" s="2124"/>
      <c r="F114" s="2125"/>
      <c r="G114" s="2125"/>
      <c r="H114" s="2125"/>
      <c r="I114" s="2125"/>
      <c r="J114" s="2125"/>
      <c r="K114" s="2125"/>
      <c r="L114" s="2125"/>
      <c r="M114" s="2125"/>
      <c r="N114" s="2125"/>
      <c r="O114" s="2125"/>
      <c r="P114" s="2125"/>
      <c r="Q114" s="2125"/>
      <c r="R114" s="2125"/>
      <c r="S114" s="2125"/>
      <c r="T114" s="2125"/>
      <c r="U114" s="2125"/>
      <c r="V114" s="2125"/>
      <c r="W114" s="2125"/>
      <c r="X114" s="2125"/>
      <c r="Y114" s="2125"/>
      <c r="Z114" s="2125"/>
      <c r="AA114" s="2125"/>
      <c r="AB114" s="2125"/>
      <c r="AC114" s="2125"/>
      <c r="AD114" s="2125"/>
      <c r="AE114" s="2125"/>
      <c r="AF114" s="2125"/>
      <c r="AG114" s="2125"/>
      <c r="AH114" s="2125"/>
      <c r="AI114" s="2125"/>
      <c r="AJ114" s="2126"/>
      <c r="AK114" s="574"/>
      <c r="AL114" s="574"/>
      <c r="AM114" s="574"/>
      <c r="AN114" s="569"/>
      <c r="AO114" s="570" t="str">
        <f>Application!B726</f>
        <v>3 Bedrooms</v>
      </c>
      <c r="AQ114" s="570">
        <f>Application!O726</f>
        <v>708</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24"/>
      <c r="F115" s="2125"/>
      <c r="G115" s="2125"/>
      <c r="H115" s="2125"/>
      <c r="I115" s="2125"/>
      <c r="J115" s="2125"/>
      <c r="K115" s="2125"/>
      <c r="L115" s="2125"/>
      <c r="M115" s="2125"/>
      <c r="N115" s="2125"/>
      <c r="O115" s="2125"/>
      <c r="P115" s="2125"/>
      <c r="Q115" s="2125"/>
      <c r="R115" s="2125"/>
      <c r="S115" s="2125"/>
      <c r="T115" s="2125"/>
      <c r="U115" s="2125"/>
      <c r="V115" s="2125"/>
      <c r="W115" s="2125"/>
      <c r="X115" s="2125"/>
      <c r="Y115" s="2125"/>
      <c r="Z115" s="2125"/>
      <c r="AA115" s="2125"/>
      <c r="AB115" s="2125"/>
      <c r="AC115" s="2125"/>
      <c r="AD115" s="2125"/>
      <c r="AE115" s="2125"/>
      <c r="AF115" s="2125"/>
      <c r="AG115" s="2125"/>
      <c r="AH115" s="2125"/>
      <c r="AI115" s="2125"/>
      <c r="AJ115" s="2126"/>
      <c r="AK115" s="574"/>
      <c r="AL115" s="574"/>
      <c r="AM115" s="574"/>
      <c r="AN115" s="569"/>
      <c r="AO115" s="570" t="str">
        <f>Application!B727</f>
        <v>3 Bedrooms</v>
      </c>
      <c r="AQ115" s="570">
        <f>Application!O727</f>
        <v>1547</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24"/>
      <c r="F116" s="2125"/>
      <c r="G116" s="2125"/>
      <c r="H116" s="2125"/>
      <c r="I116" s="2125"/>
      <c r="J116" s="2125"/>
      <c r="K116" s="2125"/>
      <c r="L116" s="2125"/>
      <c r="M116" s="2125"/>
      <c r="N116" s="2125"/>
      <c r="O116" s="2125"/>
      <c r="P116" s="2125"/>
      <c r="Q116" s="2125"/>
      <c r="R116" s="2125"/>
      <c r="S116" s="2125"/>
      <c r="T116" s="2125"/>
      <c r="U116" s="2125"/>
      <c r="V116" s="2125"/>
      <c r="W116" s="2125"/>
      <c r="X116" s="2125"/>
      <c r="Y116" s="2125"/>
      <c r="Z116" s="2125"/>
      <c r="AA116" s="2125"/>
      <c r="AB116" s="2125"/>
      <c r="AC116" s="2125"/>
      <c r="AD116" s="2125"/>
      <c r="AE116" s="2125"/>
      <c r="AF116" s="2125"/>
      <c r="AG116" s="2125"/>
      <c r="AH116" s="2125"/>
      <c r="AI116" s="2125"/>
      <c r="AJ116" s="2126"/>
      <c r="AK116" s="574"/>
      <c r="AL116" s="574"/>
      <c r="AM116" s="574"/>
      <c r="AN116" s="569"/>
      <c r="AO116" s="570" t="str">
        <f>Application!B728</f>
        <v>3 Bedrooms</v>
      </c>
      <c r="AQ116" s="570">
        <f>Application!O728</f>
        <v>1825</v>
      </c>
      <c r="AV116" s="570">
        <f>SUM(AV110:AV115)</f>
        <v>139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17" t="s">
        <v>1700</v>
      </c>
      <c r="F118" s="2118"/>
      <c r="G118" s="2118"/>
      <c r="H118" s="2118"/>
      <c r="I118" s="611"/>
      <c r="J118" s="2118" t="s">
        <v>1744</v>
      </c>
      <c r="K118" s="2118"/>
      <c r="L118" s="2118"/>
      <c r="M118" s="2118"/>
      <c r="N118" s="611"/>
      <c r="O118" s="2118" t="s">
        <v>1745</v>
      </c>
      <c r="P118" s="2118"/>
      <c r="Q118" s="2118"/>
      <c r="R118" s="2118"/>
      <c r="S118" s="611"/>
      <c r="T118" s="2118" t="s">
        <v>1445</v>
      </c>
      <c r="U118" s="2118"/>
      <c r="V118" s="2118"/>
      <c r="W118" s="2118"/>
      <c r="X118" s="611"/>
      <c r="Y118" s="2118" t="s">
        <v>1746</v>
      </c>
      <c r="Z118" s="2118"/>
      <c r="AA118" s="2118"/>
      <c r="AB118" s="2118"/>
      <c r="AC118" s="611"/>
      <c r="AD118" s="2118" t="s">
        <v>1747</v>
      </c>
      <c r="AE118" s="2118"/>
      <c r="AF118" s="2118"/>
      <c r="AG118" s="2118"/>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19"/>
      <c r="F121" s="2120"/>
      <c r="G121" s="2120"/>
      <c r="H121" s="2120"/>
      <c r="I121" s="898"/>
      <c r="J121" s="2120">
        <v>2182</v>
      </c>
      <c r="K121" s="2120"/>
      <c r="L121" s="2120"/>
      <c r="M121" s="2120"/>
      <c r="N121" s="898"/>
      <c r="O121" s="2120">
        <v>2506</v>
      </c>
      <c r="P121" s="2120"/>
      <c r="Q121" s="2120"/>
      <c r="R121" s="2120"/>
      <c r="S121" s="898"/>
      <c r="T121" s="2120">
        <v>2817</v>
      </c>
      <c r="U121" s="2120"/>
      <c r="V121" s="2120"/>
      <c r="W121" s="2120"/>
      <c r="X121" s="898"/>
      <c r="Y121" s="2120"/>
      <c r="Z121" s="2120"/>
      <c r="AA121" s="2120"/>
      <c r="AB121" s="2120"/>
      <c r="AC121" s="898"/>
      <c r="AD121" s="2120"/>
      <c r="AE121" s="2120"/>
      <c r="AF121" s="2120"/>
      <c r="AG121" s="212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27">
        <f>Application!DX670</f>
        <v>0</v>
      </c>
      <c r="F124" s="2128"/>
      <c r="G124" s="2128"/>
      <c r="H124" s="2128"/>
      <c r="I124" s="898"/>
      <c r="J124" s="2128">
        <f>Application!EC670</f>
        <v>1018.7142857142857</v>
      </c>
      <c r="K124" s="2128"/>
      <c r="L124" s="2128"/>
      <c r="M124" s="2128"/>
      <c r="N124" s="898"/>
      <c r="O124" s="2128">
        <f>Application!EH670</f>
        <v>1263.5</v>
      </c>
      <c r="P124" s="2128"/>
      <c r="Q124" s="2128"/>
      <c r="R124" s="2128"/>
      <c r="S124" s="902"/>
      <c r="T124" s="2128">
        <f>Application!EM670</f>
        <v>1461.0816326530612</v>
      </c>
      <c r="U124" s="2128"/>
      <c r="V124" s="2128"/>
      <c r="W124" s="2128"/>
      <c r="X124" s="902"/>
      <c r="Y124" s="2128">
        <f>Application!ER670</f>
        <v>0</v>
      </c>
      <c r="Z124" s="2128"/>
      <c r="AA124" s="2128"/>
      <c r="AB124" s="2128"/>
      <c r="AC124" s="902"/>
      <c r="AD124" s="2128">
        <f>Application!EW670</f>
        <v>0</v>
      </c>
      <c r="AE124" s="2128"/>
      <c r="AF124" s="2128"/>
      <c r="AG124" s="2128"/>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20" t="e">
        <f>(E121-E124)/E121</f>
        <v>#DIV/0!</v>
      </c>
      <c r="F127" s="1921"/>
      <c r="G127" s="1921"/>
      <c r="H127" s="1922"/>
      <c r="I127" s="611"/>
      <c r="J127" s="1920">
        <f>(J121-J124)/J121</f>
        <v>0.53312819169831083</v>
      </c>
      <c r="K127" s="1921"/>
      <c r="L127" s="1921"/>
      <c r="M127" s="1922"/>
      <c r="N127" s="611"/>
      <c r="O127" s="1920">
        <f>(O121-O124)/O121</f>
        <v>0.49581005586592181</v>
      </c>
      <c r="P127" s="1921"/>
      <c r="Q127" s="1921"/>
      <c r="R127" s="1922"/>
      <c r="S127" s="611"/>
      <c r="T127" s="1920">
        <f>(T121-T124)/T121</f>
        <v>0.48133417371208337</v>
      </c>
      <c r="U127" s="1921"/>
      <c r="V127" s="1921"/>
      <c r="W127" s="1922"/>
      <c r="X127" s="611"/>
      <c r="Y127" s="1920" t="e">
        <f>(Y121-Y124)/Y121</f>
        <v>#DIV/0!</v>
      </c>
      <c r="Z127" s="1921"/>
      <c r="AA127" s="1921"/>
      <c r="AB127" s="1922"/>
      <c r="AC127" s="611"/>
      <c r="AD127" s="1920" t="e">
        <f>(AD121-AD124)/AD121</f>
        <v>#DIV/0!</v>
      </c>
      <c r="AE127" s="1921"/>
      <c r="AF127" s="1921"/>
      <c r="AG127" s="192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30" t="e">
        <f>IF(((E127-0.1)*AW110)&gt;0,((E127-0.1)*AW110),0)</f>
        <v>#DIV/0!</v>
      </c>
      <c r="F130" s="2131"/>
      <c r="G130" s="2131"/>
      <c r="H130" s="2132"/>
      <c r="I130" s="611"/>
      <c r="J130" s="2130">
        <f>IF(((J127-0.1)*AW111)&gt;0,((J127-0.1)*AW111),0)</f>
        <v>0.13087326655632414</v>
      </c>
      <c r="K130" s="2131"/>
      <c r="L130" s="2131"/>
      <c r="M130" s="2132"/>
      <c r="N130" s="611"/>
      <c r="O130" s="2130">
        <f>IF(((O127-0.1)*AW112)&gt;0,((O127-0.1)*AW112),0)</f>
        <v>0.13668260921988667</v>
      </c>
      <c r="P130" s="2131"/>
      <c r="Q130" s="2131"/>
      <c r="R130" s="2132"/>
      <c r="S130" s="611"/>
      <c r="T130" s="2130">
        <f>IF(((T127-0.1)*AW113)&gt;0,((T127-0.1)*AW113),0)</f>
        <v>0.13442715476181355</v>
      </c>
      <c r="U130" s="2131"/>
      <c r="V130" s="2131"/>
      <c r="W130" s="2132"/>
      <c r="X130" s="611"/>
      <c r="Y130" s="2130" t="e">
        <f>IF(((Y127-0.1)*AW114)&gt;0,((Y127-0.1)*AW114),0)</f>
        <v>#DIV/0!</v>
      </c>
      <c r="Z130" s="2131"/>
      <c r="AA130" s="2131"/>
      <c r="AB130" s="2132"/>
      <c r="AC130" s="611"/>
      <c r="AD130" s="2130" t="e">
        <f>IF(((AD127-0.1)*AW115)&gt;0,((AD127-0.1)*AW115),0)</f>
        <v>#DIV/0!</v>
      </c>
      <c r="AE130" s="2131"/>
      <c r="AF130" s="2131"/>
      <c r="AG130" s="213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20">
        <f>ROUNDDOWN(SUMIF(E130:AG130,"&gt;0"),2)</f>
        <v>0.4</v>
      </c>
      <c r="F132" s="1921"/>
      <c r="G132" s="1921"/>
      <c r="H132" s="1922"/>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103">
        <f>IF((E132*100)&gt;10,10,E132*100)</f>
        <v>10</v>
      </c>
      <c r="F133" s="2104"/>
      <c r="G133" s="2104"/>
      <c r="H133" s="2105"/>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103">
        <f>E133</f>
        <v>10</v>
      </c>
      <c r="AL137" s="2104"/>
      <c r="AM137" s="2105"/>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47" t="s">
        <v>1425</v>
      </c>
      <c r="AF140" s="1947"/>
      <c r="AG140" s="1947"/>
      <c r="AH140" s="1947"/>
      <c r="AI140" s="1947"/>
      <c r="AJ140" s="1947"/>
      <c r="AK140" s="1947"/>
      <c r="AL140" s="625"/>
      <c r="AN140" s="626"/>
      <c r="AO140" s="570"/>
    </row>
    <row r="141" spans="1:52" s="573" customFormat="1" ht="13.0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14" t="s">
        <v>1449</v>
      </c>
      <c r="AG142" s="2014"/>
      <c r="AH142" s="2014"/>
      <c r="AI142" s="2014"/>
      <c r="AJ142" s="2014"/>
      <c r="AK142" s="2014"/>
      <c r="AL142" s="2014"/>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108" t="s">
        <v>2630</v>
      </c>
      <c r="C144" s="2108"/>
      <c r="D144" s="2108"/>
      <c r="E144" s="2108"/>
      <c r="F144" s="2108"/>
      <c r="G144" s="2108"/>
      <c r="H144" s="2108"/>
      <c r="I144" s="2108"/>
      <c r="J144" s="2108"/>
      <c r="K144" s="2108"/>
      <c r="L144" s="2108"/>
      <c r="M144" s="2108"/>
      <c r="N144" s="2108"/>
      <c r="O144" s="2108"/>
      <c r="P144" s="2108"/>
      <c r="Q144" s="2108"/>
      <c r="R144" s="2108"/>
      <c r="S144" s="2108"/>
      <c r="T144" s="2108"/>
      <c r="U144" s="2108"/>
      <c r="V144" s="2108"/>
      <c r="W144" s="2108"/>
      <c r="X144" s="2108"/>
      <c r="Y144" s="2108"/>
      <c r="Z144" s="2108"/>
      <c r="AA144" s="2108"/>
      <c r="AB144" s="2108"/>
      <c r="AC144" s="210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109" t="s">
        <v>2327</v>
      </c>
      <c r="C147" s="2109"/>
      <c r="D147" s="2109"/>
      <c r="E147" s="2109"/>
      <c r="F147" s="2109"/>
      <c r="G147" s="2109"/>
      <c r="H147" s="2109"/>
      <c r="I147" s="2109"/>
      <c r="J147" s="2109"/>
      <c r="K147" s="2109"/>
      <c r="L147" s="2109"/>
      <c r="M147" s="2109"/>
      <c r="N147" s="2109"/>
      <c r="O147" s="2109"/>
      <c r="P147" s="2109"/>
      <c r="Q147" s="2109"/>
      <c r="R147" s="2109"/>
      <c r="S147" s="2109"/>
      <c r="T147" s="2109"/>
      <c r="U147" s="2109"/>
      <c r="V147" s="2109"/>
      <c r="W147" s="2109"/>
      <c r="X147" s="2109"/>
      <c r="Y147" s="2109"/>
      <c r="Z147" s="2109"/>
      <c r="AA147" s="2109"/>
      <c r="AB147" s="2109"/>
      <c r="AC147" s="2109"/>
      <c r="AD147" s="2109"/>
      <c r="AE147" s="2109"/>
      <c r="AF147" s="2109"/>
      <c r="AG147" s="2109"/>
      <c r="AH147" s="2109"/>
      <c r="AI147" s="2109"/>
      <c r="AM147" s="573"/>
      <c r="AN147" s="569"/>
      <c r="AO147" s="510" t="s">
        <v>1452</v>
      </c>
      <c r="AP147" s="523">
        <v>7</v>
      </c>
    </row>
    <row r="148" spans="1:42" s="570" customFormat="1" ht="13.0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2327</v>
      </c>
      <c r="AP148" s="523">
        <v>7</v>
      </c>
    </row>
    <row r="149" spans="1:42" s="570" customFormat="1" ht="12.75" customHeight="1">
      <c r="A149" s="572"/>
      <c r="B149" s="573" t="s">
        <v>1453</v>
      </c>
      <c r="AB149" s="2050" t="s">
        <v>599</v>
      </c>
      <c r="AC149" s="205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109" t="s">
        <v>1454</v>
      </c>
      <c r="C152" s="2109"/>
      <c r="D152" s="2109"/>
      <c r="E152" s="2109"/>
      <c r="F152" s="2109"/>
      <c r="G152" s="2109"/>
      <c r="H152" s="2109"/>
      <c r="I152" s="2109"/>
      <c r="J152" s="2109"/>
      <c r="K152" s="2109"/>
      <c r="L152" s="2109"/>
      <c r="M152" s="2109"/>
      <c r="N152" s="2109"/>
      <c r="O152" s="2109"/>
      <c r="P152" s="2109"/>
      <c r="Q152" s="2109"/>
      <c r="R152" s="2109"/>
      <c r="S152" s="2109"/>
      <c r="T152" s="2109"/>
      <c r="U152" s="2109"/>
      <c r="V152" s="2109"/>
      <c r="W152" s="2109"/>
      <c r="X152" s="2109"/>
      <c r="Y152" s="2109"/>
      <c r="Z152" s="2109"/>
      <c r="AA152" s="2109"/>
      <c r="AB152" s="2109"/>
      <c r="AC152" s="2109"/>
      <c r="AD152" s="2109"/>
      <c r="AE152" s="2109"/>
      <c r="AF152" s="2109"/>
      <c r="AG152" s="2109"/>
      <c r="AH152" s="2109"/>
      <c r="AI152" s="2109"/>
      <c r="AJ152" s="2109"/>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74">
        <f>IF($AB$149="N/A",VLOOKUP($B$147,$AO$145:$AP$148,2,FALSE),VLOOKUP($B$152,$AO$150:$AP$152,2,FALSE))</f>
        <v>7</v>
      </c>
      <c r="AK155" s="197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14" t="s">
        <v>1463</v>
      </c>
      <c r="AG157" s="2014"/>
      <c r="AH157" s="2014"/>
      <c r="AI157" s="2014"/>
      <c r="AJ157" s="2014"/>
      <c r="AK157" s="2014"/>
      <c r="AL157" s="2014"/>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109" t="s">
        <v>1461</v>
      </c>
      <c r="D159" s="2109"/>
      <c r="E159" s="2109"/>
      <c r="F159" s="2109"/>
      <c r="G159" s="2109"/>
      <c r="H159" s="2109"/>
      <c r="I159" s="2109"/>
      <c r="J159" s="2109"/>
      <c r="K159" s="2109"/>
      <c r="L159" s="2109"/>
      <c r="M159" s="2109"/>
      <c r="N159" s="2109"/>
      <c r="O159" s="2109"/>
      <c r="P159" s="2109"/>
      <c r="Q159" s="2109"/>
      <c r="R159" s="2109"/>
      <c r="S159" s="2109"/>
      <c r="T159" s="2109"/>
      <c r="U159" s="2109"/>
      <c r="V159" s="2109"/>
      <c r="W159" s="2109"/>
      <c r="X159" s="2109"/>
      <c r="Y159" s="2109"/>
      <c r="Z159" s="2109"/>
      <c r="AA159" s="2109"/>
      <c r="AB159" s="2109"/>
      <c r="AC159" s="2109"/>
      <c r="AD159" s="2109"/>
      <c r="AE159" s="2109"/>
      <c r="AF159" s="2109"/>
      <c r="AG159" s="2109"/>
      <c r="AH159" s="2109"/>
      <c r="AI159" s="2109"/>
      <c r="AJ159" s="570"/>
      <c r="AK159" s="570"/>
      <c r="AL159" s="570"/>
      <c r="AM159" s="637"/>
      <c r="AN159" s="631"/>
      <c r="AO159" s="510" t="s">
        <v>308</v>
      </c>
      <c r="AP159" s="510"/>
    </row>
    <row r="160" spans="1:42" s="584" customFormat="1" ht="13.0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50" t="s">
        <v>599</v>
      </c>
      <c r="AG161" s="2050"/>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2525</v>
      </c>
      <c r="AP162" s="633">
        <v>3</v>
      </c>
    </row>
    <row r="163" spans="1:73" s="584" customFormat="1" ht="12.75" customHeight="1">
      <c r="A163" s="570"/>
      <c r="B163" s="570"/>
      <c r="C163" s="2109" t="s">
        <v>1454</v>
      </c>
      <c r="D163" s="2109"/>
      <c r="E163" s="2109"/>
      <c r="F163" s="2109"/>
      <c r="G163" s="2109"/>
      <c r="H163" s="2109"/>
      <c r="I163" s="2109"/>
      <c r="J163" s="2109"/>
      <c r="K163" s="2109"/>
      <c r="L163" s="2109"/>
      <c r="M163" s="2109"/>
      <c r="N163" s="2109"/>
      <c r="O163" s="2109"/>
      <c r="P163" s="2109"/>
      <c r="Q163" s="2109"/>
      <c r="R163" s="2109"/>
      <c r="S163" s="2109"/>
      <c r="T163" s="2109"/>
      <c r="U163" s="2109"/>
      <c r="V163" s="2109"/>
      <c r="W163" s="2109"/>
      <c r="X163" s="2109"/>
      <c r="Y163" s="2109"/>
      <c r="Z163" s="2109"/>
      <c r="AA163" s="2109"/>
      <c r="AB163" s="2109"/>
      <c r="AC163" s="2109"/>
      <c r="AD163" s="2109"/>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108" t="s">
        <v>2780</v>
      </c>
      <c r="D167" s="2108"/>
      <c r="E167" s="2108"/>
      <c r="F167" s="2108"/>
      <c r="G167" s="2108"/>
      <c r="H167" s="2108"/>
      <c r="I167" s="2108"/>
      <c r="J167" s="2108"/>
      <c r="K167" s="2108"/>
      <c r="L167" s="2108"/>
      <c r="M167" s="2108"/>
      <c r="N167" s="2108"/>
      <c r="O167" s="2108"/>
      <c r="P167" s="2108"/>
      <c r="Q167" s="2108"/>
      <c r="R167" s="2108"/>
      <c r="S167" s="2108"/>
      <c r="T167" s="2108"/>
      <c r="U167" s="2108"/>
      <c r="V167" s="2108"/>
      <c r="W167" s="2108"/>
      <c r="X167" s="2108"/>
      <c r="Y167" s="2108"/>
      <c r="Z167" s="2108"/>
      <c r="AA167" s="2108"/>
      <c r="AB167" s="2108"/>
      <c r="AC167" s="2108"/>
      <c r="AD167" s="2108"/>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73">
        <f>IF($AF$161="N/A",VLOOKUP($C$159,$AO$159:$AP$162,2,FALSE),VLOOKUP($C$163,$AO$166:$AP$168,2,FALSE))</f>
        <v>3</v>
      </c>
      <c r="AK169" s="197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103">
        <f>$AJ$155+$AJ$169</f>
        <v>10</v>
      </c>
      <c r="AL172" s="2104"/>
      <c r="AM172" s="2105"/>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47" t="s">
        <v>1425</v>
      </c>
      <c r="AF175" s="1947"/>
      <c r="AG175" s="1947"/>
      <c r="AH175" s="1947"/>
      <c r="AI175" s="1947"/>
      <c r="AJ175" s="1947"/>
      <c r="AK175" s="1947"/>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106" t="s">
        <v>1065</v>
      </c>
      <c r="C177" s="2106"/>
      <c r="D177" s="2106"/>
      <c r="E177" s="2106"/>
      <c r="F177" s="2106"/>
      <c r="G177" s="2106"/>
      <c r="H177" s="2106"/>
      <c r="I177" s="2106"/>
      <c r="J177" s="2106"/>
      <c r="K177" s="2106"/>
      <c r="L177" s="2106"/>
      <c r="M177" s="2106"/>
      <c r="N177" s="2106"/>
      <c r="O177" s="2106"/>
      <c r="P177" s="2106"/>
      <c r="Q177" s="2106"/>
      <c r="R177" s="2106"/>
      <c r="S177" s="2106"/>
      <c r="T177" s="2106"/>
      <c r="U177" s="2106"/>
      <c r="V177" s="2106"/>
      <c r="W177" s="2106"/>
      <c r="X177" s="2106"/>
      <c r="Y177" s="2106"/>
      <c r="Z177" s="2106"/>
      <c r="AA177" s="2106"/>
      <c r="AB177" s="2106"/>
      <c r="AC177" s="2106"/>
      <c r="AD177" s="570"/>
      <c r="AE177" s="570"/>
      <c r="AF177" s="2014" t="s">
        <v>1474</v>
      </c>
      <c r="AG177" s="2014"/>
      <c r="AH177" s="2014"/>
      <c r="AI177" s="2014"/>
      <c r="AJ177" s="2014"/>
      <c r="AK177" s="2014"/>
      <c r="AL177" s="2014"/>
      <c r="AN177" s="631"/>
      <c r="AP177" s="584" t="s">
        <v>1067</v>
      </c>
      <c r="AQ177" s="584">
        <v>10</v>
      </c>
    </row>
    <row r="178" spans="1:45" s="584" customFormat="1" ht="12.75" customHeight="1">
      <c r="A178" s="570"/>
      <c r="B178" s="2107" t="s">
        <v>1916</v>
      </c>
      <c r="C178" s="2107"/>
      <c r="D178" s="2107"/>
      <c r="E178" s="2107"/>
      <c r="F178" s="2107"/>
      <c r="G178" s="2107"/>
      <c r="H178" s="2107"/>
      <c r="I178" s="2107"/>
      <c r="J178" s="2107"/>
      <c r="K178" s="2107"/>
      <c r="L178" s="2107"/>
      <c r="M178" s="2107"/>
      <c r="N178" s="2107"/>
      <c r="O178" s="2107"/>
      <c r="P178" s="2107"/>
      <c r="Q178" s="2107"/>
      <c r="R178" s="2107"/>
      <c r="S178" s="2107"/>
      <c r="T178" s="2108" t="s">
        <v>599</v>
      </c>
      <c r="U178" s="2108"/>
      <c r="V178" s="2108"/>
      <c r="W178" s="2108"/>
      <c r="X178" s="2108"/>
      <c r="Y178" s="2108"/>
      <c r="Z178" s="2108"/>
      <c r="AA178" s="2108"/>
      <c r="AB178" s="2108"/>
      <c r="AC178" s="2108"/>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41">
        <f>IF(AK78&gt;0,VLOOKUP($B$177,AP174:AQ180,2,FALSE),0)</f>
        <v>10</v>
      </c>
      <c r="AL180" s="1942"/>
      <c r="AM180" s="1943"/>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47" t="s">
        <v>1483</v>
      </c>
      <c r="AF183" s="1947"/>
      <c r="AG183" s="1947"/>
      <c r="AH183" s="1947"/>
      <c r="AI183" s="1947"/>
      <c r="AJ183" s="1947"/>
      <c r="AK183" s="194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100" t="s">
        <v>2744</v>
      </c>
      <c r="C188" s="2100"/>
      <c r="D188" s="2100"/>
      <c r="E188" s="2100"/>
      <c r="F188" s="2100"/>
      <c r="G188" s="2100"/>
      <c r="H188" s="2100"/>
      <c r="I188" s="2100"/>
      <c r="J188" s="2100"/>
      <c r="K188" s="2100"/>
      <c r="L188" s="2100"/>
      <c r="M188" s="2100"/>
      <c r="N188" s="2100"/>
      <c r="O188" s="2100"/>
      <c r="P188" s="2100"/>
      <c r="Q188" s="2100"/>
      <c r="R188" s="2100"/>
      <c r="S188" s="2100"/>
      <c r="T188" s="2100"/>
      <c r="U188" s="2100"/>
      <c r="V188" s="2100"/>
      <c r="W188" s="2100"/>
      <c r="X188" s="2100"/>
      <c r="Y188" s="2100"/>
      <c r="Z188" s="2100"/>
      <c r="AA188" s="2100"/>
      <c r="AB188" s="2100"/>
      <c r="AC188" s="880"/>
      <c r="AD188" s="2090">
        <v>6000000</v>
      </c>
      <c r="AE188" s="2090"/>
      <c r="AF188" s="2090"/>
      <c r="AG188" s="2090"/>
      <c r="AH188" s="2090"/>
      <c r="AI188" s="2090"/>
      <c r="AJ188" s="2090"/>
      <c r="AK188" s="644"/>
    </row>
    <row r="189" spans="1:45">
      <c r="A189" s="639"/>
      <c r="B189" s="2100"/>
      <c r="C189" s="2100"/>
      <c r="D189" s="2100"/>
      <c r="E189" s="2100"/>
      <c r="F189" s="2100"/>
      <c r="G189" s="2100"/>
      <c r="H189" s="2100"/>
      <c r="I189" s="2100"/>
      <c r="J189" s="2100"/>
      <c r="K189" s="2100"/>
      <c r="L189" s="2100"/>
      <c r="M189" s="2100"/>
      <c r="N189" s="2100"/>
      <c r="O189" s="2100"/>
      <c r="P189" s="2100"/>
      <c r="Q189" s="2100"/>
      <c r="R189" s="2100"/>
      <c r="S189" s="2100"/>
      <c r="T189" s="2100"/>
      <c r="U189" s="2100"/>
      <c r="V189" s="2100"/>
      <c r="W189" s="2100"/>
      <c r="X189" s="2100"/>
      <c r="Y189" s="2100"/>
      <c r="Z189" s="2100"/>
      <c r="AA189" s="2100"/>
      <c r="AB189" s="2100"/>
      <c r="AC189" s="880"/>
      <c r="AD189" s="2090"/>
      <c r="AE189" s="2090"/>
      <c r="AF189" s="2090"/>
      <c r="AG189" s="2090"/>
      <c r="AH189" s="2090"/>
      <c r="AI189" s="2090"/>
      <c r="AJ189" s="2090"/>
      <c r="AK189" s="644"/>
    </row>
    <row r="190" spans="1:45">
      <c r="A190" s="639"/>
      <c r="B190" s="2100"/>
      <c r="C190" s="2100"/>
      <c r="D190" s="2100"/>
      <c r="E190" s="2100"/>
      <c r="F190" s="2100"/>
      <c r="G190" s="2100"/>
      <c r="H190" s="2100"/>
      <c r="I190" s="2100"/>
      <c r="J190" s="2100"/>
      <c r="K190" s="2100"/>
      <c r="L190" s="2100"/>
      <c r="M190" s="2100"/>
      <c r="N190" s="2100"/>
      <c r="O190" s="2100"/>
      <c r="P190" s="2100"/>
      <c r="Q190" s="2100"/>
      <c r="R190" s="2100"/>
      <c r="S190" s="2100"/>
      <c r="T190" s="2100"/>
      <c r="U190" s="2100"/>
      <c r="V190" s="2100"/>
      <c r="W190" s="2100"/>
      <c r="X190" s="2100"/>
      <c r="Y190" s="2100"/>
      <c r="Z190" s="2100"/>
      <c r="AA190" s="2100"/>
      <c r="AB190" s="2100"/>
      <c r="AC190" s="880"/>
      <c r="AD190" s="2090"/>
      <c r="AE190" s="2090"/>
      <c r="AF190" s="2090"/>
      <c r="AG190" s="2090"/>
      <c r="AH190" s="2090"/>
      <c r="AI190" s="2090"/>
      <c r="AJ190" s="2090"/>
      <c r="AK190" s="644"/>
    </row>
    <row r="191" spans="1:45">
      <c r="A191" s="639"/>
      <c r="B191" s="2100"/>
      <c r="C191" s="2100"/>
      <c r="D191" s="2100"/>
      <c r="E191" s="2100"/>
      <c r="F191" s="2100"/>
      <c r="G191" s="2100"/>
      <c r="H191" s="2100"/>
      <c r="I191" s="2100"/>
      <c r="J191" s="2100"/>
      <c r="K191" s="2100"/>
      <c r="L191" s="2100"/>
      <c r="M191" s="2100"/>
      <c r="N191" s="2100"/>
      <c r="O191" s="2100"/>
      <c r="P191" s="2100"/>
      <c r="Q191" s="2100"/>
      <c r="R191" s="2100"/>
      <c r="S191" s="2100"/>
      <c r="T191" s="2100"/>
      <c r="U191" s="2100"/>
      <c r="V191" s="2100"/>
      <c r="W191" s="2100"/>
      <c r="X191" s="2100"/>
      <c r="Y191" s="2100"/>
      <c r="Z191" s="2100"/>
      <c r="AA191" s="2100"/>
      <c r="AB191" s="2100"/>
      <c r="AC191" s="880"/>
      <c r="AD191" s="2090"/>
      <c r="AE191" s="2090"/>
      <c r="AF191" s="2090"/>
      <c r="AG191" s="2090"/>
      <c r="AH191" s="2090"/>
      <c r="AI191" s="2090"/>
      <c r="AJ191" s="2090"/>
      <c r="AK191" s="644"/>
    </row>
    <row r="192" spans="1:45">
      <c r="A192" s="639"/>
      <c r="B192" s="2100"/>
      <c r="C192" s="2100"/>
      <c r="D192" s="2100"/>
      <c r="E192" s="2100"/>
      <c r="F192" s="2100"/>
      <c r="G192" s="2100"/>
      <c r="H192" s="2100"/>
      <c r="I192" s="2100"/>
      <c r="J192" s="2100"/>
      <c r="K192" s="2100"/>
      <c r="L192" s="2100"/>
      <c r="M192" s="2100"/>
      <c r="N192" s="2100"/>
      <c r="O192" s="2100"/>
      <c r="P192" s="2100"/>
      <c r="Q192" s="2100"/>
      <c r="R192" s="2100"/>
      <c r="S192" s="2100"/>
      <c r="T192" s="2100"/>
      <c r="U192" s="2100"/>
      <c r="V192" s="2100"/>
      <c r="W192" s="2100"/>
      <c r="X192" s="2100"/>
      <c r="Y192" s="2100"/>
      <c r="Z192" s="2100"/>
      <c r="AA192" s="2100"/>
      <c r="AB192" s="2100"/>
      <c r="AC192" s="880"/>
      <c r="AD192" s="2090"/>
      <c r="AE192" s="2090"/>
      <c r="AF192" s="2090"/>
      <c r="AG192" s="2090"/>
      <c r="AH192" s="2090"/>
      <c r="AI192" s="2090"/>
      <c r="AJ192" s="2090"/>
      <c r="AK192" s="644"/>
    </row>
    <row r="193" spans="1:37">
      <c r="A193" s="639"/>
      <c r="B193" s="2100"/>
      <c r="C193" s="2100"/>
      <c r="D193" s="2100"/>
      <c r="E193" s="2100"/>
      <c r="F193" s="2100"/>
      <c r="G193" s="2100"/>
      <c r="H193" s="2100"/>
      <c r="I193" s="2100"/>
      <c r="J193" s="2100"/>
      <c r="K193" s="2100"/>
      <c r="L193" s="2100"/>
      <c r="M193" s="2100"/>
      <c r="N193" s="2100"/>
      <c r="O193" s="2100"/>
      <c r="P193" s="2100"/>
      <c r="Q193" s="2100"/>
      <c r="R193" s="2100"/>
      <c r="S193" s="2100"/>
      <c r="T193" s="2100"/>
      <c r="U193" s="2100"/>
      <c r="V193" s="2100"/>
      <c r="W193" s="2100"/>
      <c r="X193" s="2100"/>
      <c r="Y193" s="2100"/>
      <c r="Z193" s="2100"/>
      <c r="AA193" s="2100"/>
      <c r="AB193" s="2100"/>
      <c r="AC193" s="880"/>
      <c r="AD193" s="2090"/>
      <c r="AE193" s="2090"/>
      <c r="AF193" s="2090"/>
      <c r="AG193" s="2090"/>
      <c r="AH193" s="2090"/>
      <c r="AI193" s="2090"/>
      <c r="AJ193" s="2090"/>
      <c r="AK193" s="644"/>
    </row>
    <row r="194" spans="1:37">
      <c r="A194" s="639"/>
      <c r="B194" s="2100"/>
      <c r="C194" s="2100"/>
      <c r="D194" s="2100"/>
      <c r="E194" s="2100"/>
      <c r="F194" s="2100"/>
      <c r="G194" s="2100"/>
      <c r="H194" s="2100"/>
      <c r="I194" s="2100"/>
      <c r="J194" s="2100"/>
      <c r="K194" s="2100"/>
      <c r="L194" s="2100"/>
      <c r="M194" s="2100"/>
      <c r="N194" s="2100"/>
      <c r="O194" s="2100"/>
      <c r="P194" s="2100"/>
      <c r="Q194" s="2100"/>
      <c r="R194" s="2100"/>
      <c r="S194" s="2100"/>
      <c r="T194" s="2100"/>
      <c r="U194" s="2100"/>
      <c r="V194" s="2100"/>
      <c r="W194" s="2100"/>
      <c r="X194" s="2100"/>
      <c r="Y194" s="2100"/>
      <c r="Z194" s="2100"/>
      <c r="AA194" s="2100"/>
      <c r="AB194" s="2100"/>
      <c r="AC194" s="880"/>
      <c r="AD194" s="2090"/>
      <c r="AE194" s="2090"/>
      <c r="AF194" s="2090"/>
      <c r="AG194" s="2090"/>
      <c r="AH194" s="2090"/>
      <c r="AI194" s="2090"/>
      <c r="AJ194" s="2090"/>
      <c r="AK194" s="644"/>
    </row>
    <row r="195" spans="1:37">
      <c r="A195" s="639"/>
      <c r="B195" s="2100"/>
      <c r="C195" s="2100"/>
      <c r="D195" s="2100"/>
      <c r="E195" s="2100"/>
      <c r="F195" s="2100"/>
      <c r="G195" s="2100"/>
      <c r="H195" s="2100"/>
      <c r="I195" s="2100"/>
      <c r="J195" s="2100"/>
      <c r="K195" s="2100"/>
      <c r="L195" s="2100"/>
      <c r="M195" s="2100"/>
      <c r="N195" s="2100"/>
      <c r="O195" s="2100"/>
      <c r="P195" s="2100"/>
      <c r="Q195" s="2100"/>
      <c r="R195" s="2100"/>
      <c r="S195" s="2100"/>
      <c r="T195" s="2100"/>
      <c r="U195" s="2100"/>
      <c r="V195" s="2100"/>
      <c r="W195" s="2100"/>
      <c r="X195" s="2100"/>
      <c r="Y195" s="2100"/>
      <c r="Z195" s="2100"/>
      <c r="AA195" s="2100"/>
      <c r="AB195" s="2100"/>
      <c r="AC195" s="880"/>
      <c r="AD195" s="2090"/>
      <c r="AE195" s="2090"/>
      <c r="AF195" s="2090"/>
      <c r="AG195" s="2090"/>
      <c r="AH195" s="2090"/>
      <c r="AI195" s="2090"/>
      <c r="AJ195" s="2090"/>
      <c r="AK195" s="644"/>
    </row>
    <row r="196" spans="1:37">
      <c r="A196" s="639"/>
      <c r="B196" s="2100"/>
      <c r="C196" s="2100"/>
      <c r="D196" s="2100"/>
      <c r="E196" s="2100"/>
      <c r="F196" s="2100"/>
      <c r="G196" s="2100"/>
      <c r="H196" s="2100"/>
      <c r="I196" s="2100"/>
      <c r="J196" s="2100"/>
      <c r="K196" s="2100"/>
      <c r="L196" s="2100"/>
      <c r="M196" s="2100"/>
      <c r="N196" s="2100"/>
      <c r="O196" s="2100"/>
      <c r="P196" s="2100"/>
      <c r="Q196" s="2100"/>
      <c r="R196" s="2100"/>
      <c r="S196" s="2100"/>
      <c r="T196" s="2100"/>
      <c r="U196" s="2100"/>
      <c r="V196" s="2100"/>
      <c r="W196" s="2100"/>
      <c r="X196" s="2100"/>
      <c r="Y196" s="2100"/>
      <c r="Z196" s="2100"/>
      <c r="AA196" s="2100"/>
      <c r="AB196" s="2100"/>
      <c r="AC196" s="880"/>
      <c r="AD196" s="2090"/>
      <c r="AE196" s="2090"/>
      <c r="AF196" s="2090"/>
      <c r="AG196" s="2090"/>
      <c r="AH196" s="2090"/>
      <c r="AI196" s="2090"/>
      <c r="AJ196" s="2090"/>
      <c r="AK196" s="644"/>
    </row>
    <row r="197" spans="1:37">
      <c r="A197" s="639"/>
      <c r="B197" s="2100"/>
      <c r="C197" s="2100"/>
      <c r="D197" s="2100"/>
      <c r="E197" s="2100"/>
      <c r="F197" s="2100"/>
      <c r="G197" s="2100"/>
      <c r="H197" s="2100"/>
      <c r="I197" s="2100"/>
      <c r="J197" s="2100"/>
      <c r="K197" s="2100"/>
      <c r="L197" s="2100"/>
      <c r="M197" s="2100"/>
      <c r="N197" s="2100"/>
      <c r="O197" s="2100"/>
      <c r="P197" s="2100"/>
      <c r="Q197" s="2100"/>
      <c r="R197" s="2100"/>
      <c r="S197" s="2100"/>
      <c r="T197" s="2100"/>
      <c r="U197" s="2100"/>
      <c r="V197" s="2100"/>
      <c r="W197" s="2100"/>
      <c r="X197" s="2100"/>
      <c r="Y197" s="2100"/>
      <c r="Z197" s="2100"/>
      <c r="AA197" s="2100"/>
      <c r="AB197" s="2100"/>
      <c r="AC197" s="880"/>
      <c r="AD197" s="2090"/>
      <c r="AE197" s="2090"/>
      <c r="AF197" s="2090"/>
      <c r="AG197" s="2090"/>
      <c r="AH197" s="2090"/>
      <c r="AI197" s="2090"/>
      <c r="AJ197" s="2090"/>
      <c r="AK197" s="644"/>
    </row>
    <row r="198" spans="1:37">
      <c r="A198" s="639"/>
      <c r="B198" s="1961" t="s">
        <v>1739</v>
      </c>
      <c r="C198" s="1961"/>
      <c r="D198" s="1961"/>
      <c r="E198" s="1961"/>
      <c r="F198" s="1961"/>
      <c r="G198" s="1961"/>
      <c r="H198" s="1961"/>
      <c r="I198" s="1961"/>
      <c r="J198" s="1961"/>
      <c r="K198" s="1961"/>
      <c r="L198" s="1961"/>
      <c r="M198" s="1961"/>
      <c r="N198" s="1961"/>
      <c r="O198" s="1961"/>
      <c r="P198" s="1961"/>
      <c r="Q198" s="1961"/>
      <c r="R198" s="1961"/>
      <c r="S198" s="1961"/>
      <c r="T198" s="1961"/>
      <c r="U198" s="1961"/>
      <c r="V198" s="1961"/>
      <c r="W198" s="1961"/>
      <c r="X198" s="1961"/>
      <c r="Y198" s="1961"/>
      <c r="Z198" s="1961"/>
      <c r="AA198" s="1961"/>
      <c r="AB198" s="1961"/>
      <c r="AC198" s="570"/>
      <c r="AD198" s="2088">
        <f>AB249</f>
        <v>1667702.131839891</v>
      </c>
      <c r="AE198" s="2088"/>
      <c r="AF198" s="2088"/>
      <c r="AG198" s="2088"/>
      <c r="AH198" s="2088"/>
      <c r="AI198" s="2088"/>
      <c r="AJ198" s="2088"/>
      <c r="AK198" s="644"/>
    </row>
    <row r="199" spans="1:37">
      <c r="A199" s="639"/>
      <c r="B199" s="1959" t="s">
        <v>1702</v>
      </c>
      <c r="C199" s="1959"/>
      <c r="D199" s="1959"/>
      <c r="E199" s="1959"/>
      <c r="F199" s="1959"/>
      <c r="G199" s="1959"/>
      <c r="H199" s="1959"/>
      <c r="I199" s="1959"/>
      <c r="J199" s="1959"/>
      <c r="K199" s="1959"/>
      <c r="L199" s="1959"/>
      <c r="M199" s="1959"/>
      <c r="N199" s="1959"/>
      <c r="O199" s="1959"/>
      <c r="P199" s="1959"/>
      <c r="Q199" s="1959"/>
      <c r="R199" s="1959"/>
      <c r="S199" s="1959"/>
      <c r="T199" s="1959"/>
      <c r="U199" s="1959"/>
      <c r="V199" s="1959"/>
      <c r="W199" s="1959"/>
      <c r="X199" s="1959"/>
      <c r="Y199" s="1959"/>
      <c r="Z199" s="1959"/>
      <c r="AA199" s="1959"/>
      <c r="AB199" s="1959"/>
      <c r="AC199" s="880"/>
      <c r="AD199" s="2089">
        <f>'Sources and Uses Budget'!B15</f>
        <v>0</v>
      </c>
      <c r="AE199" s="2089"/>
      <c r="AF199" s="2089"/>
      <c r="AG199" s="2089"/>
      <c r="AH199" s="2089"/>
      <c r="AI199" s="2089"/>
      <c r="AJ199" s="208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94">
        <f>SUM(AD188:AJ198)-AD199</f>
        <v>7667702.131839891</v>
      </c>
      <c r="AE200" s="2094"/>
      <c r="AF200" s="2094"/>
      <c r="AG200" s="2094"/>
      <c r="AH200" s="2094"/>
      <c r="AI200" s="2094"/>
      <c r="AJ200" s="209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2334</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13" t="s">
        <v>1719</v>
      </c>
      <c r="J211" s="2113"/>
      <c r="K211" s="2113"/>
      <c r="L211" s="570"/>
      <c r="M211" s="570"/>
      <c r="N211" s="570"/>
      <c r="O211" s="570"/>
      <c r="P211" s="570"/>
      <c r="Q211" s="570"/>
      <c r="R211" s="570"/>
      <c r="S211" s="570"/>
      <c r="T211" s="1925" t="s">
        <v>1713</v>
      </c>
      <c r="U211" s="1925"/>
      <c r="V211" s="1925"/>
      <c r="W211" s="1925"/>
      <c r="X211" s="1925"/>
      <c r="Y211" s="1925"/>
      <c r="Z211" s="883"/>
      <c r="AA211" s="523"/>
      <c r="AB211" s="2110" t="s">
        <v>1714</v>
      </c>
      <c r="AC211" s="2110"/>
      <c r="AD211" s="2110"/>
      <c r="AE211" s="2110"/>
      <c r="AF211" s="2110"/>
      <c r="AG211" s="2110"/>
      <c r="AH211" s="861"/>
      <c r="AI211" s="861"/>
      <c r="AJ211" s="861"/>
      <c r="AK211" s="644"/>
    </row>
    <row r="212" spans="1:37">
      <c r="A212" s="639"/>
      <c r="B212" s="2111" t="s">
        <v>1699</v>
      </c>
      <c r="C212" s="2111"/>
      <c r="D212" s="2111"/>
      <c r="E212" s="2111"/>
      <c r="F212" s="2111"/>
      <c r="G212" s="2111"/>
      <c r="I212" s="2112" t="s">
        <v>1720</v>
      </c>
      <c r="J212" s="2112"/>
      <c r="K212" s="2112"/>
      <c r="L212" s="1043"/>
      <c r="N212" s="1960" t="s">
        <v>1715</v>
      </c>
      <c r="O212" s="1960"/>
      <c r="P212" s="1960"/>
      <c r="Q212" s="1960"/>
      <c r="R212" s="1960"/>
      <c r="T212" s="1960" t="s">
        <v>1716</v>
      </c>
      <c r="U212" s="1960"/>
      <c r="V212" s="1960"/>
      <c r="W212" s="1960"/>
      <c r="X212" s="1960"/>
      <c r="Y212" s="1960"/>
      <c r="Z212" s="884"/>
      <c r="AA212" s="523"/>
      <c r="AB212" s="1963" t="s">
        <v>1717</v>
      </c>
      <c r="AC212" s="1963"/>
      <c r="AD212" s="1963"/>
      <c r="AE212" s="1963"/>
      <c r="AF212" s="1963"/>
      <c r="AG212" s="1963"/>
      <c r="AH212" s="861"/>
      <c r="AI212" s="861"/>
      <c r="AJ212" s="861"/>
      <c r="AK212" s="644"/>
    </row>
    <row r="213" spans="1:37">
      <c r="A213" s="639"/>
      <c r="B213" s="1962" t="s">
        <v>2755</v>
      </c>
      <c r="C213" s="1962"/>
      <c r="D213" s="1962"/>
      <c r="E213" s="1962"/>
      <c r="F213" s="1962"/>
      <c r="G213" s="1962"/>
      <c r="H213" s="886"/>
      <c r="I213" s="1930">
        <v>0</v>
      </c>
      <c r="J213" s="1930"/>
      <c r="K213" s="1930"/>
      <c r="L213" s="1043"/>
      <c r="N213" s="1927"/>
      <c r="O213" s="1927"/>
      <c r="P213" s="1927"/>
      <c r="Q213" s="1927"/>
      <c r="R213" s="1927"/>
      <c r="T213" s="1926"/>
      <c r="U213" s="1926"/>
      <c r="V213" s="1926"/>
      <c r="W213" s="1926"/>
      <c r="X213" s="1926"/>
      <c r="Y213" s="1926"/>
      <c r="Z213" s="885"/>
      <c r="AA213" s="885"/>
      <c r="AB213" s="1924">
        <f t="shared" ref="AB213:AB222" si="0">MAX(($T213-$N213)*$I213*12,0)</f>
        <v>0</v>
      </c>
      <c r="AC213" s="1924"/>
      <c r="AD213" s="1924"/>
      <c r="AE213" s="1924"/>
      <c r="AF213" s="1924"/>
      <c r="AG213" s="1924"/>
      <c r="AH213" s="861"/>
      <c r="AI213" s="861"/>
      <c r="AJ213" s="861"/>
      <c r="AK213" s="644"/>
    </row>
    <row r="214" spans="1:37">
      <c r="A214" s="639"/>
      <c r="B214" s="1962" t="s">
        <v>2756</v>
      </c>
      <c r="C214" s="1962"/>
      <c r="D214" s="1962"/>
      <c r="E214" s="1962"/>
      <c r="F214" s="1962"/>
      <c r="G214" s="1962"/>
      <c r="I214" s="1930">
        <v>4</v>
      </c>
      <c r="J214" s="1930"/>
      <c r="K214" s="1930"/>
      <c r="L214" s="1043"/>
      <c r="N214" s="1927">
        <v>619</v>
      </c>
      <c r="O214" s="1927"/>
      <c r="P214" s="1927"/>
      <c r="Q214" s="1927"/>
      <c r="R214" s="1927"/>
      <c r="T214" s="1926">
        <f>2279.2-105</f>
        <v>2174.1999999999998</v>
      </c>
      <c r="U214" s="1926"/>
      <c r="V214" s="1926"/>
      <c r="W214" s="1926"/>
      <c r="X214" s="1926"/>
      <c r="Y214" s="1926"/>
      <c r="Z214" s="885"/>
      <c r="AA214" s="885"/>
      <c r="AB214" s="1924">
        <f t="shared" si="0"/>
        <v>74649.599999999991</v>
      </c>
      <c r="AC214" s="1924"/>
      <c r="AD214" s="1924"/>
      <c r="AE214" s="1924"/>
      <c r="AF214" s="1924"/>
      <c r="AG214" s="1924"/>
      <c r="AH214" s="861"/>
      <c r="AI214" s="861"/>
      <c r="AJ214" s="861"/>
      <c r="AK214" s="644"/>
    </row>
    <row r="215" spans="1:37">
      <c r="A215" s="639"/>
      <c r="B215" s="1962" t="s">
        <v>2757</v>
      </c>
      <c r="C215" s="1962"/>
      <c r="D215" s="1962"/>
      <c r="E215" s="1962"/>
      <c r="F215" s="1962"/>
      <c r="G215" s="1962"/>
      <c r="I215" s="1930">
        <v>4</v>
      </c>
      <c r="J215" s="1930"/>
      <c r="K215" s="1930"/>
      <c r="L215" s="1043"/>
      <c r="N215" s="1927">
        <v>708</v>
      </c>
      <c r="O215" s="1927"/>
      <c r="P215" s="1927"/>
      <c r="Q215" s="1927"/>
      <c r="R215" s="1927"/>
      <c r="T215" s="1926">
        <f>3014-128</f>
        <v>2886</v>
      </c>
      <c r="U215" s="1926"/>
      <c r="V215" s="1926"/>
      <c r="W215" s="1926"/>
      <c r="X215" s="1926"/>
      <c r="Y215" s="1926"/>
      <c r="Z215" s="885"/>
      <c r="AA215" s="885"/>
      <c r="AB215" s="1924">
        <f t="shared" si="0"/>
        <v>104544</v>
      </c>
      <c r="AC215" s="1924"/>
      <c r="AD215" s="1924"/>
      <c r="AE215" s="1924"/>
      <c r="AF215" s="1924"/>
      <c r="AG215" s="1924"/>
      <c r="AH215" s="861"/>
      <c r="AI215" s="861"/>
      <c r="AJ215" s="861"/>
      <c r="AK215" s="644"/>
    </row>
    <row r="216" spans="1:37">
      <c r="A216" s="639"/>
      <c r="B216" s="1962" t="s">
        <v>1290</v>
      </c>
      <c r="C216" s="1962"/>
      <c r="D216" s="1962"/>
      <c r="E216" s="1962"/>
      <c r="F216" s="1962"/>
      <c r="G216" s="1962"/>
      <c r="I216" s="1930"/>
      <c r="J216" s="1930"/>
      <c r="K216" s="1930"/>
      <c r="L216" s="1043"/>
      <c r="N216" s="1927"/>
      <c r="O216" s="1927"/>
      <c r="P216" s="1927"/>
      <c r="Q216" s="1927"/>
      <c r="R216" s="1927"/>
      <c r="T216" s="1926"/>
      <c r="U216" s="1926"/>
      <c r="V216" s="1926"/>
      <c r="W216" s="1926"/>
      <c r="X216" s="1926"/>
      <c r="Y216" s="1926"/>
      <c r="Z216" s="885"/>
      <c r="AA216" s="885"/>
      <c r="AB216" s="1924">
        <f t="shared" si="0"/>
        <v>0</v>
      </c>
      <c r="AC216" s="1924"/>
      <c r="AD216" s="1924"/>
      <c r="AE216" s="1924"/>
      <c r="AF216" s="1924"/>
      <c r="AG216" s="1924"/>
      <c r="AH216" s="861"/>
      <c r="AI216" s="861"/>
      <c r="AJ216" s="861"/>
      <c r="AK216" s="644"/>
    </row>
    <row r="217" spans="1:37">
      <c r="A217" s="639"/>
      <c r="B217" s="1962" t="s">
        <v>1290</v>
      </c>
      <c r="C217" s="1962"/>
      <c r="D217" s="1962"/>
      <c r="E217" s="1962"/>
      <c r="F217" s="1962"/>
      <c r="G217" s="1962"/>
      <c r="I217" s="1930"/>
      <c r="J217" s="1930"/>
      <c r="K217" s="1930"/>
      <c r="L217" s="1050"/>
      <c r="N217" s="1927"/>
      <c r="O217" s="1927"/>
      <c r="P217" s="1927"/>
      <c r="Q217" s="1927"/>
      <c r="R217" s="1927"/>
      <c r="T217" s="1926"/>
      <c r="U217" s="1926"/>
      <c r="V217" s="1926"/>
      <c r="W217" s="1926"/>
      <c r="X217" s="1926"/>
      <c r="Y217" s="1926"/>
      <c r="Z217" s="885"/>
      <c r="AA217" s="885"/>
      <c r="AB217" s="1924">
        <f t="shared" si="0"/>
        <v>0</v>
      </c>
      <c r="AC217" s="1924"/>
      <c r="AD217" s="1924"/>
      <c r="AE217" s="1924"/>
      <c r="AF217" s="1924"/>
      <c r="AG217" s="1924"/>
      <c r="AH217" s="861"/>
      <c r="AI217" s="861"/>
      <c r="AJ217" s="861"/>
      <c r="AK217" s="644"/>
    </row>
    <row r="218" spans="1:37">
      <c r="A218" s="639"/>
      <c r="B218" s="1962" t="s">
        <v>1290</v>
      </c>
      <c r="C218" s="1962"/>
      <c r="D218" s="1962"/>
      <c r="E218" s="1962"/>
      <c r="F218" s="1962"/>
      <c r="G218" s="1962"/>
      <c r="I218" s="1930"/>
      <c r="J218" s="1930"/>
      <c r="K218" s="1930"/>
      <c r="L218" s="1050"/>
      <c r="N218" s="1927"/>
      <c r="O218" s="1927"/>
      <c r="P218" s="1927"/>
      <c r="Q218" s="1927"/>
      <c r="R218" s="1927"/>
      <c r="T218" s="1926"/>
      <c r="U218" s="1926"/>
      <c r="V218" s="1926"/>
      <c r="W218" s="1926"/>
      <c r="X218" s="1926"/>
      <c r="Y218" s="1926"/>
      <c r="Z218" s="885"/>
      <c r="AA218" s="885"/>
      <c r="AB218" s="1924">
        <f t="shared" si="0"/>
        <v>0</v>
      </c>
      <c r="AC218" s="1924"/>
      <c r="AD218" s="1924"/>
      <c r="AE218" s="1924"/>
      <c r="AF218" s="1924"/>
      <c r="AG218" s="1924"/>
      <c r="AH218" s="861"/>
      <c r="AI218" s="861"/>
      <c r="AJ218" s="861"/>
      <c r="AK218" s="644"/>
    </row>
    <row r="219" spans="1:37">
      <c r="A219" s="639"/>
      <c r="B219" s="1962" t="s">
        <v>1290</v>
      </c>
      <c r="C219" s="1962"/>
      <c r="D219" s="1962"/>
      <c r="E219" s="1962"/>
      <c r="F219" s="1962"/>
      <c r="G219" s="1962"/>
      <c r="I219" s="1930"/>
      <c r="J219" s="1930"/>
      <c r="K219" s="1930"/>
      <c r="L219" s="1050"/>
      <c r="N219" s="1927"/>
      <c r="O219" s="1927"/>
      <c r="P219" s="1927"/>
      <c r="Q219" s="1927"/>
      <c r="R219" s="1927"/>
      <c r="T219" s="1926"/>
      <c r="U219" s="1926"/>
      <c r="V219" s="1926"/>
      <c r="W219" s="1926"/>
      <c r="X219" s="1926"/>
      <c r="Y219" s="1926"/>
      <c r="Z219" s="885"/>
      <c r="AA219" s="885"/>
      <c r="AB219" s="1924">
        <f t="shared" si="0"/>
        <v>0</v>
      </c>
      <c r="AC219" s="1924"/>
      <c r="AD219" s="1924"/>
      <c r="AE219" s="1924"/>
      <c r="AF219" s="1924"/>
      <c r="AG219" s="1924"/>
      <c r="AH219" s="861"/>
      <c r="AI219" s="861"/>
      <c r="AJ219" s="861"/>
      <c r="AK219" s="644"/>
    </row>
    <row r="220" spans="1:37">
      <c r="A220" s="639"/>
      <c r="B220" s="1962" t="s">
        <v>1290</v>
      </c>
      <c r="C220" s="1962"/>
      <c r="D220" s="1962"/>
      <c r="E220" s="1962"/>
      <c r="F220" s="1962"/>
      <c r="G220" s="1962"/>
      <c r="I220" s="1930"/>
      <c r="J220" s="1930"/>
      <c r="K220" s="1930"/>
      <c r="L220" s="1050"/>
      <c r="N220" s="1927"/>
      <c r="O220" s="1927"/>
      <c r="P220" s="1927"/>
      <c r="Q220" s="1927"/>
      <c r="R220" s="1927"/>
      <c r="T220" s="1926"/>
      <c r="U220" s="1926"/>
      <c r="V220" s="1926"/>
      <c r="W220" s="1926"/>
      <c r="X220" s="1926"/>
      <c r="Y220" s="1926"/>
      <c r="Z220" s="885"/>
      <c r="AA220" s="885"/>
      <c r="AB220" s="1924">
        <f t="shared" si="0"/>
        <v>0</v>
      </c>
      <c r="AC220" s="1924"/>
      <c r="AD220" s="1924"/>
      <c r="AE220" s="1924"/>
      <c r="AF220" s="1924"/>
      <c r="AG220" s="1924"/>
      <c r="AH220" s="861"/>
      <c r="AI220" s="861"/>
      <c r="AJ220" s="861"/>
      <c r="AK220" s="644"/>
    </row>
    <row r="221" spans="1:37">
      <c r="A221" s="639"/>
      <c r="B221" s="1962" t="s">
        <v>1290</v>
      </c>
      <c r="C221" s="1962"/>
      <c r="D221" s="1962"/>
      <c r="E221" s="1962"/>
      <c r="F221" s="1962"/>
      <c r="G221" s="1962"/>
      <c r="I221" s="1930"/>
      <c r="J221" s="1930"/>
      <c r="K221" s="1930"/>
      <c r="L221" s="1050"/>
      <c r="N221" s="1927"/>
      <c r="O221" s="1927"/>
      <c r="P221" s="1927"/>
      <c r="Q221" s="1927"/>
      <c r="R221" s="1927"/>
      <c r="T221" s="1926"/>
      <c r="U221" s="1926"/>
      <c r="V221" s="1926"/>
      <c r="W221" s="1926"/>
      <c r="X221" s="1926"/>
      <c r="Y221" s="1926"/>
      <c r="Z221" s="885"/>
      <c r="AA221" s="885"/>
      <c r="AB221" s="1924">
        <f t="shared" si="0"/>
        <v>0</v>
      </c>
      <c r="AC221" s="1924"/>
      <c r="AD221" s="1924"/>
      <c r="AE221" s="1924"/>
      <c r="AF221" s="1924"/>
      <c r="AG221" s="1924"/>
      <c r="AH221" s="861"/>
      <c r="AI221" s="861"/>
      <c r="AJ221" s="861"/>
      <c r="AK221" s="644"/>
    </row>
    <row r="222" spans="1:37">
      <c r="A222" s="639"/>
      <c r="B222" s="1962" t="s">
        <v>1290</v>
      </c>
      <c r="C222" s="1962"/>
      <c r="D222" s="1962"/>
      <c r="E222" s="1962"/>
      <c r="F222" s="1962"/>
      <c r="G222" s="1962"/>
      <c r="I222" s="2114"/>
      <c r="J222" s="2114"/>
      <c r="K222" s="2114"/>
      <c r="L222" s="1050"/>
      <c r="N222" s="1927"/>
      <c r="O222" s="1927"/>
      <c r="P222" s="1927"/>
      <c r="Q222" s="1927"/>
      <c r="R222" s="1927"/>
      <c r="T222" s="1926"/>
      <c r="U222" s="1926"/>
      <c r="V222" s="1926"/>
      <c r="W222" s="1926"/>
      <c r="X222" s="1926"/>
      <c r="Y222" s="1926"/>
      <c r="Z222" s="885"/>
      <c r="AA222" s="885"/>
      <c r="AB222" s="1931">
        <f t="shared" si="0"/>
        <v>0</v>
      </c>
      <c r="AC222" s="1931"/>
      <c r="AD222" s="1931"/>
      <c r="AE222" s="1931"/>
      <c r="AF222" s="1931"/>
      <c r="AG222" s="193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24">
        <f>SUM(AB213:AB222)</f>
        <v>179193.59999999998</v>
      </c>
      <c r="AC223" s="1924"/>
      <c r="AD223" s="1924"/>
      <c r="AE223" s="1924"/>
      <c r="AF223" s="1924"/>
      <c r="AG223" s="1924"/>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64">
        <v>0</v>
      </c>
      <c r="AC229" s="1964"/>
      <c r="AD229" s="1964"/>
      <c r="AE229" s="1964"/>
      <c r="AF229" s="1964"/>
      <c r="AG229" s="1964"/>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64"/>
      <c r="AC232" s="1964"/>
      <c r="AD232" s="1964"/>
      <c r="AE232" s="1964"/>
      <c r="AF232" s="1964"/>
      <c r="AG232" s="1964"/>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23">
        <v>20</v>
      </c>
      <c r="AC233" s="1923"/>
      <c r="AD233" s="1923"/>
      <c r="AE233" s="1923"/>
      <c r="AF233" s="1923"/>
      <c r="AG233" s="1923"/>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32">
        <f>IFERROR(AB232/AB233,0)</f>
        <v>0</v>
      </c>
      <c r="AC234" s="1932"/>
      <c r="AD234" s="1932"/>
      <c r="AE234" s="1932"/>
      <c r="AF234" s="1932"/>
      <c r="AG234" s="193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31">
        <f>MAX(AB229,AB234)</f>
        <v>0</v>
      </c>
      <c r="AC236" s="1931"/>
      <c r="AD236" s="1931"/>
      <c r="AE236" s="1931"/>
      <c r="AF236" s="1931"/>
      <c r="AG236" s="193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24">
        <f>AB223+AB236</f>
        <v>179193.59999999998</v>
      </c>
      <c r="AC239" s="1924"/>
      <c r="AD239" s="1924"/>
      <c r="AE239" s="1924"/>
      <c r="AF239" s="1924"/>
      <c r="AG239" s="1924"/>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98">
        <v>0.05</v>
      </c>
      <c r="AC240" s="2098"/>
      <c r="AD240" s="2098"/>
      <c r="AE240" s="2098"/>
      <c r="AF240" s="2098"/>
      <c r="AG240" s="2098"/>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99">
        <f>AB239-(AB239*AB240)</f>
        <v>170233.91999999998</v>
      </c>
      <c r="AC241" s="2099"/>
      <c r="AD241" s="2099"/>
      <c r="AE241" s="2099"/>
      <c r="AF241" s="2099"/>
      <c r="AG241" s="2099"/>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24">
        <f>AB241/AB247</f>
        <v>148029.49565217391</v>
      </c>
      <c r="AC243" s="1924"/>
      <c r="AD243" s="1924"/>
      <c r="AE243" s="1924"/>
      <c r="AF243" s="1924"/>
      <c r="AG243" s="1924"/>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110">
        <v>15</v>
      </c>
      <c r="AC245" s="2110"/>
      <c r="AD245" s="2110"/>
      <c r="AE245" s="2110"/>
      <c r="AF245" s="2110"/>
      <c r="AG245" s="2110"/>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101">
        <v>0.04</v>
      </c>
      <c r="AC246" s="2101"/>
      <c r="AD246" s="2101"/>
      <c r="AE246" s="2101"/>
      <c r="AF246" s="2101"/>
      <c r="AG246" s="2101"/>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102">
        <v>1.1499999999999999</v>
      </c>
      <c r="AC247" s="2102"/>
      <c r="AD247" s="2102"/>
      <c r="AE247" s="2102"/>
      <c r="AF247" s="2102"/>
      <c r="AG247" s="210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91">
        <f>PV(AB246/12,AB245*12,-AB243/12, ,0)</f>
        <v>1667702.131839891</v>
      </c>
      <c r="AC249" s="2092"/>
      <c r="AD249" s="2092"/>
      <c r="AE249" s="2092"/>
      <c r="AF249" s="2092"/>
      <c r="AG249" s="209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95">
        <f>IFERROR(('Sources and Uses Budget'!D105/'Sources and Uses Budget'!B105),0)</f>
        <v>0</v>
      </c>
      <c r="AC255" s="2096"/>
      <c r="AD255" s="2096"/>
      <c r="AE255" s="2096"/>
      <c r="AF255" s="2096"/>
      <c r="AG255" s="209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38">
        <f>AD200*(1-AB255)</f>
        <v>7667702.131839891</v>
      </c>
      <c r="AH257" s="1938"/>
      <c r="AI257" s="1938"/>
      <c r="AJ257" s="1938"/>
      <c r="AK257" s="1938"/>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38">
        <f>'Sources and Uses Budget'!C105</f>
        <v>73815142</v>
      </c>
      <c r="AH258" s="1938"/>
      <c r="AI258" s="1938"/>
      <c r="AJ258" s="1938"/>
      <c r="AK258" s="193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87">
        <f>ROUNDDOWN(IF(AND(C281="Yes",AK78=10),((AG257*2)/AG258),AG257/AG258),2)</f>
        <v>0.2</v>
      </c>
      <c r="AH259" s="2087"/>
      <c r="AI259" s="2087"/>
      <c r="AJ259" s="2087"/>
      <c r="AK259" s="2087"/>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76">
        <f>IFERROR(IF(AG259=0,0,IF((AG259*100)&gt;8,8,(AG259*100))),0)</f>
        <v>8</v>
      </c>
      <c r="AL262" s="2076"/>
      <c r="AM262" s="2077"/>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8" customHeight="1">
      <c r="A267" s="584"/>
      <c r="B267" s="630"/>
      <c r="C267" s="1956" t="s">
        <v>553</v>
      </c>
      <c r="D267" s="1956"/>
      <c r="E267" s="581"/>
      <c r="F267" s="1907" t="s">
        <v>2335</v>
      </c>
      <c r="G267" s="1908"/>
      <c r="H267" s="1908"/>
      <c r="I267" s="1908"/>
      <c r="J267" s="1908"/>
      <c r="K267" s="1908"/>
      <c r="L267" s="1908"/>
      <c r="M267" s="1908"/>
      <c r="N267" s="1908"/>
      <c r="O267" s="1908"/>
      <c r="P267" s="1908"/>
      <c r="Q267" s="1908"/>
      <c r="R267" s="1908"/>
      <c r="S267" s="1908"/>
      <c r="T267" s="1908"/>
      <c r="U267" s="1908"/>
      <c r="V267" s="1908"/>
      <c r="W267" s="1908"/>
      <c r="X267" s="1908"/>
      <c r="Y267" s="1908"/>
      <c r="Z267" s="1908"/>
      <c r="AA267" s="1908"/>
      <c r="AB267" s="1908"/>
      <c r="AC267" s="1908"/>
      <c r="AD267" s="1909"/>
      <c r="AE267" s="584"/>
      <c r="AF267" s="669"/>
      <c r="AG267" s="2085" t="s">
        <v>1474</v>
      </c>
      <c r="AH267" s="2085"/>
      <c r="AI267" s="2085"/>
      <c r="AJ267" s="2085"/>
      <c r="AK267" s="584"/>
      <c r="AL267" s="584"/>
      <c r="AM267" s="584"/>
      <c r="AO267" s="584"/>
    </row>
    <row r="268" spans="1:52" ht="13.8" customHeight="1">
      <c r="A268" s="584"/>
      <c r="B268" s="630"/>
      <c r="C268" s="670"/>
      <c r="D268" s="584"/>
      <c r="E268" s="581"/>
      <c r="F268" s="1910"/>
      <c r="G268" s="1911"/>
      <c r="H268" s="1911"/>
      <c r="I268" s="1911"/>
      <c r="J268" s="1911"/>
      <c r="K268" s="1911"/>
      <c r="L268" s="1911"/>
      <c r="M268" s="1911"/>
      <c r="N268" s="1911"/>
      <c r="O268" s="1911"/>
      <c r="P268" s="1911"/>
      <c r="Q268" s="1911"/>
      <c r="R268" s="1911"/>
      <c r="S268" s="1911"/>
      <c r="T268" s="1911"/>
      <c r="U268" s="1911"/>
      <c r="V268" s="1911"/>
      <c r="W268" s="1911"/>
      <c r="X268" s="1911"/>
      <c r="Y268" s="1911"/>
      <c r="Z268" s="1911"/>
      <c r="AA268" s="1911"/>
      <c r="AB268" s="1911"/>
      <c r="AC268" s="1911"/>
      <c r="AD268" s="1912"/>
      <c r="AE268" s="584"/>
      <c r="AF268" s="669"/>
      <c r="AG268" s="669"/>
      <c r="AH268" s="669"/>
      <c r="AI268" s="669"/>
      <c r="AJ268" s="584"/>
      <c r="AK268" s="584"/>
      <c r="AL268" s="584"/>
      <c r="AM268" s="584"/>
      <c r="AO268" s="584"/>
    </row>
    <row r="269" spans="1:52">
      <c r="A269" s="584"/>
      <c r="B269" s="630"/>
      <c r="C269" s="670"/>
      <c r="D269" s="584"/>
      <c r="E269" s="581"/>
      <c r="F269" s="1910"/>
      <c r="G269" s="1911"/>
      <c r="H269" s="1911"/>
      <c r="I269" s="1911"/>
      <c r="J269" s="1911"/>
      <c r="K269" s="1911"/>
      <c r="L269" s="1911"/>
      <c r="M269" s="1911"/>
      <c r="N269" s="1911"/>
      <c r="O269" s="1911"/>
      <c r="P269" s="1911"/>
      <c r="Q269" s="1911"/>
      <c r="R269" s="1911"/>
      <c r="S269" s="1911"/>
      <c r="T269" s="1911"/>
      <c r="U269" s="1911"/>
      <c r="V269" s="1911"/>
      <c r="W269" s="1911"/>
      <c r="X269" s="1911"/>
      <c r="Y269" s="1911"/>
      <c r="Z269" s="1911"/>
      <c r="AA269" s="1911"/>
      <c r="AB269" s="1911"/>
      <c r="AC269" s="1911"/>
      <c r="AD269" s="1912"/>
      <c r="AE269" s="584"/>
      <c r="AF269" s="669"/>
      <c r="AG269" s="669"/>
      <c r="AH269" s="669"/>
      <c r="AI269" s="669"/>
      <c r="AJ269" s="584"/>
      <c r="AK269" s="584"/>
      <c r="AL269" s="584"/>
      <c r="AM269" s="584"/>
      <c r="AO269" s="584"/>
      <c r="AP269" s="671"/>
    </row>
    <row r="270" spans="1:52">
      <c r="A270" s="584"/>
      <c r="B270" s="630"/>
      <c r="C270" s="670"/>
      <c r="D270" s="584"/>
      <c r="E270" s="581"/>
      <c r="F270" s="1910"/>
      <c r="G270" s="1911"/>
      <c r="H270" s="1911"/>
      <c r="I270" s="1911"/>
      <c r="J270" s="1911"/>
      <c r="K270" s="1911"/>
      <c r="L270" s="1911"/>
      <c r="M270" s="1911"/>
      <c r="N270" s="1911"/>
      <c r="O270" s="1911"/>
      <c r="P270" s="1911"/>
      <c r="Q270" s="1911"/>
      <c r="R270" s="1911"/>
      <c r="S270" s="1911"/>
      <c r="T270" s="1911"/>
      <c r="U270" s="1911"/>
      <c r="V270" s="1911"/>
      <c r="W270" s="1911"/>
      <c r="X270" s="1911"/>
      <c r="Y270" s="1911"/>
      <c r="Z270" s="1911"/>
      <c r="AA270" s="1911"/>
      <c r="AB270" s="1911"/>
      <c r="AC270" s="1911"/>
      <c r="AD270" s="1912"/>
      <c r="AE270" s="584"/>
      <c r="AF270" s="669"/>
      <c r="AG270" s="669"/>
      <c r="AH270" s="669"/>
      <c r="AI270" s="669"/>
      <c r="AJ270" s="584"/>
      <c r="AK270" s="584"/>
      <c r="AL270" s="584"/>
      <c r="AM270" s="584"/>
      <c r="AO270" s="584"/>
      <c r="AP270" s="671"/>
    </row>
    <row r="271" spans="1:52" ht="13.8" customHeight="1">
      <c r="A271" s="584"/>
      <c r="B271" s="630"/>
      <c r="C271" s="2086"/>
      <c r="D271" s="2086"/>
      <c r="E271" s="581"/>
      <c r="F271" s="1913"/>
      <c r="G271" s="1914"/>
      <c r="H271" s="1914"/>
      <c r="I271" s="1914"/>
      <c r="J271" s="1914"/>
      <c r="K271" s="1914"/>
      <c r="L271" s="1914"/>
      <c r="M271" s="1914"/>
      <c r="N271" s="1914"/>
      <c r="O271" s="1914"/>
      <c r="P271" s="1914"/>
      <c r="Q271" s="1914"/>
      <c r="R271" s="1914"/>
      <c r="S271" s="1914"/>
      <c r="T271" s="1914"/>
      <c r="U271" s="1914"/>
      <c r="V271" s="1914"/>
      <c r="W271" s="1914"/>
      <c r="X271" s="1914"/>
      <c r="Y271" s="1914"/>
      <c r="Z271" s="1914"/>
      <c r="AA271" s="1914"/>
      <c r="AB271" s="1914"/>
      <c r="AC271" s="1914"/>
      <c r="AD271" s="1915"/>
      <c r="AE271" s="584"/>
      <c r="AF271" s="669"/>
      <c r="AG271" s="2085"/>
      <c r="AH271" s="2085"/>
      <c r="AI271" s="2085"/>
      <c r="AJ271" s="2085"/>
      <c r="AK271" s="584"/>
      <c r="AL271" s="584"/>
      <c r="AM271" s="584"/>
    </row>
    <row r="272" spans="1:52" ht="13.8"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76">
        <f>IF($C$267="yes",10,0)</f>
        <v>10</v>
      </c>
      <c r="AL274" s="2076"/>
      <c r="AM274" s="2077"/>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1" t="s">
        <v>1493</v>
      </c>
      <c r="B281" s="1631"/>
      <c r="C281" s="2050" t="s">
        <v>553</v>
      </c>
      <c r="D281" s="1956"/>
      <c r="E281" s="581"/>
      <c r="F281" s="2078" t="s">
        <v>1494</v>
      </c>
      <c r="G281" s="2079"/>
      <c r="H281" s="2079"/>
      <c r="I281" s="2079"/>
      <c r="J281" s="2079"/>
      <c r="K281" s="2079"/>
      <c r="L281" s="2079"/>
      <c r="M281" s="2079"/>
      <c r="N281" s="2079"/>
      <c r="O281" s="2079"/>
      <c r="P281" s="2079"/>
      <c r="Q281" s="2079"/>
      <c r="R281" s="2079"/>
      <c r="S281" s="2079"/>
      <c r="T281" s="2079"/>
      <c r="U281" s="2079"/>
      <c r="V281" s="2079"/>
      <c r="W281" s="2079"/>
      <c r="X281" s="2079"/>
      <c r="Y281" s="2079"/>
      <c r="Z281" s="2079"/>
      <c r="AA281" s="2079"/>
      <c r="AB281" s="2079"/>
      <c r="AC281" s="2079"/>
      <c r="AD281" s="2080"/>
      <c r="AE281" s="676"/>
      <c r="AF281" s="584"/>
      <c r="AG281" s="2081" t="s">
        <v>2328</v>
      </c>
      <c r="AH281" s="2081"/>
      <c r="AI281" s="2081"/>
      <c r="AJ281" s="2081"/>
      <c r="AK281" s="2081"/>
      <c r="AL281" s="584"/>
      <c r="AM281" s="584"/>
      <c r="AN281" s="73"/>
      <c r="AO281" s="14"/>
      <c r="AP281" s="30"/>
      <c r="AS281" s="604"/>
      <c r="AT281" s="604"/>
      <c r="AU281" s="604"/>
      <c r="AV281" s="32"/>
      <c r="AW281" s="32"/>
    </row>
    <row r="282" spans="1:49">
      <c r="A282" s="674"/>
      <c r="B282" s="630"/>
      <c r="F282" s="1933"/>
      <c r="G282" s="1934"/>
      <c r="H282" s="1934"/>
      <c r="I282" s="1934"/>
      <c r="J282" s="1934"/>
      <c r="K282" s="1934"/>
      <c r="L282" s="1934"/>
      <c r="M282" s="1934"/>
      <c r="N282" s="1934"/>
      <c r="O282" s="1934"/>
      <c r="P282" s="1934"/>
      <c r="Q282" s="1934"/>
      <c r="R282" s="1934"/>
      <c r="S282" s="1934"/>
      <c r="T282" s="1934"/>
      <c r="U282" s="1934"/>
      <c r="V282" s="1934"/>
      <c r="W282" s="1934"/>
      <c r="X282" s="1934"/>
      <c r="Y282" s="1934"/>
      <c r="Z282" s="1934"/>
      <c r="AA282" s="1934"/>
      <c r="AB282" s="1934"/>
      <c r="AC282" s="1934"/>
      <c r="AD282" s="1935"/>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33"/>
      <c r="G283" s="1934"/>
      <c r="H283" s="1934"/>
      <c r="I283" s="1934"/>
      <c r="J283" s="1934"/>
      <c r="K283" s="1934"/>
      <c r="L283" s="1934"/>
      <c r="M283" s="1934"/>
      <c r="N283" s="1934"/>
      <c r="O283" s="1934"/>
      <c r="P283" s="1934"/>
      <c r="Q283" s="1934"/>
      <c r="R283" s="1934"/>
      <c r="S283" s="1934"/>
      <c r="T283" s="1934"/>
      <c r="U283" s="1934"/>
      <c r="V283" s="1934"/>
      <c r="W283" s="1934"/>
      <c r="X283" s="1934"/>
      <c r="Y283" s="1934"/>
      <c r="Z283" s="1934"/>
      <c r="AA283" s="1934"/>
      <c r="AB283" s="1934"/>
      <c r="AC283" s="1934"/>
      <c r="AD283" s="1935"/>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33" t="s">
        <v>2336</v>
      </c>
      <c r="G284" s="1934"/>
      <c r="H284" s="1934"/>
      <c r="I284" s="1934"/>
      <c r="J284" s="1934"/>
      <c r="K284" s="1934"/>
      <c r="L284" s="1934"/>
      <c r="M284" s="1934"/>
      <c r="N284" s="1934"/>
      <c r="O284" s="1934"/>
      <c r="P284" s="1934"/>
      <c r="Q284" s="1934"/>
      <c r="R284" s="1934"/>
      <c r="S284" s="1934"/>
      <c r="T284" s="1934"/>
      <c r="U284" s="1934"/>
      <c r="V284" s="1934"/>
      <c r="W284" s="1934"/>
      <c r="X284" s="1934"/>
      <c r="Y284" s="1934"/>
      <c r="Z284" s="1934"/>
      <c r="AA284" s="1934"/>
      <c r="AB284" s="1934"/>
      <c r="AC284" s="1934"/>
      <c r="AD284" s="1935"/>
      <c r="AE284" s="676"/>
      <c r="AF284" s="585"/>
      <c r="AH284" s="585"/>
      <c r="AI284" s="585"/>
      <c r="AJ284" s="584"/>
      <c r="AK284" s="584"/>
      <c r="AL284" s="584"/>
      <c r="AM284" s="584"/>
      <c r="AN284" s="73"/>
      <c r="AO284" s="14"/>
      <c r="AP284" s="645">
        <f>MAX(AP282,AP283)</f>
        <v>10</v>
      </c>
      <c r="AQ284" s="608" t="s">
        <v>1427</v>
      </c>
      <c r="AS284" s="604"/>
      <c r="AT284" s="604"/>
      <c r="AU284" s="604"/>
      <c r="AV284" s="32"/>
      <c r="AW284" s="32"/>
    </row>
    <row r="285" spans="1:49">
      <c r="A285" s="674"/>
      <c r="B285" s="630"/>
      <c r="F285" s="1933"/>
      <c r="G285" s="1934"/>
      <c r="H285" s="1934"/>
      <c r="I285" s="1934"/>
      <c r="J285" s="1934"/>
      <c r="K285" s="1934"/>
      <c r="L285" s="1934"/>
      <c r="M285" s="1934"/>
      <c r="N285" s="1934"/>
      <c r="O285" s="1934"/>
      <c r="P285" s="1934"/>
      <c r="Q285" s="1934"/>
      <c r="R285" s="1934"/>
      <c r="S285" s="1934"/>
      <c r="T285" s="1934"/>
      <c r="U285" s="1934"/>
      <c r="V285" s="1934"/>
      <c r="W285" s="1934"/>
      <c r="X285" s="1934"/>
      <c r="Y285" s="1934"/>
      <c r="Z285" s="1934"/>
      <c r="AA285" s="1934"/>
      <c r="AB285" s="1934"/>
      <c r="AC285" s="1934"/>
      <c r="AD285" s="193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33" t="s">
        <v>1495</v>
      </c>
      <c r="G286" s="1934"/>
      <c r="H286" s="1934"/>
      <c r="I286" s="1934"/>
      <c r="J286" s="1934"/>
      <c r="K286" s="1934"/>
      <c r="L286" s="1934"/>
      <c r="M286" s="1934"/>
      <c r="N286" s="1934"/>
      <c r="O286" s="1934"/>
      <c r="P286" s="1934"/>
      <c r="Q286" s="1934"/>
      <c r="R286" s="1934"/>
      <c r="S286" s="1934"/>
      <c r="T286" s="1934"/>
      <c r="U286" s="1934"/>
      <c r="V286" s="1934"/>
      <c r="W286" s="1934"/>
      <c r="X286" s="1934"/>
      <c r="Y286" s="1934"/>
      <c r="Z286" s="1934"/>
      <c r="AA286" s="1934"/>
      <c r="AB286" s="1934"/>
      <c r="AC286" s="1934"/>
      <c r="AD286" s="193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33"/>
      <c r="G287" s="1934"/>
      <c r="H287" s="1934"/>
      <c r="I287" s="1934"/>
      <c r="J287" s="1934"/>
      <c r="K287" s="1934"/>
      <c r="L287" s="1934"/>
      <c r="M287" s="1934"/>
      <c r="N287" s="1934"/>
      <c r="O287" s="1934"/>
      <c r="P287" s="1934"/>
      <c r="Q287" s="1934"/>
      <c r="R287" s="1934"/>
      <c r="S287" s="1934"/>
      <c r="T287" s="1934"/>
      <c r="U287" s="1934"/>
      <c r="V287" s="1934"/>
      <c r="W287" s="1934"/>
      <c r="X287" s="1934"/>
      <c r="Y287" s="1934"/>
      <c r="Z287" s="1934"/>
      <c r="AA287" s="1934"/>
      <c r="AB287" s="1934"/>
      <c r="AC287" s="1934"/>
      <c r="AD287" s="193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33" t="s">
        <v>1496</v>
      </c>
      <c r="G288" s="1934"/>
      <c r="H288" s="1934"/>
      <c r="I288" s="1934"/>
      <c r="J288" s="1934"/>
      <c r="K288" s="1934"/>
      <c r="L288" s="1934"/>
      <c r="M288" s="1934"/>
      <c r="N288" s="1934"/>
      <c r="O288" s="1934"/>
      <c r="P288" s="1934"/>
      <c r="Q288" s="1934"/>
      <c r="R288" s="1934"/>
      <c r="S288" s="1934"/>
      <c r="T288" s="1934"/>
      <c r="U288" s="1934"/>
      <c r="V288" s="1934"/>
      <c r="W288" s="1934"/>
      <c r="X288" s="1934"/>
      <c r="Y288" s="1934"/>
      <c r="Z288" s="1934"/>
      <c r="AA288" s="1934"/>
      <c r="AB288" s="1934"/>
      <c r="AC288" s="1934"/>
      <c r="AD288" s="193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36"/>
      <c r="G289" s="1937"/>
      <c r="H289" s="1937"/>
      <c r="I289" s="1937"/>
      <c r="J289" s="1937"/>
      <c r="K289" s="1937"/>
      <c r="L289" s="1937"/>
      <c r="M289" s="1937"/>
      <c r="N289" s="1937"/>
      <c r="O289" s="1937"/>
      <c r="P289" s="1937"/>
      <c r="Q289" s="1937"/>
      <c r="R289" s="1937"/>
      <c r="S289" s="1937"/>
      <c r="T289" s="1937"/>
      <c r="U289" s="1937"/>
      <c r="V289" s="1937"/>
      <c r="W289" s="1937"/>
      <c r="X289" s="1937"/>
      <c r="Y289" s="1937"/>
      <c r="Z289" s="1937"/>
      <c r="AA289" s="1937"/>
      <c r="AB289" s="1937"/>
      <c r="AC289" s="1937"/>
      <c r="AD289" s="207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1" t="s">
        <v>1497</v>
      </c>
      <c r="B291" s="1631"/>
      <c r="C291" s="1956" t="s">
        <v>599</v>
      </c>
      <c r="D291" s="1956"/>
      <c r="E291" s="581"/>
      <c r="F291" s="678" t="s">
        <v>2329</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60" t="s">
        <v>2330</v>
      </c>
      <c r="G292" s="2061"/>
      <c r="H292" s="2061"/>
      <c r="I292" s="2061"/>
      <c r="J292" s="2061"/>
      <c r="K292" s="2061"/>
      <c r="L292" s="2061"/>
      <c r="M292" s="2061"/>
      <c r="N292" s="2061"/>
      <c r="O292" s="2061"/>
      <c r="P292" s="2061"/>
      <c r="Q292" s="2061"/>
      <c r="R292" s="2061"/>
      <c r="S292" s="2061"/>
      <c r="T292" s="2061"/>
      <c r="U292" s="2061"/>
      <c r="V292" s="2061"/>
      <c r="W292" s="2061"/>
      <c r="X292" s="2061"/>
      <c r="Y292" s="2061"/>
      <c r="Z292" s="2061"/>
      <c r="AA292" s="2061"/>
      <c r="AB292" s="2061"/>
      <c r="AC292" s="2061"/>
      <c r="AD292" s="2062"/>
      <c r="AE292" s="585"/>
      <c r="AF292" s="585"/>
      <c r="AG292" s="585"/>
      <c r="AH292" s="585"/>
      <c r="AI292" s="585"/>
      <c r="AJ292" s="584"/>
      <c r="AK292" s="584"/>
      <c r="AL292" s="584"/>
      <c r="AM292" s="584"/>
      <c r="AR292" s="682"/>
    </row>
    <row r="293" spans="1:49" ht="15" customHeight="1">
      <c r="A293" s="584"/>
      <c r="B293" s="585"/>
      <c r="C293" s="584"/>
      <c r="D293" s="585"/>
      <c r="E293" s="584"/>
      <c r="F293" s="2060"/>
      <c r="G293" s="2061"/>
      <c r="H293" s="2061"/>
      <c r="I293" s="2061"/>
      <c r="J293" s="2061"/>
      <c r="K293" s="2061"/>
      <c r="L293" s="2061"/>
      <c r="M293" s="2061"/>
      <c r="N293" s="2061"/>
      <c r="O293" s="2061"/>
      <c r="P293" s="2061"/>
      <c r="Q293" s="2061"/>
      <c r="R293" s="2061"/>
      <c r="S293" s="2061"/>
      <c r="T293" s="2061"/>
      <c r="U293" s="2061"/>
      <c r="V293" s="2061"/>
      <c r="W293" s="2061"/>
      <c r="X293" s="2061"/>
      <c r="Y293" s="2061"/>
      <c r="Z293" s="2061"/>
      <c r="AA293" s="2061"/>
      <c r="AB293" s="2061"/>
      <c r="AC293" s="2061"/>
      <c r="AD293" s="2062"/>
      <c r="AE293" s="585"/>
      <c r="AF293" s="585"/>
      <c r="AG293" s="585"/>
      <c r="AH293" s="585"/>
      <c r="AI293" s="585"/>
      <c r="AJ293" s="584"/>
      <c r="AK293" s="584"/>
      <c r="AL293" s="584"/>
      <c r="AM293" s="584"/>
      <c r="AR293" s="682"/>
    </row>
    <row r="294" spans="1:49">
      <c r="A294" s="584"/>
      <c r="B294" s="585"/>
      <c r="C294" s="584"/>
      <c r="D294" s="585"/>
      <c r="E294" s="584"/>
      <c r="F294" s="2060"/>
      <c r="G294" s="2061"/>
      <c r="H294" s="2061"/>
      <c r="I294" s="2061"/>
      <c r="J294" s="2061"/>
      <c r="K294" s="2061"/>
      <c r="L294" s="2061"/>
      <c r="M294" s="2061"/>
      <c r="N294" s="2061"/>
      <c r="O294" s="2061"/>
      <c r="P294" s="2061"/>
      <c r="Q294" s="2061"/>
      <c r="R294" s="2061"/>
      <c r="S294" s="2061"/>
      <c r="T294" s="2061"/>
      <c r="U294" s="2061"/>
      <c r="V294" s="2061"/>
      <c r="W294" s="2061"/>
      <c r="X294" s="2061"/>
      <c r="Y294" s="2061"/>
      <c r="Z294" s="2061"/>
      <c r="AA294" s="2061"/>
      <c r="AB294" s="2061"/>
      <c r="AC294" s="2061"/>
      <c r="AD294" s="2062"/>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82"/>
      <c r="G295" s="2083"/>
      <c r="H295" s="2083"/>
      <c r="I295" s="2083"/>
      <c r="J295" s="2083"/>
      <c r="K295" s="2083"/>
      <c r="L295" s="2083"/>
      <c r="M295" s="2083"/>
      <c r="N295" s="2083"/>
      <c r="O295" s="2083"/>
      <c r="P295" s="2083"/>
      <c r="Q295" s="2083"/>
      <c r="R295" s="2083"/>
      <c r="S295" s="2083"/>
      <c r="T295" s="2083"/>
      <c r="U295" s="2083"/>
      <c r="V295" s="2083"/>
      <c r="W295" s="2083"/>
      <c r="X295" s="2083"/>
      <c r="Y295" s="2083"/>
      <c r="Z295" s="2083"/>
      <c r="AA295" s="2083"/>
      <c r="AB295" s="2083"/>
      <c r="AC295" s="2083"/>
      <c r="AD295" s="208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1" t="s">
        <v>1500</v>
      </c>
      <c r="B299" s="1631"/>
      <c r="C299" s="1956" t="s">
        <v>599</v>
      </c>
      <c r="D299" s="1956"/>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33" t="s">
        <v>2337</v>
      </c>
      <c r="G300" s="1934"/>
      <c r="H300" s="1934"/>
      <c r="I300" s="1934"/>
      <c r="J300" s="1934"/>
      <c r="K300" s="1934"/>
      <c r="L300" s="1934"/>
      <c r="M300" s="1934"/>
      <c r="N300" s="1934"/>
      <c r="O300" s="1934"/>
      <c r="P300" s="1934"/>
      <c r="Q300" s="1934"/>
      <c r="R300" s="1934"/>
      <c r="S300" s="1934"/>
      <c r="T300" s="1934"/>
      <c r="U300" s="1934"/>
      <c r="V300" s="1934"/>
      <c r="W300" s="1934"/>
      <c r="X300" s="1934"/>
      <c r="Y300" s="1934"/>
      <c r="Z300" s="1934"/>
      <c r="AA300" s="1934"/>
      <c r="AB300" s="1934"/>
      <c r="AC300" s="1934"/>
      <c r="AD300" s="1935"/>
      <c r="AE300" s="585"/>
      <c r="AF300" s="585"/>
      <c r="AG300" s="573"/>
      <c r="AH300" s="585"/>
      <c r="AI300" s="585"/>
      <c r="AJ300" s="584"/>
      <c r="AK300" s="584"/>
      <c r="AL300" s="584"/>
      <c r="AM300" s="584"/>
      <c r="AN300" s="73"/>
      <c r="AO300" s="14"/>
      <c r="AP300" s="591" t="s">
        <v>1290</v>
      </c>
    </row>
    <row r="301" spans="1:49" hidden="1">
      <c r="F301" s="1933"/>
      <c r="G301" s="1934"/>
      <c r="H301" s="1934"/>
      <c r="I301" s="1934"/>
      <c r="J301" s="1934"/>
      <c r="K301" s="1934"/>
      <c r="L301" s="1934"/>
      <c r="M301" s="1934"/>
      <c r="N301" s="1934"/>
      <c r="O301" s="1934"/>
      <c r="P301" s="1934"/>
      <c r="Q301" s="1934"/>
      <c r="R301" s="1934"/>
      <c r="S301" s="1934"/>
      <c r="T301" s="1934"/>
      <c r="U301" s="1934"/>
      <c r="V301" s="1934"/>
      <c r="W301" s="1934"/>
      <c r="X301" s="1934"/>
      <c r="Y301" s="1934"/>
      <c r="Z301" s="1934"/>
      <c r="AA301" s="1934"/>
      <c r="AB301" s="1934"/>
      <c r="AC301" s="1934"/>
      <c r="AD301" s="1935"/>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63" t="s">
        <v>1290</v>
      </c>
      <c r="G305" s="2064"/>
      <c r="H305" s="2064"/>
      <c r="I305" s="2064"/>
      <c r="J305" s="2064"/>
      <c r="K305" s="2064"/>
      <c r="L305" s="2064"/>
      <c r="M305" s="2064"/>
      <c r="N305" s="2064"/>
      <c r="O305" s="2064"/>
      <c r="P305" s="2064"/>
      <c r="Q305" s="2064"/>
      <c r="R305" s="2064"/>
      <c r="S305" s="2064"/>
      <c r="T305" s="2064"/>
      <c r="U305" s="2064"/>
      <c r="V305" s="2064"/>
      <c r="W305" s="2064"/>
      <c r="X305" s="2064"/>
      <c r="Y305" s="2064"/>
      <c r="Z305" s="2064"/>
      <c r="AA305" s="2064"/>
      <c r="AB305" s="2064"/>
      <c r="AC305" s="2064"/>
      <c r="AD305" s="2065"/>
      <c r="AE305" s="676"/>
      <c r="AF305" s="676"/>
      <c r="AG305" s="676"/>
      <c r="AH305" s="676"/>
      <c r="AI305" s="676"/>
      <c r="AJ305" s="676"/>
      <c r="AK305" s="676"/>
      <c r="AL305" s="584"/>
      <c r="AM305" s="584"/>
      <c r="AN305" s="73"/>
      <c r="AO305" s="14"/>
      <c r="AP305" s="30"/>
    </row>
    <row r="306" spans="1:42" hidden="1">
      <c r="A306" s="584"/>
      <c r="B306" s="585"/>
      <c r="C306" s="764"/>
      <c r="D306" s="764"/>
      <c r="E306" s="581"/>
      <c r="F306" s="2063"/>
      <c r="G306" s="2064"/>
      <c r="H306" s="2064"/>
      <c r="I306" s="2064"/>
      <c r="J306" s="2064"/>
      <c r="K306" s="2064"/>
      <c r="L306" s="2064"/>
      <c r="M306" s="2064"/>
      <c r="N306" s="2064"/>
      <c r="O306" s="2064"/>
      <c r="P306" s="2064"/>
      <c r="Q306" s="2064"/>
      <c r="R306" s="2064"/>
      <c r="S306" s="2064"/>
      <c r="T306" s="2064"/>
      <c r="U306" s="2064"/>
      <c r="V306" s="2064"/>
      <c r="W306" s="2064"/>
      <c r="X306" s="2064"/>
      <c r="Y306" s="2064"/>
      <c r="Z306" s="2064"/>
      <c r="AA306" s="2064"/>
      <c r="AB306" s="2064"/>
      <c r="AC306" s="2064"/>
      <c r="AD306" s="2065"/>
      <c r="AE306" s="585"/>
      <c r="AF306" s="585"/>
      <c r="AG306" s="573"/>
      <c r="AH306" s="585"/>
      <c r="AI306" s="585"/>
      <c r="AJ306" s="584"/>
      <c r="AK306" s="584"/>
      <c r="AL306" s="584"/>
      <c r="AM306" s="584"/>
      <c r="AN306" s="73"/>
      <c r="AO306" s="14"/>
      <c r="AP306" s="30"/>
    </row>
    <row r="307" spans="1:42" hidden="1">
      <c r="A307" s="584"/>
      <c r="B307" s="585"/>
      <c r="C307" s="764"/>
      <c r="D307" s="764"/>
      <c r="E307" s="581"/>
      <c r="F307" s="2063"/>
      <c r="G307" s="2064"/>
      <c r="H307" s="2064"/>
      <c r="I307" s="2064"/>
      <c r="J307" s="2064"/>
      <c r="K307" s="2064"/>
      <c r="L307" s="2064"/>
      <c r="M307" s="2064"/>
      <c r="N307" s="2064"/>
      <c r="O307" s="2064"/>
      <c r="P307" s="2064"/>
      <c r="Q307" s="2064"/>
      <c r="R307" s="2064"/>
      <c r="S307" s="2064"/>
      <c r="T307" s="2064"/>
      <c r="U307" s="2064"/>
      <c r="V307" s="2064"/>
      <c r="W307" s="2064"/>
      <c r="X307" s="2064"/>
      <c r="Y307" s="2064"/>
      <c r="Z307" s="2064"/>
      <c r="AA307" s="2064"/>
      <c r="AB307" s="2064"/>
      <c r="AC307" s="2064"/>
      <c r="AD307" s="2065"/>
      <c r="AE307" s="585"/>
      <c r="AF307" s="585"/>
      <c r="AG307" s="573"/>
      <c r="AH307" s="585"/>
      <c r="AI307" s="585"/>
      <c r="AJ307" s="584"/>
      <c r="AK307" s="584"/>
      <c r="AL307" s="584"/>
      <c r="AM307" s="584"/>
      <c r="AN307" s="73"/>
      <c r="AO307" s="14"/>
      <c r="AP307" s="30"/>
    </row>
    <row r="308" spans="1:42" hidden="1">
      <c r="A308" s="584"/>
      <c r="B308" s="585"/>
      <c r="C308" s="764"/>
      <c r="D308" s="764"/>
      <c r="E308" s="581"/>
      <c r="F308" s="2063"/>
      <c r="G308" s="2064"/>
      <c r="H308" s="2064"/>
      <c r="I308" s="2064"/>
      <c r="J308" s="2064"/>
      <c r="K308" s="2064"/>
      <c r="L308" s="2064"/>
      <c r="M308" s="2064"/>
      <c r="N308" s="2064"/>
      <c r="O308" s="2064"/>
      <c r="P308" s="2064"/>
      <c r="Q308" s="2064"/>
      <c r="R308" s="2064"/>
      <c r="S308" s="2064"/>
      <c r="T308" s="2064"/>
      <c r="U308" s="2064"/>
      <c r="V308" s="2064"/>
      <c r="W308" s="2064"/>
      <c r="X308" s="2064"/>
      <c r="Y308" s="2064"/>
      <c r="Z308" s="2064"/>
      <c r="AA308" s="2064"/>
      <c r="AB308" s="2064"/>
      <c r="AC308" s="2064"/>
      <c r="AD308" s="2065"/>
      <c r="AE308" s="585"/>
      <c r="AF308" s="585"/>
      <c r="AG308" s="573"/>
      <c r="AH308" s="585"/>
      <c r="AI308" s="585"/>
      <c r="AJ308" s="584"/>
      <c r="AK308" s="584"/>
      <c r="AL308" s="584"/>
      <c r="AM308" s="584"/>
      <c r="AN308" s="73"/>
      <c r="AO308" s="14"/>
      <c r="AP308" s="30"/>
    </row>
    <row r="309" spans="1:42" hidden="1">
      <c r="A309" s="584"/>
      <c r="B309" s="585"/>
      <c r="C309" s="764"/>
      <c r="D309" s="764"/>
      <c r="E309" s="581"/>
      <c r="F309" s="2066"/>
      <c r="G309" s="2067"/>
      <c r="H309" s="2067"/>
      <c r="I309" s="2067"/>
      <c r="J309" s="2067"/>
      <c r="K309" s="2067"/>
      <c r="L309" s="2067"/>
      <c r="M309" s="2067"/>
      <c r="N309" s="2067"/>
      <c r="O309" s="2067"/>
      <c r="P309" s="2067"/>
      <c r="Q309" s="2067"/>
      <c r="R309" s="2067"/>
      <c r="S309" s="2067"/>
      <c r="T309" s="2067"/>
      <c r="U309" s="2067"/>
      <c r="V309" s="2067"/>
      <c r="W309" s="2067"/>
      <c r="X309" s="2067"/>
      <c r="Y309" s="2067"/>
      <c r="Z309" s="2067"/>
      <c r="AA309" s="2067"/>
      <c r="AB309" s="2067"/>
      <c r="AC309" s="2067"/>
      <c r="AD309" s="206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69" t="s">
        <v>1290</v>
      </c>
      <c r="J313" s="2069"/>
      <c r="K313" s="2069"/>
      <c r="L313" s="2069"/>
      <c r="M313" s="2069"/>
      <c r="N313" s="2069"/>
      <c r="O313" s="2069"/>
      <c r="P313" s="2069"/>
      <c r="Q313" s="2069"/>
      <c r="R313" s="2069"/>
      <c r="S313" s="2069"/>
      <c r="T313" s="2069"/>
      <c r="U313" s="2069"/>
      <c r="V313" s="2069"/>
      <c r="W313" s="2069"/>
      <c r="X313" s="2069"/>
      <c r="Y313" s="2069"/>
      <c r="Z313" s="2069"/>
      <c r="AA313" s="2069"/>
      <c r="AB313" s="2069"/>
      <c r="AC313" s="2069"/>
      <c r="AD313" s="2070"/>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69"/>
      <c r="J314" s="2069"/>
      <c r="K314" s="2069"/>
      <c r="L314" s="2069"/>
      <c r="M314" s="2069"/>
      <c r="N314" s="2069"/>
      <c r="O314" s="2069"/>
      <c r="P314" s="2069"/>
      <c r="Q314" s="2069"/>
      <c r="R314" s="2069"/>
      <c r="S314" s="2069"/>
      <c r="T314" s="2069"/>
      <c r="U314" s="2069"/>
      <c r="V314" s="2069"/>
      <c r="W314" s="2069"/>
      <c r="X314" s="2069"/>
      <c r="Y314" s="2069"/>
      <c r="Z314" s="2069"/>
      <c r="AA314" s="2069"/>
      <c r="AB314" s="2069"/>
      <c r="AC314" s="2069"/>
      <c r="AD314" s="2070"/>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69"/>
      <c r="J315" s="2069"/>
      <c r="K315" s="2069"/>
      <c r="L315" s="2069"/>
      <c r="M315" s="2069"/>
      <c r="N315" s="2069"/>
      <c r="O315" s="2069"/>
      <c r="P315" s="2069"/>
      <c r="Q315" s="2069"/>
      <c r="R315" s="2069"/>
      <c r="S315" s="2069"/>
      <c r="T315" s="2069"/>
      <c r="U315" s="2069"/>
      <c r="V315" s="2069"/>
      <c r="W315" s="2069"/>
      <c r="X315" s="2069"/>
      <c r="Y315" s="2069"/>
      <c r="Z315" s="2069"/>
      <c r="AA315" s="2069"/>
      <c r="AB315" s="2069"/>
      <c r="AC315" s="2069"/>
      <c r="AD315" s="2070"/>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71"/>
      <c r="J316" s="2071"/>
      <c r="K316" s="2071"/>
      <c r="L316" s="2071"/>
      <c r="M316" s="2071"/>
      <c r="N316" s="2071"/>
      <c r="O316" s="2071"/>
      <c r="P316" s="2071"/>
      <c r="Q316" s="2071"/>
      <c r="R316" s="2071"/>
      <c r="S316" s="2071"/>
      <c r="T316" s="2071"/>
      <c r="U316" s="2071"/>
      <c r="V316" s="2071"/>
      <c r="W316" s="2071"/>
      <c r="X316" s="2071"/>
      <c r="Y316" s="2071"/>
      <c r="Z316" s="2071"/>
      <c r="AA316" s="2071"/>
      <c r="AB316" s="2071"/>
      <c r="AC316" s="2071"/>
      <c r="AD316" s="2072"/>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69" t="s">
        <v>1290</v>
      </c>
      <c r="J318" s="2069"/>
      <c r="K318" s="2069"/>
      <c r="L318" s="2069"/>
      <c r="M318" s="2069"/>
      <c r="N318" s="2069"/>
      <c r="O318" s="2069"/>
      <c r="P318" s="2069"/>
      <c r="Q318" s="2069"/>
      <c r="R318" s="2069"/>
      <c r="S318" s="2069"/>
      <c r="T318" s="2069"/>
      <c r="U318" s="2069"/>
      <c r="V318" s="2069"/>
      <c r="W318" s="2069"/>
      <c r="X318" s="2069"/>
      <c r="Y318" s="2069"/>
      <c r="Z318" s="2069"/>
      <c r="AA318" s="2069"/>
      <c r="AB318" s="2069"/>
      <c r="AC318" s="2069"/>
      <c r="AD318" s="207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69"/>
      <c r="J319" s="2069"/>
      <c r="K319" s="2069"/>
      <c r="L319" s="2069"/>
      <c r="M319" s="2069"/>
      <c r="N319" s="2069"/>
      <c r="O319" s="2069"/>
      <c r="P319" s="2069"/>
      <c r="Q319" s="2069"/>
      <c r="R319" s="2069"/>
      <c r="S319" s="2069"/>
      <c r="T319" s="2069"/>
      <c r="U319" s="2069"/>
      <c r="V319" s="2069"/>
      <c r="W319" s="2069"/>
      <c r="X319" s="2069"/>
      <c r="Y319" s="2069"/>
      <c r="Z319" s="2069"/>
      <c r="AA319" s="2069"/>
      <c r="AB319" s="2069"/>
      <c r="AC319" s="2069"/>
      <c r="AD319" s="2070"/>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71"/>
      <c r="J320" s="2071"/>
      <c r="K320" s="2071"/>
      <c r="L320" s="2071"/>
      <c r="M320" s="2071"/>
      <c r="N320" s="2071"/>
      <c r="O320" s="2071"/>
      <c r="P320" s="2071"/>
      <c r="Q320" s="2071"/>
      <c r="R320" s="2071"/>
      <c r="S320" s="2071"/>
      <c r="T320" s="2071"/>
      <c r="U320" s="2071"/>
      <c r="V320" s="2071"/>
      <c r="W320" s="2071"/>
      <c r="X320" s="2071"/>
      <c r="Y320" s="2071"/>
      <c r="Z320" s="2071"/>
      <c r="AA320" s="2071"/>
      <c r="AB320" s="2071"/>
      <c r="AC320" s="2071"/>
      <c r="AD320" s="2072"/>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31" t="s">
        <v>1503</v>
      </c>
      <c r="B322" s="1631"/>
      <c r="C322" s="1956" t="s">
        <v>599</v>
      </c>
      <c r="D322" s="1956"/>
      <c r="E322" s="581"/>
      <c r="F322" s="2057" t="s">
        <v>2338</v>
      </c>
      <c r="G322" s="2058"/>
      <c r="H322" s="2058"/>
      <c r="I322" s="2058"/>
      <c r="J322" s="2058"/>
      <c r="K322" s="2058"/>
      <c r="L322" s="2058"/>
      <c r="M322" s="2058"/>
      <c r="N322" s="2058"/>
      <c r="O322" s="2058"/>
      <c r="P322" s="2058"/>
      <c r="Q322" s="2058"/>
      <c r="R322" s="2058"/>
      <c r="S322" s="2058"/>
      <c r="T322" s="2058"/>
      <c r="U322" s="2058"/>
      <c r="V322" s="2058"/>
      <c r="W322" s="2058"/>
      <c r="X322" s="2058"/>
      <c r="Y322" s="2058"/>
      <c r="Z322" s="2058"/>
      <c r="AA322" s="2058"/>
      <c r="AB322" s="2058"/>
      <c r="AC322" s="2058"/>
      <c r="AD322" s="2059"/>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60"/>
      <c r="G323" s="2061"/>
      <c r="H323" s="2061"/>
      <c r="I323" s="2061"/>
      <c r="J323" s="2061"/>
      <c r="K323" s="2061"/>
      <c r="L323" s="2061"/>
      <c r="M323" s="2061"/>
      <c r="N323" s="2061"/>
      <c r="O323" s="2061"/>
      <c r="P323" s="2061"/>
      <c r="Q323" s="2061"/>
      <c r="R323" s="2061"/>
      <c r="S323" s="2061"/>
      <c r="T323" s="2061"/>
      <c r="U323" s="2061"/>
      <c r="V323" s="2061"/>
      <c r="W323" s="2061"/>
      <c r="X323" s="2061"/>
      <c r="Y323" s="2061"/>
      <c r="Z323" s="2061"/>
      <c r="AA323" s="2061"/>
      <c r="AB323" s="2061"/>
      <c r="AC323" s="2061"/>
      <c r="AD323" s="2062"/>
      <c r="AE323" s="585"/>
      <c r="AF323" s="585"/>
      <c r="AG323" s="585"/>
      <c r="AH323" s="585"/>
      <c r="AI323" s="585"/>
      <c r="AJ323" s="584"/>
      <c r="AK323" s="584"/>
      <c r="AL323" s="584"/>
      <c r="AM323" s="584"/>
      <c r="AN323" s="73"/>
      <c r="AO323" s="14"/>
    </row>
    <row r="324" spans="1:44" ht="15" hidden="1" customHeight="1">
      <c r="A324" s="584"/>
      <c r="B324" s="585"/>
      <c r="C324" s="585"/>
      <c r="D324" s="585"/>
      <c r="E324" s="585"/>
      <c r="F324" s="2060"/>
      <c r="G324" s="2061"/>
      <c r="H324" s="2061"/>
      <c r="I324" s="2061"/>
      <c r="J324" s="2061"/>
      <c r="K324" s="2061"/>
      <c r="L324" s="2061"/>
      <c r="M324" s="2061"/>
      <c r="N324" s="2061"/>
      <c r="O324" s="2061"/>
      <c r="P324" s="2061"/>
      <c r="Q324" s="2061"/>
      <c r="R324" s="2061"/>
      <c r="S324" s="2061"/>
      <c r="T324" s="2061"/>
      <c r="U324" s="2061"/>
      <c r="V324" s="2061"/>
      <c r="W324" s="2061"/>
      <c r="X324" s="2061"/>
      <c r="Y324" s="2061"/>
      <c r="Z324" s="2061"/>
      <c r="AA324" s="2061"/>
      <c r="AB324" s="2061"/>
      <c r="AC324" s="2061"/>
      <c r="AD324" s="2062"/>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41">
        <f>IF(NOT(OR(Application!M355="Yes",Application!M356="Yes")),0,AP284)</f>
        <v>10</v>
      </c>
      <c r="AL327" s="1942"/>
      <c r="AM327" s="194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47" t="s">
        <v>1425</v>
      </c>
      <c r="AF330" s="1947"/>
      <c r="AG330" s="1947"/>
      <c r="AH330" s="1947"/>
      <c r="AI330" s="1947"/>
      <c r="AJ330" s="1947"/>
      <c r="AK330" s="194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51" t="s">
        <v>1565</v>
      </c>
      <c r="D332" s="1951"/>
      <c r="E332" s="1951"/>
      <c r="F332" s="1951"/>
      <c r="G332" s="1951"/>
      <c r="H332" s="1951"/>
      <c r="I332" s="1951"/>
      <c r="J332" s="1951"/>
      <c r="K332" s="1951"/>
      <c r="L332" s="1951"/>
      <c r="M332" s="1951"/>
      <c r="N332" s="1951"/>
      <c r="O332" s="1951"/>
      <c r="P332" s="1951"/>
      <c r="Q332" s="1951"/>
      <c r="R332" s="1951"/>
      <c r="S332" s="1951"/>
      <c r="T332" s="1951"/>
      <c r="U332" s="1951"/>
      <c r="V332" s="1951"/>
      <c r="W332" s="1951"/>
      <c r="X332" s="1951"/>
      <c r="Y332" s="1951"/>
      <c r="Z332" s="1951"/>
      <c r="AA332" s="1951"/>
      <c r="AB332" s="1951"/>
      <c r="AC332" s="1951"/>
      <c r="AD332" s="1951"/>
      <c r="AE332" s="1951"/>
      <c r="AF332" s="1951"/>
      <c r="AG332" s="1951"/>
      <c r="AH332" s="1951"/>
      <c r="AI332" s="1951"/>
      <c r="AJ332" s="1951"/>
      <c r="AK332" s="637"/>
      <c r="AL332" s="637"/>
      <c r="AM332" s="637"/>
      <c r="AN332" s="631"/>
    </row>
    <row r="333" spans="1:44" s="584" customFormat="1" ht="12.75" customHeight="1">
      <c r="A333" s="637"/>
      <c r="B333" s="645"/>
      <c r="C333" s="1951"/>
      <c r="D333" s="1951"/>
      <c r="E333" s="1951"/>
      <c r="F333" s="1951"/>
      <c r="G333" s="1951"/>
      <c r="H333" s="1951"/>
      <c r="I333" s="1951"/>
      <c r="J333" s="1951"/>
      <c r="K333" s="1951"/>
      <c r="L333" s="1951"/>
      <c r="M333" s="1951"/>
      <c r="N333" s="1951"/>
      <c r="O333" s="1951"/>
      <c r="P333" s="1951"/>
      <c r="Q333" s="1951"/>
      <c r="R333" s="1951"/>
      <c r="S333" s="1951"/>
      <c r="T333" s="1951"/>
      <c r="U333" s="1951"/>
      <c r="V333" s="1951"/>
      <c r="W333" s="1951"/>
      <c r="X333" s="1951"/>
      <c r="Y333" s="1951"/>
      <c r="Z333" s="1951"/>
      <c r="AA333" s="1951"/>
      <c r="AB333" s="1951"/>
      <c r="AC333" s="1951"/>
      <c r="AD333" s="1951"/>
      <c r="AE333" s="1951"/>
      <c r="AF333" s="1951"/>
      <c r="AG333" s="1951"/>
      <c r="AH333" s="1951"/>
      <c r="AI333" s="1951"/>
      <c r="AJ333" s="1951"/>
      <c r="AK333" s="637"/>
      <c r="AL333" s="637"/>
      <c r="AM333" s="637"/>
      <c r="AN333" s="631"/>
    </row>
    <row r="334" spans="1:44" s="584" customFormat="1" ht="12.75" customHeight="1">
      <c r="A334" s="637"/>
      <c r="B334" s="645"/>
      <c r="C334" s="1951"/>
      <c r="D334" s="1951"/>
      <c r="E334" s="1951"/>
      <c r="F334" s="1951"/>
      <c r="G334" s="1951"/>
      <c r="H334" s="1951"/>
      <c r="I334" s="1951"/>
      <c r="J334" s="1951"/>
      <c r="K334" s="1951"/>
      <c r="L334" s="1951"/>
      <c r="M334" s="1951"/>
      <c r="N334" s="1951"/>
      <c r="O334" s="1951"/>
      <c r="P334" s="1951"/>
      <c r="Q334" s="1951"/>
      <c r="R334" s="1951"/>
      <c r="S334" s="1951"/>
      <c r="T334" s="1951"/>
      <c r="U334" s="1951"/>
      <c r="V334" s="1951"/>
      <c r="W334" s="1951"/>
      <c r="X334" s="1951"/>
      <c r="Y334" s="1951"/>
      <c r="Z334" s="1951"/>
      <c r="AA334" s="1951"/>
      <c r="AB334" s="1951"/>
      <c r="AC334" s="1951"/>
      <c r="AD334" s="1951"/>
      <c r="AE334" s="1951"/>
      <c r="AF334" s="1951"/>
      <c r="AG334" s="1951"/>
      <c r="AH334" s="1951"/>
      <c r="AI334" s="1951"/>
      <c r="AJ334" s="1951"/>
      <c r="AK334" s="637"/>
      <c r="AL334" s="637"/>
      <c r="AM334" s="637"/>
      <c r="AN334" s="631"/>
      <c r="AQ334" s="604"/>
    </row>
    <row r="335" spans="1:44" s="584" customFormat="1" ht="12.75" customHeight="1">
      <c r="A335" s="637"/>
      <c r="B335" s="645"/>
      <c r="C335" s="1951"/>
      <c r="D335" s="1951"/>
      <c r="E335" s="1951"/>
      <c r="F335" s="1951"/>
      <c r="G335" s="1951"/>
      <c r="H335" s="1951"/>
      <c r="I335" s="1951"/>
      <c r="J335" s="1951"/>
      <c r="K335" s="1951"/>
      <c r="L335" s="1951"/>
      <c r="M335" s="1951"/>
      <c r="N335" s="1951"/>
      <c r="O335" s="1951"/>
      <c r="P335" s="1951"/>
      <c r="Q335" s="1951"/>
      <c r="R335" s="1951"/>
      <c r="S335" s="1951"/>
      <c r="T335" s="1951"/>
      <c r="U335" s="1951"/>
      <c r="V335" s="1951"/>
      <c r="W335" s="1951"/>
      <c r="X335" s="1951"/>
      <c r="Y335" s="1951"/>
      <c r="Z335" s="1951"/>
      <c r="AA335" s="1951"/>
      <c r="AB335" s="1951"/>
      <c r="AC335" s="1951"/>
      <c r="AD335" s="1951"/>
      <c r="AE335" s="1951"/>
      <c r="AF335" s="1951"/>
      <c r="AG335" s="1951"/>
      <c r="AH335" s="1951"/>
      <c r="AI335" s="1951"/>
      <c r="AJ335" s="1951"/>
      <c r="AK335" s="637"/>
      <c r="AL335" s="637"/>
      <c r="AM335" s="637"/>
      <c r="AN335" s="631"/>
      <c r="AQ335" s="604"/>
    </row>
    <row r="336" spans="1:44" s="584" customFormat="1" ht="12.45" customHeight="1">
      <c r="A336" s="637"/>
      <c r="B336" s="645"/>
      <c r="C336" s="1951"/>
      <c r="D336" s="1951"/>
      <c r="E336" s="1951"/>
      <c r="F336" s="1951"/>
      <c r="G336" s="1951"/>
      <c r="H336" s="1951"/>
      <c r="I336" s="1951"/>
      <c r="J336" s="1951"/>
      <c r="K336" s="1951"/>
      <c r="L336" s="1951"/>
      <c r="M336" s="1951"/>
      <c r="N336" s="1951"/>
      <c r="O336" s="1951"/>
      <c r="P336" s="1951"/>
      <c r="Q336" s="1951"/>
      <c r="R336" s="1951"/>
      <c r="S336" s="1951"/>
      <c r="T336" s="1951"/>
      <c r="U336" s="1951"/>
      <c r="V336" s="1951"/>
      <c r="W336" s="1951"/>
      <c r="X336" s="1951"/>
      <c r="Y336" s="1951"/>
      <c r="Z336" s="1951"/>
      <c r="AA336" s="1951"/>
      <c r="AB336" s="1951"/>
      <c r="AC336" s="1951"/>
      <c r="AD336" s="1951"/>
      <c r="AE336" s="1951"/>
      <c r="AF336" s="1951"/>
      <c r="AG336" s="1951"/>
      <c r="AH336" s="1951"/>
      <c r="AI336" s="1951"/>
      <c r="AJ336" s="1951"/>
      <c r="AK336" s="637"/>
      <c r="AL336" s="637"/>
      <c r="AM336" s="637"/>
      <c r="AN336" s="631"/>
      <c r="AQ336" s="604"/>
      <c r="AR336" s="604"/>
    </row>
    <row r="337" spans="1:46" s="584" customFormat="1" ht="45.75" customHeight="1">
      <c r="A337" s="637"/>
      <c r="B337" s="645"/>
      <c r="C337" s="1951" t="s">
        <v>2405</v>
      </c>
      <c r="D337" s="1951"/>
      <c r="E337" s="1951"/>
      <c r="F337" s="1951"/>
      <c r="G337" s="1951"/>
      <c r="H337" s="1951"/>
      <c r="I337" s="1951"/>
      <c r="J337" s="1951"/>
      <c r="K337" s="1951"/>
      <c r="L337" s="1951"/>
      <c r="M337" s="1951"/>
      <c r="N337" s="1951"/>
      <c r="O337" s="1951"/>
      <c r="P337" s="1951"/>
      <c r="Q337" s="1951"/>
      <c r="R337" s="1951"/>
      <c r="S337" s="1951"/>
      <c r="T337" s="1951"/>
      <c r="U337" s="1951"/>
      <c r="V337" s="1951"/>
      <c r="W337" s="1951"/>
      <c r="X337" s="1951"/>
      <c r="Y337" s="1951"/>
      <c r="Z337" s="1951"/>
      <c r="AA337" s="1951"/>
      <c r="AB337" s="1951"/>
      <c r="AC337" s="1951"/>
      <c r="AD337" s="1951"/>
      <c r="AE337" s="1951"/>
      <c r="AF337" s="1951"/>
      <c r="AG337" s="1951"/>
      <c r="AH337" s="1951"/>
      <c r="AI337" s="1951"/>
      <c r="AJ337" s="1951"/>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51" t="s">
        <v>2565</v>
      </c>
      <c r="D339" s="1951"/>
      <c r="E339" s="1951"/>
      <c r="F339" s="1951"/>
      <c r="G339" s="1951"/>
      <c r="H339" s="1951"/>
      <c r="I339" s="1951"/>
      <c r="J339" s="1951"/>
      <c r="K339" s="1951"/>
      <c r="L339" s="1951"/>
      <c r="M339" s="1951"/>
      <c r="N339" s="1951"/>
      <c r="O339" s="1951"/>
      <c r="P339" s="1951"/>
      <c r="Q339" s="1951"/>
      <c r="R339" s="1951"/>
      <c r="S339" s="1951"/>
      <c r="T339" s="1951"/>
      <c r="U339" s="1951"/>
      <c r="V339" s="1951"/>
      <c r="W339" s="1951"/>
      <c r="X339" s="1951"/>
      <c r="Y339" s="1951"/>
      <c r="Z339" s="1951"/>
      <c r="AA339" s="1951"/>
      <c r="AB339" s="1951"/>
      <c r="AC339" s="1951"/>
      <c r="AD339" s="1951"/>
      <c r="AE339" s="1951"/>
      <c r="AF339" s="1951"/>
      <c r="AG339" s="1951"/>
      <c r="AH339" s="1951"/>
      <c r="AI339" s="1951"/>
      <c r="AJ339" s="1951"/>
      <c r="AK339" s="637"/>
      <c r="AL339" s="637"/>
      <c r="AM339" s="637"/>
      <c r="AN339" s="631"/>
      <c r="AQ339" s="604"/>
      <c r="AR339" s="604"/>
    </row>
    <row r="340" spans="1:46" s="584" customFormat="1" ht="30" customHeight="1">
      <c r="A340" s="637"/>
      <c r="B340" s="645"/>
      <c r="C340" s="1951"/>
      <c r="D340" s="1951"/>
      <c r="E340" s="1951"/>
      <c r="F340" s="1951"/>
      <c r="G340" s="1951"/>
      <c r="H340" s="1951"/>
      <c r="I340" s="1951"/>
      <c r="J340" s="1951"/>
      <c r="K340" s="1951"/>
      <c r="L340" s="1951"/>
      <c r="M340" s="1951"/>
      <c r="N340" s="1951"/>
      <c r="O340" s="1951"/>
      <c r="P340" s="1951"/>
      <c r="Q340" s="1951"/>
      <c r="R340" s="1951"/>
      <c r="S340" s="1951"/>
      <c r="T340" s="1951"/>
      <c r="U340" s="1951"/>
      <c r="V340" s="1951"/>
      <c r="W340" s="1951"/>
      <c r="X340" s="1951"/>
      <c r="Y340" s="1951"/>
      <c r="Z340" s="1951"/>
      <c r="AA340" s="1951"/>
      <c r="AB340" s="1951"/>
      <c r="AC340" s="1951"/>
      <c r="AD340" s="1951"/>
      <c r="AE340" s="1951"/>
      <c r="AF340" s="1951"/>
      <c r="AG340" s="1951"/>
      <c r="AH340" s="1951"/>
      <c r="AI340" s="1951"/>
      <c r="AJ340" s="1951"/>
      <c r="AK340" s="637"/>
      <c r="AL340" s="637"/>
      <c r="AM340" s="637"/>
      <c r="AN340" s="631"/>
      <c r="AR340" s="604"/>
    </row>
    <row r="341" spans="1:46" s="584" customFormat="1" ht="12.75" customHeight="1">
      <c r="A341" s="637"/>
      <c r="B341" s="645"/>
      <c r="C341" s="1951"/>
      <c r="D341" s="1951"/>
      <c r="E341" s="1951"/>
      <c r="F341" s="1951"/>
      <c r="G341" s="1951"/>
      <c r="H341" s="1951"/>
      <c r="I341" s="1951"/>
      <c r="J341" s="1951"/>
      <c r="K341" s="1951"/>
      <c r="L341" s="1951"/>
      <c r="M341" s="1951"/>
      <c r="N341" s="1951"/>
      <c r="O341" s="1951"/>
      <c r="P341" s="1951"/>
      <c r="Q341" s="1951"/>
      <c r="R341" s="1951"/>
      <c r="S341" s="1951"/>
      <c r="T341" s="1951"/>
      <c r="U341" s="1951"/>
      <c r="V341" s="1951"/>
      <c r="W341" s="1951"/>
      <c r="X341" s="1951"/>
      <c r="Y341" s="1951"/>
      <c r="Z341" s="1951"/>
      <c r="AA341" s="1951"/>
      <c r="AB341" s="1951"/>
      <c r="AC341" s="1951"/>
      <c r="AD341" s="1951"/>
      <c r="AE341" s="1951"/>
      <c r="AF341" s="1951"/>
      <c r="AG341" s="1951"/>
      <c r="AH341" s="1951"/>
      <c r="AI341" s="1951"/>
      <c r="AJ341" s="1951"/>
      <c r="AK341" s="637"/>
      <c r="AL341" s="637"/>
      <c r="AM341" s="637"/>
      <c r="AN341" s="631"/>
      <c r="AR341" s="604"/>
    </row>
    <row r="342" spans="1:46" s="584" customFormat="1" ht="12.75" customHeight="1">
      <c r="A342" s="637"/>
      <c r="B342" s="645"/>
      <c r="C342" s="1951" t="s">
        <v>1566</v>
      </c>
      <c r="D342" s="1951"/>
      <c r="E342" s="1951"/>
      <c r="F342" s="1951"/>
      <c r="G342" s="1951"/>
      <c r="H342" s="1951"/>
      <c r="I342" s="1951"/>
      <c r="J342" s="1951"/>
      <c r="K342" s="1951"/>
      <c r="L342" s="1951"/>
      <c r="M342" s="1951"/>
      <c r="N342" s="1951"/>
      <c r="O342" s="1951"/>
      <c r="P342" s="1951"/>
      <c r="Q342" s="1951"/>
      <c r="R342" s="1951"/>
      <c r="S342" s="1951"/>
      <c r="T342" s="1951"/>
      <c r="U342" s="1951"/>
      <c r="V342" s="1951"/>
      <c r="W342" s="1951"/>
      <c r="X342" s="1951"/>
      <c r="Y342" s="1951"/>
      <c r="Z342" s="1951"/>
      <c r="AA342" s="1951"/>
      <c r="AB342" s="1951"/>
      <c r="AC342" s="1951"/>
      <c r="AD342" s="1951"/>
      <c r="AE342" s="1951"/>
      <c r="AF342" s="1951"/>
      <c r="AG342" s="1951"/>
      <c r="AH342" s="1951"/>
      <c r="AI342" s="1951"/>
      <c r="AJ342" s="1951"/>
      <c r="AK342" s="637"/>
      <c r="AL342" s="637"/>
      <c r="AM342" s="637"/>
      <c r="AN342" s="631"/>
      <c r="AQ342" s="604"/>
      <c r="AR342" s="604"/>
    </row>
    <row r="343" spans="1:46" s="584" customFormat="1" ht="12.75" customHeight="1">
      <c r="A343" s="637"/>
      <c r="B343" s="645"/>
      <c r="C343" s="1951"/>
      <c r="D343" s="1951"/>
      <c r="E343" s="1951"/>
      <c r="F343" s="1951"/>
      <c r="G343" s="1951"/>
      <c r="H343" s="1951"/>
      <c r="I343" s="1951"/>
      <c r="J343" s="1951"/>
      <c r="K343" s="1951"/>
      <c r="L343" s="1951"/>
      <c r="M343" s="1951"/>
      <c r="N343" s="1951"/>
      <c r="O343" s="1951"/>
      <c r="P343" s="1951"/>
      <c r="Q343" s="1951"/>
      <c r="R343" s="1951"/>
      <c r="S343" s="1951"/>
      <c r="T343" s="1951"/>
      <c r="U343" s="1951"/>
      <c r="V343" s="1951"/>
      <c r="W343" s="1951"/>
      <c r="X343" s="1951"/>
      <c r="Y343" s="1951"/>
      <c r="Z343" s="1951"/>
      <c r="AA343" s="1951"/>
      <c r="AB343" s="1951"/>
      <c r="AC343" s="1951"/>
      <c r="AD343" s="1951"/>
      <c r="AE343" s="1951"/>
      <c r="AF343" s="1951"/>
      <c r="AG343" s="1951"/>
      <c r="AH343" s="1951"/>
      <c r="AI343" s="1951"/>
      <c r="AJ343" s="1951"/>
      <c r="AK343" s="637"/>
      <c r="AL343" s="637"/>
      <c r="AM343" s="637"/>
      <c r="AN343" s="631"/>
      <c r="AQ343" s="604"/>
      <c r="AR343" s="604"/>
    </row>
    <row r="344" spans="1:46" s="584" customFormat="1" ht="13.2" customHeight="1">
      <c r="A344" s="637"/>
      <c r="B344" s="645"/>
      <c r="C344" s="1951"/>
      <c r="D344" s="1951"/>
      <c r="E344" s="1951"/>
      <c r="F344" s="1951"/>
      <c r="G344" s="1951"/>
      <c r="H344" s="1951"/>
      <c r="I344" s="1951"/>
      <c r="J344" s="1951"/>
      <c r="K344" s="1951"/>
      <c r="L344" s="1951"/>
      <c r="M344" s="1951"/>
      <c r="N344" s="1951"/>
      <c r="O344" s="1951"/>
      <c r="P344" s="1951"/>
      <c r="Q344" s="1951"/>
      <c r="R344" s="1951"/>
      <c r="S344" s="1951"/>
      <c r="T344" s="1951"/>
      <c r="U344" s="1951"/>
      <c r="V344" s="1951"/>
      <c r="W344" s="1951"/>
      <c r="X344" s="1951"/>
      <c r="Y344" s="1951"/>
      <c r="Z344" s="1951"/>
      <c r="AA344" s="1951"/>
      <c r="AB344" s="1951"/>
      <c r="AC344" s="1951"/>
      <c r="AD344" s="1951"/>
      <c r="AE344" s="1951"/>
      <c r="AF344" s="1951"/>
      <c r="AG344" s="1951"/>
      <c r="AH344" s="1951"/>
      <c r="AI344" s="1951"/>
      <c r="AJ344" s="1951"/>
      <c r="AK344" s="637"/>
      <c r="AL344" s="637"/>
      <c r="AM344" s="637"/>
      <c r="AN344" s="631"/>
      <c r="AQ344" s="604"/>
      <c r="AR344" s="604"/>
    </row>
    <row r="345" spans="1:46" s="584" customFormat="1" ht="12.75" customHeight="1">
      <c r="A345" s="637"/>
      <c r="B345" s="645"/>
      <c r="C345" s="1951"/>
      <c r="D345" s="1951"/>
      <c r="E345" s="1951"/>
      <c r="F345" s="1951"/>
      <c r="G345" s="1951"/>
      <c r="H345" s="1951"/>
      <c r="I345" s="1951"/>
      <c r="J345" s="1951"/>
      <c r="K345" s="1951"/>
      <c r="L345" s="1951"/>
      <c r="M345" s="1951"/>
      <c r="N345" s="1951"/>
      <c r="O345" s="1951"/>
      <c r="P345" s="1951"/>
      <c r="Q345" s="1951"/>
      <c r="R345" s="1951"/>
      <c r="S345" s="1951"/>
      <c r="T345" s="1951"/>
      <c r="U345" s="1951"/>
      <c r="V345" s="1951"/>
      <c r="W345" s="1951"/>
      <c r="X345" s="1951"/>
      <c r="Y345" s="1951"/>
      <c r="Z345" s="1951"/>
      <c r="AA345" s="1951"/>
      <c r="AB345" s="1951"/>
      <c r="AC345" s="1951"/>
      <c r="AD345" s="1951"/>
      <c r="AE345" s="1951"/>
      <c r="AF345" s="1951"/>
      <c r="AG345" s="1951"/>
      <c r="AH345" s="1951"/>
      <c r="AI345" s="1951"/>
      <c r="AJ345" s="1951"/>
      <c r="AK345" s="637"/>
      <c r="AL345" s="637"/>
      <c r="AM345" s="637"/>
      <c r="AN345" s="631"/>
      <c r="AO345" s="728"/>
      <c r="AP345" s="728"/>
      <c r="AQ345" s="604"/>
    </row>
    <row r="346" spans="1:46" s="584" customFormat="1" ht="11.7" customHeight="1">
      <c r="A346" s="637"/>
      <c r="B346" s="645"/>
      <c r="C346" s="1951"/>
      <c r="D346" s="1951"/>
      <c r="E346" s="1951"/>
      <c r="F346" s="1951"/>
      <c r="G346" s="1951"/>
      <c r="H346" s="1951"/>
      <c r="I346" s="1951"/>
      <c r="J346" s="1951"/>
      <c r="K346" s="1951"/>
      <c r="L346" s="1951"/>
      <c r="M346" s="1951"/>
      <c r="N346" s="1951"/>
      <c r="O346" s="1951"/>
      <c r="P346" s="1951"/>
      <c r="Q346" s="1951"/>
      <c r="R346" s="1951"/>
      <c r="S346" s="1951"/>
      <c r="T346" s="1951"/>
      <c r="U346" s="1951"/>
      <c r="V346" s="1951"/>
      <c r="W346" s="1951"/>
      <c r="X346" s="1951"/>
      <c r="Y346" s="1951"/>
      <c r="Z346" s="1951"/>
      <c r="AA346" s="1951"/>
      <c r="AB346" s="1951"/>
      <c r="AC346" s="1951"/>
      <c r="AD346" s="1951"/>
      <c r="AE346" s="1951"/>
      <c r="AF346" s="1951"/>
      <c r="AG346" s="1951"/>
      <c r="AH346" s="1951"/>
      <c r="AI346" s="1951"/>
      <c r="AJ346" s="1951"/>
      <c r="AK346" s="637"/>
      <c r="AL346" s="637"/>
      <c r="AM346" s="637"/>
      <c r="AN346" s="631"/>
      <c r="AO346" s="729" t="s">
        <v>112</v>
      </c>
      <c r="AP346" s="730">
        <f>IF(C370="Yes",5,0)</f>
        <v>0</v>
      </c>
      <c r="AS346" s="573" t="s">
        <v>1567</v>
      </c>
    </row>
    <row r="347" spans="1:46" s="584" customFormat="1" ht="12.75" customHeight="1">
      <c r="A347" s="637"/>
      <c r="B347" s="645"/>
      <c r="C347" s="1951"/>
      <c r="D347" s="1951"/>
      <c r="E347" s="1951"/>
      <c r="F347" s="1951"/>
      <c r="G347" s="1951"/>
      <c r="H347" s="1951"/>
      <c r="I347" s="1951"/>
      <c r="J347" s="1951"/>
      <c r="K347" s="1951"/>
      <c r="L347" s="1951"/>
      <c r="M347" s="1951"/>
      <c r="N347" s="1951"/>
      <c r="O347" s="1951"/>
      <c r="P347" s="1951"/>
      <c r="Q347" s="1951"/>
      <c r="R347" s="1951"/>
      <c r="S347" s="1951"/>
      <c r="T347" s="1951"/>
      <c r="U347" s="1951"/>
      <c r="V347" s="1951"/>
      <c r="W347" s="1951"/>
      <c r="X347" s="1951"/>
      <c r="Y347" s="1951"/>
      <c r="Z347" s="1951"/>
      <c r="AA347" s="1951"/>
      <c r="AB347" s="1951"/>
      <c r="AC347" s="1951"/>
      <c r="AD347" s="1951"/>
      <c r="AE347" s="1951"/>
      <c r="AF347" s="1951"/>
      <c r="AG347" s="1951"/>
      <c r="AH347" s="1951"/>
      <c r="AI347" s="1951"/>
      <c r="AJ347" s="1951"/>
      <c r="AK347" s="637"/>
      <c r="AL347" s="637"/>
      <c r="AM347" s="637"/>
      <c r="AN347" s="631"/>
      <c r="AO347" s="729" t="s">
        <v>113</v>
      </c>
      <c r="AP347" s="730">
        <f>IF(C378="Yes",5,0)</f>
        <v>0</v>
      </c>
      <c r="AS347" s="1916">
        <f>IF(Application!D211="Non-Targeted",(SUM(AQ355+AQ364)),AS351)</f>
        <v>12</v>
      </c>
      <c r="AT347" s="1916"/>
    </row>
    <row r="348" spans="1:46" s="584" customFormat="1" ht="12.75" customHeight="1">
      <c r="A348" s="637"/>
      <c r="B348" s="645"/>
      <c r="C348" s="1951"/>
      <c r="D348" s="1951"/>
      <c r="E348" s="1951"/>
      <c r="F348" s="1951"/>
      <c r="G348" s="1951"/>
      <c r="H348" s="1951"/>
      <c r="I348" s="1951"/>
      <c r="J348" s="1951"/>
      <c r="K348" s="1951"/>
      <c r="L348" s="1951"/>
      <c r="M348" s="1951"/>
      <c r="N348" s="1951"/>
      <c r="O348" s="1951"/>
      <c r="P348" s="1951"/>
      <c r="Q348" s="1951"/>
      <c r="R348" s="1951"/>
      <c r="S348" s="1951"/>
      <c r="T348" s="1951"/>
      <c r="U348" s="1951"/>
      <c r="V348" s="1951"/>
      <c r="W348" s="1951"/>
      <c r="X348" s="1951"/>
      <c r="Y348" s="1951"/>
      <c r="Z348" s="1951"/>
      <c r="AA348" s="1951"/>
      <c r="AB348" s="1951"/>
      <c r="AC348" s="1951"/>
      <c r="AD348" s="1951"/>
      <c r="AE348" s="1951"/>
      <c r="AF348" s="1951"/>
      <c r="AG348" s="1951"/>
      <c r="AH348" s="1951"/>
      <c r="AI348" s="1951"/>
      <c r="AJ348" s="1951"/>
      <c r="AK348" s="637"/>
      <c r="AL348" s="637"/>
      <c r="AM348" s="637"/>
      <c r="AN348" s="631"/>
      <c r="AO348" s="729" t="s">
        <v>119</v>
      </c>
      <c r="AP348" s="730">
        <f>IF(C386="Yes",7,0)</f>
        <v>7</v>
      </c>
      <c r="AS348" s="573" t="s">
        <v>1568</v>
      </c>
    </row>
    <row r="349" spans="1:46" s="584" customFormat="1" ht="12.75" customHeight="1">
      <c r="A349" s="637"/>
      <c r="B349" s="645"/>
      <c r="C349" s="1951"/>
      <c r="D349" s="1951"/>
      <c r="E349" s="1951"/>
      <c r="F349" s="1951"/>
      <c r="G349" s="1951"/>
      <c r="H349" s="1951"/>
      <c r="I349" s="1951"/>
      <c r="J349" s="1951"/>
      <c r="K349" s="1951"/>
      <c r="L349" s="1951"/>
      <c r="M349" s="1951"/>
      <c r="N349" s="1951"/>
      <c r="O349" s="1951"/>
      <c r="P349" s="1951"/>
      <c r="Q349" s="1951"/>
      <c r="R349" s="1951"/>
      <c r="S349" s="1951"/>
      <c r="T349" s="1951"/>
      <c r="U349" s="1951"/>
      <c r="V349" s="1951"/>
      <c r="W349" s="1951"/>
      <c r="X349" s="1951"/>
      <c r="Y349" s="1951"/>
      <c r="Z349" s="1951"/>
      <c r="AA349" s="1951"/>
      <c r="AB349" s="1951"/>
      <c r="AC349" s="1951"/>
      <c r="AD349" s="1951"/>
      <c r="AE349" s="1951"/>
      <c r="AF349" s="1951"/>
      <c r="AG349" s="1951"/>
      <c r="AH349" s="1951"/>
      <c r="AI349" s="1951"/>
      <c r="AJ349" s="1951"/>
      <c r="AK349" s="637"/>
      <c r="AL349" s="637"/>
      <c r="AM349" s="637"/>
      <c r="AN349" s="631"/>
      <c r="AO349" s="631"/>
      <c r="AP349" s="730">
        <f>IF(C388="Yes",5,0)</f>
        <v>0</v>
      </c>
      <c r="AS349" s="1916">
        <f>IF(AND(AQ355&gt;0,AQ364&gt;0),(AQ355+AQ364)/2,0)</f>
        <v>0</v>
      </c>
      <c r="AT349" s="1916"/>
    </row>
    <row r="350" spans="1:46" s="584" customFormat="1" ht="12.75" customHeight="1">
      <c r="A350" s="637"/>
      <c r="B350" s="645"/>
      <c r="C350" s="1951"/>
      <c r="D350" s="1951"/>
      <c r="E350" s="1951"/>
      <c r="F350" s="1951"/>
      <c r="G350" s="1951"/>
      <c r="H350" s="1951"/>
      <c r="I350" s="1951"/>
      <c r="J350" s="1951"/>
      <c r="K350" s="1951"/>
      <c r="L350" s="1951"/>
      <c r="M350" s="1951"/>
      <c r="N350" s="1951"/>
      <c r="O350" s="1951"/>
      <c r="P350" s="1951"/>
      <c r="Q350" s="1951"/>
      <c r="R350" s="1951"/>
      <c r="S350" s="1951"/>
      <c r="T350" s="1951"/>
      <c r="U350" s="1951"/>
      <c r="V350" s="1951"/>
      <c r="W350" s="1951"/>
      <c r="X350" s="1951"/>
      <c r="Y350" s="1951"/>
      <c r="Z350" s="1951"/>
      <c r="AA350" s="1951"/>
      <c r="AB350" s="1951"/>
      <c r="AC350" s="1951"/>
      <c r="AD350" s="1951"/>
      <c r="AE350" s="1951"/>
      <c r="AF350" s="1951"/>
      <c r="AG350" s="1951"/>
      <c r="AH350" s="1951"/>
      <c r="AI350" s="1951"/>
      <c r="AJ350" s="1951"/>
      <c r="AK350" s="637"/>
      <c r="AL350" s="637"/>
      <c r="AM350" s="637"/>
      <c r="AN350" s="631"/>
      <c r="AO350" s="729" t="s">
        <v>589</v>
      </c>
      <c r="AP350" s="730">
        <f>IF(C396="Yes",5,0)</f>
        <v>5</v>
      </c>
      <c r="AS350" s="573" t="s">
        <v>2070</v>
      </c>
    </row>
    <row r="351" spans="1:46" s="584" customFormat="1" ht="12.75" customHeight="1">
      <c r="A351" s="637"/>
      <c r="B351" s="645"/>
      <c r="C351" s="2045" t="s">
        <v>1569</v>
      </c>
      <c r="D351" s="2045"/>
      <c r="E351" s="2045"/>
      <c r="F351" s="2045"/>
      <c r="G351" s="2045"/>
      <c r="H351" s="2045"/>
      <c r="I351" s="2045"/>
      <c r="J351" s="2045"/>
      <c r="K351" s="2045"/>
      <c r="L351" s="2045"/>
      <c r="M351" s="2045"/>
      <c r="N351" s="2045"/>
      <c r="O351" s="2045"/>
      <c r="P351" s="2045"/>
      <c r="Q351" s="2045"/>
      <c r="R351" s="2045"/>
      <c r="S351" s="2045"/>
      <c r="T351" s="2045"/>
      <c r="U351" s="2045"/>
      <c r="V351" s="2045"/>
      <c r="W351" s="2045"/>
      <c r="X351" s="2045"/>
      <c r="Y351" s="2045"/>
      <c r="Z351" s="2045"/>
      <c r="AA351" s="2045"/>
      <c r="AB351" s="2045"/>
      <c r="AC351" s="2045"/>
      <c r="AD351" s="2045"/>
      <c r="AE351" s="2045"/>
      <c r="AF351" s="2045"/>
      <c r="AG351" s="2045"/>
      <c r="AH351" s="2045"/>
      <c r="AI351" s="2045"/>
      <c r="AJ351" s="2045"/>
      <c r="AK351" s="637"/>
      <c r="AL351" s="637"/>
      <c r="AM351" s="637"/>
      <c r="AN351" s="631"/>
      <c r="AO351" s="631"/>
      <c r="AP351" s="730">
        <f>IF(C398="Yes",3,0)</f>
        <v>0</v>
      </c>
      <c r="AS351" s="1916">
        <f>IF(AQ355=0,AQ364,AQ355)</f>
        <v>12</v>
      </c>
      <c r="AT351" s="1916"/>
    </row>
    <row r="352" spans="1:46" s="584" customFormat="1" ht="12.75" customHeight="1">
      <c r="A352" s="637"/>
      <c r="B352" s="645"/>
      <c r="C352" s="2045"/>
      <c r="D352" s="2045"/>
      <c r="E352" s="2045"/>
      <c r="F352" s="2045"/>
      <c r="G352" s="2045"/>
      <c r="H352" s="2045"/>
      <c r="I352" s="2045"/>
      <c r="J352" s="2045"/>
      <c r="K352" s="2045"/>
      <c r="L352" s="2045"/>
      <c r="M352" s="2045"/>
      <c r="N352" s="2045"/>
      <c r="O352" s="2045"/>
      <c r="P352" s="2045"/>
      <c r="Q352" s="2045"/>
      <c r="R352" s="2045"/>
      <c r="S352" s="2045"/>
      <c r="T352" s="2045"/>
      <c r="U352" s="2045"/>
      <c r="V352" s="2045"/>
      <c r="W352" s="2045"/>
      <c r="X352" s="2045"/>
      <c r="Y352" s="2045"/>
      <c r="Z352" s="2045"/>
      <c r="AA352" s="2045"/>
      <c r="AB352" s="2045"/>
      <c r="AC352" s="2045"/>
      <c r="AD352" s="2045"/>
      <c r="AE352" s="2045"/>
      <c r="AF352" s="2045"/>
      <c r="AG352" s="2045"/>
      <c r="AH352" s="2045"/>
      <c r="AI352" s="2045"/>
      <c r="AJ352" s="2045"/>
      <c r="AK352" s="637"/>
      <c r="AL352" s="637"/>
      <c r="AM352" s="637"/>
      <c r="AN352" s="631"/>
      <c r="AO352" s="729" t="s">
        <v>772</v>
      </c>
      <c r="AP352" s="730">
        <f>IF(C401="Yes",5,0)</f>
        <v>0</v>
      </c>
    </row>
    <row r="353" spans="1:81" s="584" customFormat="1" ht="12.75" customHeight="1">
      <c r="A353" s="637"/>
      <c r="B353" s="645"/>
      <c r="C353" s="2045"/>
      <c r="D353" s="2045"/>
      <c r="E353" s="2045"/>
      <c r="F353" s="2045"/>
      <c r="G353" s="2045"/>
      <c r="H353" s="2045"/>
      <c r="I353" s="2045"/>
      <c r="J353" s="2045"/>
      <c r="K353" s="2045"/>
      <c r="L353" s="2045"/>
      <c r="M353" s="2045"/>
      <c r="N353" s="2045"/>
      <c r="O353" s="2045"/>
      <c r="P353" s="2045"/>
      <c r="Q353" s="2045"/>
      <c r="R353" s="2045"/>
      <c r="S353" s="2045"/>
      <c r="T353" s="2045"/>
      <c r="U353" s="2045"/>
      <c r="V353" s="2045"/>
      <c r="W353" s="2045"/>
      <c r="X353" s="2045"/>
      <c r="Y353" s="2045"/>
      <c r="Z353" s="2045"/>
      <c r="AA353" s="2045"/>
      <c r="AB353" s="2045"/>
      <c r="AC353" s="2045"/>
      <c r="AD353" s="2045"/>
      <c r="AE353" s="2045"/>
      <c r="AF353" s="2045"/>
      <c r="AG353" s="2045"/>
      <c r="AH353" s="2045"/>
      <c r="AI353" s="2045"/>
      <c r="AJ353" s="2045"/>
      <c r="AK353" s="637"/>
      <c r="AL353" s="637"/>
      <c r="AM353" s="637"/>
      <c r="AN353" s="631"/>
      <c r="AO353" s="729" t="s">
        <v>592</v>
      </c>
      <c r="AP353" s="730">
        <f>IF(C410="Yes",5,0)</f>
        <v>0</v>
      </c>
    </row>
    <row r="354" spans="1:81" s="584" customFormat="1" ht="11.7" customHeight="1">
      <c r="A354" s="637"/>
      <c r="B354" s="645"/>
      <c r="C354" s="2045"/>
      <c r="D354" s="2045"/>
      <c r="E354" s="2045"/>
      <c r="F354" s="2045"/>
      <c r="G354" s="2045"/>
      <c r="H354" s="2045"/>
      <c r="I354" s="2045"/>
      <c r="J354" s="2045"/>
      <c r="K354" s="2045"/>
      <c r="L354" s="2045"/>
      <c r="M354" s="2045"/>
      <c r="N354" s="2045"/>
      <c r="O354" s="2045"/>
      <c r="P354" s="2045"/>
      <c r="Q354" s="2045"/>
      <c r="R354" s="2045"/>
      <c r="S354" s="2045"/>
      <c r="T354" s="2045"/>
      <c r="U354" s="2045"/>
      <c r="V354" s="2045"/>
      <c r="W354" s="2045"/>
      <c r="X354" s="2045"/>
      <c r="Y354" s="2045"/>
      <c r="Z354" s="2045"/>
      <c r="AA354" s="2045"/>
      <c r="AB354" s="2045"/>
      <c r="AC354" s="2045"/>
      <c r="AD354" s="2045"/>
      <c r="AE354" s="2045"/>
      <c r="AF354" s="2045"/>
      <c r="AG354" s="2045"/>
      <c r="AH354" s="2045"/>
      <c r="AI354" s="2045"/>
      <c r="AJ354" s="2045"/>
      <c r="AK354" s="637"/>
      <c r="AL354" s="637"/>
      <c r="AM354" s="637"/>
      <c r="AN354" s="631"/>
      <c r="AO354" s="731"/>
      <c r="AP354" s="732">
        <f>IF(C412="Yes",3,0)</f>
        <v>0</v>
      </c>
    </row>
    <row r="355" spans="1:81" s="584" customFormat="1" ht="12.45" customHeight="1">
      <c r="A355" s="637"/>
      <c r="B355" s="645"/>
      <c r="C355" s="2045"/>
      <c r="D355" s="2045"/>
      <c r="E355" s="2045"/>
      <c r="F355" s="2045"/>
      <c r="G355" s="2045"/>
      <c r="H355" s="2045"/>
      <c r="I355" s="2045"/>
      <c r="J355" s="2045"/>
      <c r="K355" s="2045"/>
      <c r="L355" s="2045"/>
      <c r="M355" s="2045"/>
      <c r="N355" s="2045"/>
      <c r="O355" s="2045"/>
      <c r="P355" s="2045"/>
      <c r="Q355" s="2045"/>
      <c r="R355" s="2045"/>
      <c r="S355" s="2045"/>
      <c r="T355" s="2045"/>
      <c r="U355" s="2045"/>
      <c r="V355" s="2045"/>
      <c r="W355" s="2045"/>
      <c r="X355" s="2045"/>
      <c r="Y355" s="2045"/>
      <c r="Z355" s="2045"/>
      <c r="AA355" s="2045"/>
      <c r="AB355" s="2045"/>
      <c r="AC355" s="2045"/>
      <c r="AD355" s="2045"/>
      <c r="AE355" s="2045"/>
      <c r="AF355" s="2045"/>
      <c r="AG355" s="2045"/>
      <c r="AH355" s="2045"/>
      <c r="AI355" s="2045"/>
      <c r="AJ355" s="2045"/>
      <c r="AK355" s="637"/>
      <c r="AL355" s="637"/>
      <c r="AM355" s="637"/>
      <c r="AN355" s="631"/>
      <c r="AO355" s="733" t="s">
        <v>228</v>
      </c>
      <c r="AP355" s="734">
        <f>SUM(AP346:AP354)</f>
        <v>12</v>
      </c>
      <c r="AQ355" s="1954">
        <f>IF(AP355&gt;0,AP355,0)</f>
        <v>12</v>
      </c>
      <c r="AR355" s="1954"/>
    </row>
    <row r="356" spans="1:81" s="584" customFormat="1" ht="12.75" customHeight="1">
      <c r="A356" s="637"/>
      <c r="B356" s="645"/>
      <c r="C356" s="2045"/>
      <c r="D356" s="2045"/>
      <c r="E356" s="2045"/>
      <c r="F356" s="2045"/>
      <c r="G356" s="2045"/>
      <c r="H356" s="2045"/>
      <c r="I356" s="2045"/>
      <c r="J356" s="2045"/>
      <c r="K356" s="2045"/>
      <c r="L356" s="2045"/>
      <c r="M356" s="2045"/>
      <c r="N356" s="2045"/>
      <c r="O356" s="2045"/>
      <c r="P356" s="2045"/>
      <c r="Q356" s="2045"/>
      <c r="R356" s="2045"/>
      <c r="S356" s="2045"/>
      <c r="T356" s="2045"/>
      <c r="U356" s="2045"/>
      <c r="V356" s="2045"/>
      <c r="W356" s="2045"/>
      <c r="X356" s="2045"/>
      <c r="Y356" s="2045"/>
      <c r="Z356" s="2045"/>
      <c r="AA356" s="2045"/>
      <c r="AB356" s="2045"/>
      <c r="AC356" s="2045"/>
      <c r="AD356" s="2045"/>
      <c r="AE356" s="2045"/>
      <c r="AF356" s="2045"/>
      <c r="AG356" s="2045"/>
      <c r="AH356" s="2045"/>
      <c r="AI356" s="2045"/>
      <c r="AJ356" s="204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51" t="s">
        <v>1570</v>
      </c>
      <c r="D358" s="1951"/>
      <c r="E358" s="1951"/>
      <c r="F358" s="1951"/>
      <c r="G358" s="1951"/>
      <c r="H358" s="1951"/>
      <c r="I358" s="1951"/>
      <c r="J358" s="1951"/>
      <c r="K358" s="1951"/>
      <c r="L358" s="1951"/>
      <c r="M358" s="1951"/>
      <c r="N358" s="1951"/>
      <c r="O358" s="1951"/>
      <c r="P358" s="1951"/>
      <c r="Q358" s="1951"/>
      <c r="R358" s="1951"/>
      <c r="S358" s="1951"/>
      <c r="T358" s="1951"/>
      <c r="U358" s="1951"/>
      <c r="V358" s="1951"/>
      <c r="W358" s="1951"/>
      <c r="X358" s="1951"/>
      <c r="Y358" s="1951"/>
      <c r="Z358" s="1951"/>
      <c r="AA358" s="1951"/>
      <c r="AB358" s="1951"/>
      <c r="AC358" s="1951"/>
      <c r="AD358" s="1951"/>
      <c r="AE358" s="1951"/>
      <c r="AF358" s="1951"/>
      <c r="AG358" s="1951"/>
      <c r="AH358" s="1951"/>
      <c r="AI358" s="1951"/>
      <c r="AJ358" s="1951"/>
      <c r="AK358" s="637"/>
      <c r="AL358" s="637"/>
      <c r="AM358" s="637"/>
      <c r="AN358" s="631"/>
      <c r="AO358" s="729" t="s">
        <v>464</v>
      </c>
      <c r="AP358" s="730">
        <f>IF(C431="Yes",5,0)</f>
        <v>0</v>
      </c>
    </row>
    <row r="359" spans="1:81" s="584" customFormat="1" ht="12.75" customHeight="1">
      <c r="A359" s="637"/>
      <c r="B359" s="645"/>
      <c r="C359" s="1951"/>
      <c r="D359" s="1951"/>
      <c r="E359" s="1951"/>
      <c r="F359" s="1951"/>
      <c r="G359" s="1951"/>
      <c r="H359" s="1951"/>
      <c r="I359" s="1951"/>
      <c r="J359" s="1951"/>
      <c r="K359" s="1951"/>
      <c r="L359" s="1951"/>
      <c r="M359" s="1951"/>
      <c r="N359" s="1951"/>
      <c r="O359" s="1951"/>
      <c r="P359" s="1951"/>
      <c r="Q359" s="1951"/>
      <c r="R359" s="1951"/>
      <c r="S359" s="1951"/>
      <c r="T359" s="1951"/>
      <c r="U359" s="1951"/>
      <c r="V359" s="1951"/>
      <c r="W359" s="1951"/>
      <c r="X359" s="1951"/>
      <c r="Y359" s="1951"/>
      <c r="Z359" s="1951"/>
      <c r="AA359" s="1951"/>
      <c r="AB359" s="1951"/>
      <c r="AC359" s="1951"/>
      <c r="AD359" s="1951"/>
      <c r="AE359" s="1951"/>
      <c r="AF359" s="1951"/>
      <c r="AG359" s="1951"/>
      <c r="AH359" s="1951"/>
      <c r="AI359" s="1951"/>
      <c r="AJ359" s="1951"/>
      <c r="AK359" s="637"/>
      <c r="AL359" s="637"/>
      <c r="AM359" s="637"/>
      <c r="AN359" s="631"/>
      <c r="AO359" s="729" t="s">
        <v>469</v>
      </c>
      <c r="AP359" s="730">
        <f>IF(C438="Yes",5,0)</f>
        <v>0</v>
      </c>
    </row>
    <row r="360" spans="1:81" s="584" customFormat="1" ht="67.95" customHeight="1">
      <c r="A360" s="637"/>
      <c r="B360" s="645"/>
      <c r="C360" s="1951"/>
      <c r="D360" s="1951"/>
      <c r="E360" s="1951"/>
      <c r="F360" s="1951"/>
      <c r="G360" s="1951"/>
      <c r="H360" s="1951"/>
      <c r="I360" s="1951"/>
      <c r="J360" s="1951"/>
      <c r="K360" s="1951"/>
      <c r="L360" s="1951"/>
      <c r="M360" s="1951"/>
      <c r="N360" s="1951"/>
      <c r="O360" s="1951"/>
      <c r="P360" s="1951"/>
      <c r="Q360" s="1951"/>
      <c r="R360" s="1951"/>
      <c r="S360" s="1951"/>
      <c r="T360" s="1951"/>
      <c r="U360" s="1951"/>
      <c r="V360" s="1951"/>
      <c r="W360" s="1951"/>
      <c r="X360" s="1951"/>
      <c r="Y360" s="1951"/>
      <c r="Z360" s="1951"/>
      <c r="AA360" s="1951"/>
      <c r="AB360" s="1951"/>
      <c r="AC360" s="1951"/>
      <c r="AD360" s="1951"/>
      <c r="AE360" s="1951"/>
      <c r="AF360" s="1951"/>
      <c r="AG360" s="1951"/>
      <c r="AH360" s="1951"/>
      <c r="AI360" s="1951"/>
      <c r="AJ360" s="1951"/>
      <c r="AK360" s="637"/>
      <c r="AL360" s="637"/>
      <c r="AM360" s="637"/>
      <c r="AN360" s="631"/>
      <c r="AO360" s="729" t="s">
        <v>654</v>
      </c>
      <c r="AP360" s="735">
        <f>IF(C442="Yes",5,0)</f>
        <v>0</v>
      </c>
    </row>
    <row r="361" spans="1:81" s="584" customFormat="1" ht="12.45"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2568</v>
      </c>
      <c r="D362" s="737"/>
      <c r="E362" s="737"/>
      <c r="F362" s="737"/>
      <c r="G362" s="737"/>
      <c r="H362" s="737"/>
      <c r="I362" s="737"/>
      <c r="J362" s="737"/>
      <c r="K362" s="737"/>
      <c r="L362" s="737"/>
      <c r="M362" s="701"/>
      <c r="N362" s="701"/>
      <c r="O362" s="738"/>
      <c r="P362" s="737"/>
      <c r="Q362" s="737"/>
      <c r="R362" s="701"/>
      <c r="S362" s="701"/>
      <c r="T362" s="737"/>
      <c r="U362" s="1952">
        <f>Application!CS660-U363</f>
        <v>285</v>
      </c>
      <c r="V362" s="1952"/>
      <c r="W362" s="195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2569</v>
      </c>
      <c r="D363" s="728"/>
      <c r="E363" s="728"/>
      <c r="F363" s="728"/>
      <c r="G363" s="728"/>
      <c r="H363" s="728"/>
      <c r="I363" s="728"/>
      <c r="J363" s="728"/>
      <c r="K363" s="728"/>
      <c r="L363" s="728"/>
      <c r="M363" s="728"/>
      <c r="N363" s="728"/>
      <c r="O363" s="728"/>
      <c r="P363" s="728"/>
      <c r="Q363" s="728"/>
      <c r="R363" s="728"/>
      <c r="S363" s="728"/>
      <c r="T363" s="728"/>
      <c r="U363" s="1953">
        <f>Application!AG756</f>
        <v>0</v>
      </c>
      <c r="V363" s="1953"/>
      <c r="W363" s="195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54">
        <f>IF(AP364&gt;0,AP364,0)</f>
        <v>0</v>
      </c>
      <c r="AR364" s="1954"/>
    </row>
    <row r="365" spans="1:81" s="584" customFormat="1" ht="12.75" customHeight="1">
      <c r="A365" s="637"/>
      <c r="B365" s="14"/>
      <c r="C365" s="746" t="s">
        <v>2566</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45" t="s">
        <v>1572</v>
      </c>
      <c r="G366" s="1945"/>
      <c r="H366" s="1945"/>
      <c r="I366" s="1945"/>
      <c r="J366" s="1945"/>
      <c r="K366" s="1945"/>
      <c r="L366" s="1945"/>
      <c r="M366" s="1945"/>
      <c r="N366" s="1945"/>
      <c r="O366" s="1945"/>
      <c r="P366" s="1945"/>
      <c r="Q366" s="1945"/>
      <c r="R366" s="1945"/>
      <c r="S366" s="1945"/>
      <c r="T366" s="1945"/>
      <c r="U366" s="1945"/>
      <c r="V366" s="1945"/>
      <c r="W366" s="1945"/>
      <c r="X366" s="1945"/>
      <c r="Y366" s="1945"/>
      <c r="Z366" s="1945"/>
      <c r="AA366" s="1945"/>
      <c r="AB366" s="1945"/>
      <c r="AC366" s="1945"/>
      <c r="AD366" s="1945"/>
      <c r="AE366" s="1945"/>
      <c r="AF366" s="194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46"/>
      <c r="G367" s="1946"/>
      <c r="H367" s="1946"/>
      <c r="I367" s="1946"/>
      <c r="J367" s="1946"/>
      <c r="K367" s="1946"/>
      <c r="L367" s="1946"/>
      <c r="M367" s="1946"/>
      <c r="N367" s="1946"/>
      <c r="O367" s="1946"/>
      <c r="P367" s="1946"/>
      <c r="Q367" s="1946"/>
      <c r="R367" s="1946"/>
      <c r="S367" s="1946"/>
      <c r="T367" s="1946"/>
      <c r="U367" s="1946"/>
      <c r="V367" s="1946"/>
      <c r="W367" s="1946"/>
      <c r="X367" s="1946"/>
      <c r="Y367" s="1946"/>
      <c r="Z367" s="1946"/>
      <c r="AA367" s="1946"/>
      <c r="AB367" s="1946"/>
      <c r="AC367" s="1946"/>
      <c r="AD367" s="1946"/>
      <c r="AE367" s="1946"/>
      <c r="AF367" s="194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46"/>
      <c r="G368" s="1946"/>
      <c r="H368" s="1946"/>
      <c r="I368" s="1946"/>
      <c r="J368" s="1946"/>
      <c r="K368" s="1946"/>
      <c r="L368" s="1946"/>
      <c r="M368" s="1946"/>
      <c r="N368" s="1946"/>
      <c r="O368" s="1946"/>
      <c r="P368" s="1946"/>
      <c r="Q368" s="1946"/>
      <c r="R368" s="1946"/>
      <c r="S368" s="1946"/>
      <c r="T368" s="1946"/>
      <c r="U368" s="1946"/>
      <c r="V368" s="1946"/>
      <c r="W368" s="1946"/>
      <c r="X368" s="1946"/>
      <c r="Y368" s="1946"/>
      <c r="Z368" s="1946"/>
      <c r="AA368" s="1946"/>
      <c r="AB368" s="1946"/>
      <c r="AC368" s="1946"/>
      <c r="AD368" s="1946"/>
      <c r="AE368" s="1946"/>
      <c r="AF368" s="194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46"/>
      <c r="G369" s="1946"/>
      <c r="H369" s="1946"/>
      <c r="I369" s="1946"/>
      <c r="J369" s="1946"/>
      <c r="K369" s="1946"/>
      <c r="L369" s="1946"/>
      <c r="M369" s="1946"/>
      <c r="N369" s="1946"/>
      <c r="O369" s="1946"/>
      <c r="P369" s="1946"/>
      <c r="Q369" s="1946"/>
      <c r="R369" s="1946"/>
      <c r="S369" s="1946"/>
      <c r="T369" s="1946"/>
      <c r="U369" s="1946"/>
      <c r="V369" s="1946"/>
      <c r="W369" s="1946"/>
      <c r="X369" s="1946"/>
      <c r="Y369" s="1946"/>
      <c r="Z369" s="1946"/>
      <c r="AA369" s="1946"/>
      <c r="AB369" s="1946"/>
      <c r="AC369" s="1946"/>
      <c r="AD369" s="1946"/>
      <c r="AE369" s="1946"/>
      <c r="AF369" s="194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55" t="s">
        <v>599</v>
      </c>
      <c r="D370" s="1956"/>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44" t="s">
        <v>1574</v>
      </c>
      <c r="AG370" s="1944"/>
      <c r="AH370" s="1944"/>
      <c r="AI370" s="1944"/>
      <c r="AJ370" s="1944"/>
      <c r="AK370" s="1944"/>
      <c r="AL370" s="195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45" t="s">
        <v>1575</v>
      </c>
      <c r="G373" s="1945"/>
      <c r="H373" s="1945"/>
      <c r="I373" s="1945"/>
      <c r="J373" s="1945"/>
      <c r="K373" s="1945"/>
      <c r="L373" s="1945"/>
      <c r="M373" s="1945"/>
      <c r="N373" s="1945"/>
      <c r="O373" s="1945"/>
      <c r="P373" s="1945"/>
      <c r="Q373" s="1945"/>
      <c r="R373" s="1945"/>
      <c r="S373" s="1945"/>
      <c r="T373" s="1945"/>
      <c r="U373" s="1945"/>
      <c r="V373" s="1945"/>
      <c r="W373" s="1945"/>
      <c r="X373" s="1945"/>
      <c r="Y373" s="1945"/>
      <c r="Z373" s="1945"/>
      <c r="AA373" s="1945"/>
      <c r="AB373" s="1945"/>
      <c r="AC373" s="1945"/>
      <c r="AD373" s="1945"/>
      <c r="AE373" s="1945"/>
      <c r="AF373" s="194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46"/>
      <c r="G374" s="1946"/>
      <c r="H374" s="1946"/>
      <c r="I374" s="1946"/>
      <c r="J374" s="1946"/>
      <c r="K374" s="1946"/>
      <c r="L374" s="1946"/>
      <c r="M374" s="1946"/>
      <c r="N374" s="1946"/>
      <c r="O374" s="1946"/>
      <c r="P374" s="1946"/>
      <c r="Q374" s="1946"/>
      <c r="R374" s="1946"/>
      <c r="S374" s="1946"/>
      <c r="T374" s="1946"/>
      <c r="U374" s="1946"/>
      <c r="V374" s="1946"/>
      <c r="W374" s="1946"/>
      <c r="X374" s="1946"/>
      <c r="Y374" s="1946"/>
      <c r="Z374" s="1946"/>
      <c r="AA374" s="1946"/>
      <c r="AB374" s="1946"/>
      <c r="AC374" s="1946"/>
      <c r="AD374" s="1946"/>
      <c r="AE374" s="1946"/>
      <c r="AF374" s="194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46"/>
      <c r="G375" s="1946"/>
      <c r="H375" s="1946"/>
      <c r="I375" s="1946"/>
      <c r="J375" s="1946"/>
      <c r="K375" s="1946"/>
      <c r="L375" s="1946"/>
      <c r="M375" s="1946"/>
      <c r="N375" s="1946"/>
      <c r="O375" s="1946"/>
      <c r="P375" s="1946"/>
      <c r="Q375" s="1946"/>
      <c r="R375" s="1946"/>
      <c r="S375" s="1946"/>
      <c r="T375" s="1946"/>
      <c r="U375" s="1946"/>
      <c r="V375" s="1946"/>
      <c r="W375" s="1946"/>
      <c r="X375" s="1946"/>
      <c r="Y375" s="1946"/>
      <c r="Z375" s="1946"/>
      <c r="AA375" s="1946"/>
      <c r="AB375" s="1946"/>
      <c r="AC375" s="1946"/>
      <c r="AD375" s="1946"/>
      <c r="AE375" s="1946"/>
      <c r="AF375" s="194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46"/>
      <c r="G376" s="1946"/>
      <c r="H376" s="1946"/>
      <c r="I376" s="1946"/>
      <c r="J376" s="1946"/>
      <c r="K376" s="1946"/>
      <c r="L376" s="1946"/>
      <c r="M376" s="1946"/>
      <c r="N376" s="1946"/>
      <c r="O376" s="1946"/>
      <c r="P376" s="1946"/>
      <c r="Q376" s="1946"/>
      <c r="R376" s="1946"/>
      <c r="S376" s="1946"/>
      <c r="T376" s="1946"/>
      <c r="U376" s="1946"/>
      <c r="V376" s="1946"/>
      <c r="W376" s="1946"/>
      <c r="X376" s="1946"/>
      <c r="Y376" s="1946"/>
      <c r="Z376" s="1946"/>
      <c r="AA376" s="1946"/>
      <c r="AB376" s="1946"/>
      <c r="AC376" s="1946"/>
      <c r="AD376" s="1946"/>
      <c r="AE376" s="1946"/>
      <c r="AF376" s="194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46"/>
      <c r="G377" s="1946"/>
      <c r="H377" s="1946"/>
      <c r="I377" s="1946"/>
      <c r="J377" s="1946"/>
      <c r="K377" s="1946"/>
      <c r="L377" s="1946"/>
      <c r="M377" s="1946"/>
      <c r="N377" s="1946"/>
      <c r="O377" s="1946"/>
      <c r="P377" s="1946"/>
      <c r="Q377" s="1946"/>
      <c r="R377" s="1946"/>
      <c r="S377" s="1946"/>
      <c r="T377" s="1946"/>
      <c r="U377" s="1946"/>
      <c r="V377" s="1946"/>
      <c r="W377" s="1946"/>
      <c r="X377" s="1946"/>
      <c r="Y377" s="1946"/>
      <c r="Z377" s="1946"/>
      <c r="AA377" s="1946"/>
      <c r="AB377" s="1946"/>
      <c r="AC377" s="1946"/>
      <c r="AD377" s="1946"/>
      <c r="AE377" s="1946"/>
      <c r="AF377" s="1946"/>
      <c r="AL377" s="766"/>
      <c r="AN377" s="631"/>
      <c r="BS377" s="30"/>
      <c r="BT377" s="30"/>
      <c r="BU377" s="14"/>
      <c r="BV377" s="14"/>
      <c r="BW377" s="14"/>
      <c r="BX377" s="14"/>
      <c r="BY377" s="14"/>
      <c r="BZ377" s="14"/>
      <c r="CA377" s="14"/>
      <c r="CB377" s="14"/>
      <c r="CC377" s="14"/>
    </row>
    <row r="378" spans="1:81" s="584" customFormat="1" ht="12.75" customHeight="1">
      <c r="A378" s="570"/>
      <c r="B378" s="14"/>
      <c r="C378" s="1955" t="s">
        <v>599</v>
      </c>
      <c r="D378" s="1956"/>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44" t="s">
        <v>1574</v>
      </c>
      <c r="AG378" s="1944"/>
      <c r="AH378" s="1944"/>
      <c r="AI378" s="1944"/>
      <c r="AJ378" s="1944"/>
      <c r="AK378" s="1944"/>
      <c r="AL378" s="195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45" t="s">
        <v>1577</v>
      </c>
      <c r="G381" s="1945"/>
      <c r="H381" s="1945"/>
      <c r="I381" s="1945"/>
      <c r="J381" s="1945"/>
      <c r="K381" s="1945"/>
      <c r="L381" s="1945"/>
      <c r="M381" s="1945"/>
      <c r="N381" s="1945"/>
      <c r="O381" s="1945"/>
      <c r="P381" s="1945"/>
      <c r="Q381" s="1945"/>
      <c r="R381" s="1945"/>
      <c r="S381" s="1945"/>
      <c r="T381" s="1945"/>
      <c r="U381" s="1945"/>
      <c r="V381" s="1945"/>
      <c r="W381" s="1945"/>
      <c r="X381" s="1945"/>
      <c r="Y381" s="1945"/>
      <c r="Z381" s="1945"/>
      <c r="AA381" s="1945"/>
      <c r="AB381" s="1945"/>
      <c r="AC381" s="1945"/>
      <c r="AD381" s="1945"/>
      <c r="AE381" s="1945"/>
      <c r="AF381" s="194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46"/>
      <c r="G382" s="1946"/>
      <c r="H382" s="1946"/>
      <c r="I382" s="1946"/>
      <c r="J382" s="1946"/>
      <c r="K382" s="1946"/>
      <c r="L382" s="1946"/>
      <c r="M382" s="1946"/>
      <c r="N382" s="1946"/>
      <c r="O382" s="1946"/>
      <c r="P382" s="1946"/>
      <c r="Q382" s="1946"/>
      <c r="R382" s="1946"/>
      <c r="S382" s="1946"/>
      <c r="T382" s="1946"/>
      <c r="U382" s="1946"/>
      <c r="V382" s="1946"/>
      <c r="W382" s="1946"/>
      <c r="X382" s="1946"/>
      <c r="Y382" s="1946"/>
      <c r="Z382" s="1946"/>
      <c r="AA382" s="1946"/>
      <c r="AB382" s="1946"/>
      <c r="AC382" s="1946"/>
      <c r="AD382" s="1946"/>
      <c r="AE382" s="1946"/>
      <c r="AF382" s="194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46"/>
      <c r="G383" s="1946"/>
      <c r="H383" s="1946"/>
      <c r="I383" s="1946"/>
      <c r="J383" s="1946"/>
      <c r="K383" s="1946"/>
      <c r="L383" s="1946"/>
      <c r="M383" s="1946"/>
      <c r="N383" s="1946"/>
      <c r="O383" s="1946"/>
      <c r="P383" s="1946"/>
      <c r="Q383" s="1946"/>
      <c r="R383" s="1946"/>
      <c r="S383" s="1946"/>
      <c r="T383" s="1946"/>
      <c r="U383" s="1946"/>
      <c r="V383" s="1946"/>
      <c r="W383" s="1946"/>
      <c r="X383" s="1946"/>
      <c r="Y383" s="1946"/>
      <c r="Z383" s="1946"/>
      <c r="AA383" s="1946"/>
      <c r="AB383" s="1946"/>
      <c r="AC383" s="1946"/>
      <c r="AD383" s="1946"/>
      <c r="AE383" s="1946"/>
      <c r="AF383" s="194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46"/>
      <c r="G384" s="1946"/>
      <c r="H384" s="1946"/>
      <c r="I384" s="1946"/>
      <c r="J384" s="1946"/>
      <c r="K384" s="1946"/>
      <c r="L384" s="1946"/>
      <c r="M384" s="1946"/>
      <c r="N384" s="1946"/>
      <c r="O384" s="1946"/>
      <c r="P384" s="1946"/>
      <c r="Q384" s="1946"/>
      <c r="R384" s="1946"/>
      <c r="S384" s="1946"/>
      <c r="T384" s="1946"/>
      <c r="U384" s="1946"/>
      <c r="V384" s="1946"/>
      <c r="W384" s="1946"/>
      <c r="X384" s="1946"/>
      <c r="Y384" s="1946"/>
      <c r="Z384" s="1946"/>
      <c r="AA384" s="1946"/>
      <c r="AB384" s="1946"/>
      <c r="AC384" s="1946"/>
      <c r="AD384" s="1946"/>
      <c r="AE384" s="1946"/>
      <c r="AF384" s="194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46"/>
      <c r="G385" s="1946"/>
      <c r="H385" s="1946"/>
      <c r="I385" s="1946"/>
      <c r="J385" s="1946"/>
      <c r="K385" s="1946"/>
      <c r="L385" s="1946"/>
      <c r="M385" s="1946"/>
      <c r="N385" s="1946"/>
      <c r="O385" s="1946"/>
      <c r="P385" s="1946"/>
      <c r="Q385" s="1946"/>
      <c r="R385" s="1946"/>
      <c r="S385" s="1946"/>
      <c r="T385" s="1946"/>
      <c r="U385" s="1946"/>
      <c r="V385" s="1946"/>
      <c r="W385" s="1946"/>
      <c r="X385" s="1946"/>
      <c r="Y385" s="1946"/>
      <c r="Z385" s="1946"/>
      <c r="AA385" s="1946"/>
      <c r="AB385" s="1946"/>
      <c r="AC385" s="1946"/>
      <c r="AD385" s="1946"/>
      <c r="AE385" s="1946"/>
      <c r="AF385" s="194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55" t="s">
        <v>553</v>
      </c>
      <c r="D386" s="1956"/>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44" t="s">
        <v>1579</v>
      </c>
      <c r="AG386" s="1944"/>
      <c r="AH386" s="1944"/>
      <c r="AI386" s="1944"/>
      <c r="AJ386" s="1944"/>
      <c r="AK386" s="1944"/>
      <c r="AL386" s="195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55" t="s">
        <v>599</v>
      </c>
      <c r="D388" s="1956"/>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44" t="s">
        <v>1574</v>
      </c>
      <c r="AG388" s="1944"/>
      <c r="AH388" s="1944"/>
      <c r="AI388" s="1944"/>
      <c r="AJ388" s="1944"/>
      <c r="AK388" s="1944"/>
      <c r="AL388" s="195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45" t="s">
        <v>1583</v>
      </c>
      <c r="G392" s="1945"/>
      <c r="H392" s="1945"/>
      <c r="I392" s="1945"/>
      <c r="J392" s="1945"/>
      <c r="K392" s="1945"/>
      <c r="L392" s="1945"/>
      <c r="M392" s="1945"/>
      <c r="N392" s="1945"/>
      <c r="O392" s="1945"/>
      <c r="P392" s="1945"/>
      <c r="Q392" s="1945"/>
      <c r="R392" s="1945"/>
      <c r="S392" s="1945"/>
      <c r="T392" s="1945"/>
      <c r="U392" s="1945"/>
      <c r="V392" s="1945"/>
      <c r="W392" s="1945"/>
      <c r="X392" s="1945"/>
      <c r="Y392" s="1945"/>
      <c r="Z392" s="1945"/>
      <c r="AA392" s="1945"/>
      <c r="AB392" s="1945"/>
      <c r="AC392" s="1945"/>
      <c r="AD392" s="1945"/>
      <c r="AE392" s="1945"/>
      <c r="AF392" s="194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46"/>
      <c r="G393" s="1946"/>
      <c r="H393" s="1946"/>
      <c r="I393" s="1946"/>
      <c r="J393" s="1946"/>
      <c r="K393" s="1946"/>
      <c r="L393" s="1946"/>
      <c r="M393" s="1946"/>
      <c r="N393" s="1946"/>
      <c r="O393" s="1946"/>
      <c r="P393" s="1946"/>
      <c r="Q393" s="1946"/>
      <c r="R393" s="1946"/>
      <c r="S393" s="1946"/>
      <c r="T393" s="1946"/>
      <c r="U393" s="1946"/>
      <c r="V393" s="1946"/>
      <c r="W393" s="1946"/>
      <c r="X393" s="1946"/>
      <c r="Y393" s="1946"/>
      <c r="Z393" s="1946"/>
      <c r="AA393" s="1946"/>
      <c r="AB393" s="1946"/>
      <c r="AC393" s="1946"/>
      <c r="AD393" s="1946"/>
      <c r="AE393" s="1946"/>
      <c r="AF393" s="194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46"/>
      <c r="G394" s="1946"/>
      <c r="H394" s="1946"/>
      <c r="I394" s="1946"/>
      <c r="J394" s="1946"/>
      <c r="K394" s="1946"/>
      <c r="L394" s="1946"/>
      <c r="M394" s="1946"/>
      <c r="N394" s="1946"/>
      <c r="O394" s="1946"/>
      <c r="P394" s="1946"/>
      <c r="Q394" s="1946"/>
      <c r="R394" s="1946"/>
      <c r="S394" s="1946"/>
      <c r="T394" s="1946"/>
      <c r="U394" s="1946"/>
      <c r="V394" s="1946"/>
      <c r="W394" s="1946"/>
      <c r="X394" s="1946"/>
      <c r="Y394" s="1946"/>
      <c r="Z394" s="1946"/>
      <c r="AA394" s="1946"/>
      <c r="AB394" s="1946"/>
      <c r="AC394" s="1946"/>
      <c r="AD394" s="1946"/>
      <c r="AE394" s="1946"/>
      <c r="AF394" s="194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46"/>
      <c r="G395" s="1946"/>
      <c r="H395" s="1946"/>
      <c r="I395" s="1946"/>
      <c r="J395" s="1946"/>
      <c r="K395" s="1946"/>
      <c r="L395" s="1946"/>
      <c r="M395" s="1946"/>
      <c r="N395" s="1946"/>
      <c r="O395" s="1946"/>
      <c r="P395" s="1946"/>
      <c r="Q395" s="1946"/>
      <c r="R395" s="1946"/>
      <c r="S395" s="1946"/>
      <c r="T395" s="1946"/>
      <c r="U395" s="1946"/>
      <c r="V395" s="1946"/>
      <c r="W395" s="1946"/>
      <c r="X395" s="1946"/>
      <c r="Y395" s="1946"/>
      <c r="Z395" s="1946"/>
      <c r="AA395" s="1946"/>
      <c r="AB395" s="1946"/>
      <c r="AC395" s="1946"/>
      <c r="AD395" s="1946"/>
      <c r="AE395" s="1946"/>
      <c r="AF395" s="194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55" t="s">
        <v>553</v>
      </c>
      <c r="D396" s="1956"/>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44" t="s">
        <v>1574</v>
      </c>
      <c r="AG396" s="1944"/>
      <c r="AH396" s="1944"/>
      <c r="AI396" s="1944"/>
      <c r="AJ396" s="1944"/>
      <c r="AK396" s="1944"/>
      <c r="AL396" s="195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55" t="s">
        <v>599</v>
      </c>
      <c r="D398" s="1956"/>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44" t="s">
        <v>1586</v>
      </c>
      <c r="AG398" s="1944"/>
      <c r="AH398" s="1944"/>
      <c r="AI398" s="1944"/>
      <c r="AJ398" s="1944"/>
      <c r="AK398" s="1944"/>
      <c r="AL398" s="195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55" t="s">
        <v>599</v>
      </c>
      <c r="D401" s="1956"/>
      <c r="E401" s="749" t="s">
        <v>1587</v>
      </c>
      <c r="F401" s="1945" t="s">
        <v>1588</v>
      </c>
      <c r="G401" s="1945"/>
      <c r="H401" s="1945"/>
      <c r="I401" s="1945"/>
      <c r="J401" s="1945"/>
      <c r="K401" s="1945"/>
      <c r="L401" s="1945"/>
      <c r="M401" s="1945"/>
      <c r="N401" s="1945"/>
      <c r="O401" s="1945"/>
      <c r="P401" s="1945"/>
      <c r="Q401" s="1945"/>
      <c r="R401" s="1945"/>
      <c r="S401" s="1945"/>
      <c r="T401" s="1945"/>
      <c r="U401" s="1945"/>
      <c r="V401" s="1945"/>
      <c r="W401" s="1945"/>
      <c r="X401" s="1945"/>
      <c r="Y401" s="1945"/>
      <c r="Z401" s="1945"/>
      <c r="AA401" s="1945"/>
      <c r="AB401" s="1945"/>
      <c r="AC401" s="1945"/>
      <c r="AD401" s="1945"/>
      <c r="AE401" s="194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46"/>
      <c r="G402" s="1946"/>
      <c r="H402" s="1946"/>
      <c r="I402" s="1946"/>
      <c r="J402" s="1946"/>
      <c r="K402" s="1946"/>
      <c r="L402" s="1946"/>
      <c r="M402" s="1946"/>
      <c r="N402" s="1946"/>
      <c r="O402" s="1946"/>
      <c r="P402" s="1946"/>
      <c r="Q402" s="1946"/>
      <c r="R402" s="1946"/>
      <c r="S402" s="1946"/>
      <c r="T402" s="1946"/>
      <c r="U402" s="1946"/>
      <c r="V402" s="1946"/>
      <c r="W402" s="1946"/>
      <c r="X402" s="1946"/>
      <c r="Y402" s="1946"/>
      <c r="Z402" s="1946"/>
      <c r="AA402" s="1946"/>
      <c r="AB402" s="1946"/>
      <c r="AC402" s="1946"/>
      <c r="AD402" s="1946"/>
      <c r="AE402" s="1946"/>
      <c r="AF402" s="2014" t="s">
        <v>1574</v>
      </c>
      <c r="AG402" s="2014"/>
      <c r="AH402" s="2014"/>
      <c r="AI402" s="2014"/>
      <c r="AJ402" s="2014"/>
      <c r="AK402" s="2014"/>
      <c r="AL402" s="2044"/>
      <c r="AM402" s="604"/>
      <c r="AN402" s="631"/>
      <c r="BS402" s="604"/>
      <c r="BT402" s="604"/>
      <c r="BY402" s="604"/>
      <c r="BZ402" s="604"/>
      <c r="CA402" s="604"/>
      <c r="CB402" s="604"/>
      <c r="CC402" s="604"/>
    </row>
    <row r="403" spans="1:81" s="584" customFormat="1" ht="12.75" customHeight="1">
      <c r="A403" s="570"/>
      <c r="B403" s="14"/>
      <c r="C403" s="765"/>
      <c r="D403" s="14"/>
      <c r="E403" s="725"/>
      <c r="F403" s="1946"/>
      <c r="G403" s="1946"/>
      <c r="H403" s="1946"/>
      <c r="I403" s="1946"/>
      <c r="J403" s="1946"/>
      <c r="K403" s="1946"/>
      <c r="L403" s="1946"/>
      <c r="M403" s="1946"/>
      <c r="N403" s="1946"/>
      <c r="O403" s="1946"/>
      <c r="P403" s="1946"/>
      <c r="Q403" s="1946"/>
      <c r="R403" s="1946"/>
      <c r="S403" s="1946"/>
      <c r="T403" s="1946"/>
      <c r="U403" s="1946"/>
      <c r="V403" s="1946"/>
      <c r="W403" s="1946"/>
      <c r="X403" s="1946"/>
      <c r="Y403" s="1946"/>
      <c r="Z403" s="1946"/>
      <c r="AA403" s="1946"/>
      <c r="AB403" s="1946"/>
      <c r="AC403" s="1946"/>
      <c r="AD403" s="1946"/>
      <c r="AE403" s="194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8"/>
      <c r="G404" s="2028"/>
      <c r="H404" s="2028"/>
      <c r="I404" s="2028"/>
      <c r="J404" s="2028"/>
      <c r="K404" s="2028"/>
      <c r="L404" s="2028"/>
      <c r="M404" s="2028"/>
      <c r="N404" s="2028"/>
      <c r="O404" s="2028"/>
      <c r="P404" s="2028"/>
      <c r="Q404" s="2028"/>
      <c r="R404" s="2028"/>
      <c r="S404" s="2028"/>
      <c r="T404" s="2028"/>
      <c r="U404" s="2028"/>
      <c r="V404" s="2028"/>
      <c r="W404" s="2028"/>
      <c r="X404" s="2028"/>
      <c r="Y404" s="2028"/>
      <c r="Z404" s="2028"/>
      <c r="AA404" s="2028"/>
      <c r="AB404" s="2028"/>
      <c r="AC404" s="2028"/>
      <c r="AD404" s="2028"/>
      <c r="AE404" s="202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45" t="s">
        <v>1590</v>
      </c>
      <c r="G406" s="1945"/>
      <c r="H406" s="1945"/>
      <c r="I406" s="1945"/>
      <c r="J406" s="1945"/>
      <c r="K406" s="1945"/>
      <c r="L406" s="1945"/>
      <c r="M406" s="1945"/>
      <c r="N406" s="1945"/>
      <c r="O406" s="1945"/>
      <c r="P406" s="1945"/>
      <c r="Q406" s="1945"/>
      <c r="R406" s="1945"/>
      <c r="S406" s="1945"/>
      <c r="T406" s="1945"/>
      <c r="U406" s="1945"/>
      <c r="V406" s="1945"/>
      <c r="W406" s="1945"/>
      <c r="X406" s="1945"/>
      <c r="Y406" s="1945"/>
      <c r="Z406" s="1945"/>
      <c r="AA406" s="1945"/>
      <c r="AB406" s="1945"/>
      <c r="AC406" s="1945"/>
      <c r="AD406" s="1945"/>
      <c r="AE406" s="1945"/>
      <c r="AF406" s="781"/>
      <c r="AG406" s="781"/>
      <c r="AH406" s="781"/>
      <c r="AI406" s="781"/>
      <c r="AJ406" s="781"/>
      <c r="AK406" s="781"/>
      <c r="AL406" s="782"/>
      <c r="AM406" s="604"/>
    </row>
    <row r="407" spans="1:81">
      <c r="A407" s="570"/>
      <c r="C407" s="765"/>
      <c r="E407" s="725"/>
      <c r="F407" s="1946"/>
      <c r="G407" s="1946"/>
      <c r="H407" s="1946"/>
      <c r="I407" s="1946"/>
      <c r="J407" s="1946"/>
      <c r="K407" s="1946"/>
      <c r="L407" s="1946"/>
      <c r="M407" s="1946"/>
      <c r="N407" s="1946"/>
      <c r="O407" s="1946"/>
      <c r="P407" s="1946"/>
      <c r="Q407" s="1946"/>
      <c r="R407" s="1946"/>
      <c r="S407" s="1946"/>
      <c r="T407" s="1946"/>
      <c r="U407" s="1946"/>
      <c r="V407" s="1946"/>
      <c r="W407" s="1946"/>
      <c r="X407" s="1946"/>
      <c r="Y407" s="1946"/>
      <c r="Z407" s="1946"/>
      <c r="AA407" s="1946"/>
      <c r="AB407" s="1946"/>
      <c r="AC407" s="1946"/>
      <c r="AD407" s="1946"/>
      <c r="AE407" s="1946"/>
      <c r="AF407" s="573"/>
      <c r="AG407" s="570"/>
      <c r="AH407" s="584"/>
      <c r="AI407" s="584"/>
      <c r="AJ407" s="584"/>
      <c r="AK407" s="584"/>
      <c r="AL407" s="766"/>
      <c r="AM407" s="604"/>
    </row>
    <row r="408" spans="1:81" s="584" customFormat="1" ht="12.75" customHeight="1">
      <c r="A408" s="570"/>
      <c r="B408" s="14"/>
      <c r="C408" s="765"/>
      <c r="D408" s="14"/>
      <c r="E408" s="725"/>
      <c r="F408" s="1946"/>
      <c r="G408" s="1946"/>
      <c r="H408" s="1946"/>
      <c r="I408" s="1946"/>
      <c r="J408" s="1946"/>
      <c r="K408" s="1946"/>
      <c r="L408" s="1946"/>
      <c r="M408" s="1946"/>
      <c r="N408" s="1946"/>
      <c r="O408" s="1946"/>
      <c r="P408" s="1946"/>
      <c r="Q408" s="1946"/>
      <c r="R408" s="1946"/>
      <c r="S408" s="1946"/>
      <c r="T408" s="1946"/>
      <c r="U408" s="1946"/>
      <c r="V408" s="1946"/>
      <c r="W408" s="1946"/>
      <c r="X408" s="1946"/>
      <c r="Y408" s="1946"/>
      <c r="Z408" s="1946"/>
      <c r="AA408" s="1946"/>
      <c r="AB408" s="1946"/>
      <c r="AC408" s="1946"/>
      <c r="AD408" s="1946"/>
      <c r="AE408" s="1946"/>
      <c r="AL408" s="766"/>
      <c r="AM408" s="604"/>
      <c r="AN408" s="631"/>
    </row>
    <row r="409" spans="1:81" s="584" customFormat="1" ht="12.75" customHeight="1">
      <c r="A409" s="570"/>
      <c r="B409" s="14"/>
      <c r="C409" s="773"/>
      <c r="F409" s="1946"/>
      <c r="G409" s="1946"/>
      <c r="H409" s="1946"/>
      <c r="I409" s="1946"/>
      <c r="J409" s="1946"/>
      <c r="K409" s="1946"/>
      <c r="L409" s="1946"/>
      <c r="M409" s="1946"/>
      <c r="N409" s="1946"/>
      <c r="O409" s="1946"/>
      <c r="P409" s="1946"/>
      <c r="Q409" s="1946"/>
      <c r="R409" s="1946"/>
      <c r="S409" s="1946"/>
      <c r="T409" s="1946"/>
      <c r="U409" s="1946"/>
      <c r="V409" s="1946"/>
      <c r="W409" s="1946"/>
      <c r="X409" s="1946"/>
      <c r="Y409" s="1946"/>
      <c r="Z409" s="1946"/>
      <c r="AA409" s="1946"/>
      <c r="AB409" s="1946"/>
      <c r="AC409" s="1946"/>
      <c r="AD409" s="1946"/>
      <c r="AE409" s="1946"/>
      <c r="AL409" s="766"/>
      <c r="AM409" s="604"/>
      <c r="AN409" s="631"/>
    </row>
    <row r="410" spans="1:81" s="584" customFormat="1" ht="12.75" customHeight="1">
      <c r="A410" s="570"/>
      <c r="B410" s="14"/>
      <c r="C410" s="1955" t="s">
        <v>599</v>
      </c>
      <c r="D410" s="1956"/>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14" t="s">
        <v>1574</v>
      </c>
      <c r="AG410" s="2014"/>
      <c r="AH410" s="2014"/>
      <c r="AI410" s="2014"/>
      <c r="AJ410" s="2014"/>
      <c r="AK410" s="2014"/>
      <c r="AL410" s="2044"/>
      <c r="AM410" s="604"/>
      <c r="AN410" s="631"/>
    </row>
    <row r="411" spans="1:81" s="584" customFormat="1" ht="12.75" customHeight="1">
      <c r="A411" s="570"/>
      <c r="B411" s="14"/>
      <c r="C411" s="773"/>
      <c r="AL411" s="766"/>
      <c r="AM411" s="604"/>
      <c r="AN411" s="631"/>
    </row>
    <row r="412" spans="1:81" s="584" customFormat="1" ht="12.75" customHeight="1">
      <c r="A412" s="570"/>
      <c r="B412" s="14"/>
      <c r="C412" s="1955" t="s">
        <v>599</v>
      </c>
      <c r="D412" s="1956"/>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14" t="s">
        <v>1586</v>
      </c>
      <c r="AG412" s="2014"/>
      <c r="AH412" s="2014"/>
      <c r="AI412" s="2014"/>
      <c r="AJ412" s="2014"/>
      <c r="AK412" s="2014"/>
      <c r="AL412" s="204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2567</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45" t="s">
        <v>1594</v>
      </c>
      <c r="G416" s="1945"/>
      <c r="H416" s="1945"/>
      <c r="I416" s="1945"/>
      <c r="J416" s="1945"/>
      <c r="K416" s="1945"/>
      <c r="L416" s="1945"/>
      <c r="M416" s="1945"/>
      <c r="N416" s="1945"/>
      <c r="O416" s="1945"/>
      <c r="P416" s="1945"/>
      <c r="Q416" s="1945"/>
      <c r="R416" s="1945"/>
      <c r="S416" s="1945"/>
      <c r="T416" s="1945"/>
      <c r="U416" s="1945"/>
      <c r="V416" s="1945"/>
      <c r="W416" s="1945"/>
      <c r="X416" s="1945"/>
      <c r="Y416" s="1945"/>
      <c r="Z416" s="1945"/>
      <c r="AA416" s="1945"/>
      <c r="AB416" s="1945"/>
      <c r="AC416" s="1945"/>
      <c r="AD416" s="1945"/>
      <c r="AE416" s="1945"/>
      <c r="AF416" s="748"/>
      <c r="AG416" s="748"/>
      <c r="AH416" s="748"/>
      <c r="AI416" s="748"/>
      <c r="AJ416" s="748"/>
      <c r="AK416" s="748"/>
      <c r="AL416" s="779"/>
      <c r="AM416" s="604"/>
      <c r="AN416" s="631"/>
    </row>
    <row r="417" spans="1:60" s="584" customFormat="1" ht="12.75" customHeight="1">
      <c r="A417" s="570"/>
      <c r="B417" s="14"/>
      <c r="C417" s="765"/>
      <c r="D417" s="14"/>
      <c r="E417" s="725"/>
      <c r="F417" s="1946"/>
      <c r="G417" s="1946"/>
      <c r="H417" s="1946"/>
      <c r="I417" s="1946"/>
      <c r="J417" s="1946"/>
      <c r="K417" s="1946"/>
      <c r="L417" s="1946"/>
      <c r="M417" s="1946"/>
      <c r="N417" s="1946"/>
      <c r="O417" s="1946"/>
      <c r="P417" s="1946"/>
      <c r="Q417" s="1946"/>
      <c r="R417" s="1946"/>
      <c r="S417" s="1946"/>
      <c r="T417" s="1946"/>
      <c r="U417" s="1946"/>
      <c r="V417" s="1946"/>
      <c r="W417" s="1946"/>
      <c r="X417" s="1946"/>
      <c r="Y417" s="1946"/>
      <c r="Z417" s="1946"/>
      <c r="AA417" s="1946"/>
      <c r="AB417" s="1946"/>
      <c r="AC417" s="1946"/>
      <c r="AD417" s="1946"/>
      <c r="AE417" s="1946"/>
      <c r="AF417" s="573"/>
      <c r="AG417" s="570"/>
      <c r="AL417" s="766"/>
      <c r="AM417" s="604"/>
      <c r="AN417" s="631"/>
    </row>
    <row r="418" spans="1:60" s="584" customFormat="1" ht="12.45" customHeight="1">
      <c r="A418" s="570"/>
      <c r="B418" s="14"/>
      <c r="C418" s="765"/>
      <c r="D418" s="14"/>
      <c r="E418" s="725"/>
      <c r="F418" s="1946"/>
      <c r="G418" s="1946"/>
      <c r="H418" s="1946"/>
      <c r="I418" s="1946"/>
      <c r="J418" s="1946"/>
      <c r="K418" s="1946"/>
      <c r="L418" s="1946"/>
      <c r="M418" s="1946"/>
      <c r="N418" s="1946"/>
      <c r="O418" s="1946"/>
      <c r="P418" s="1946"/>
      <c r="Q418" s="1946"/>
      <c r="R418" s="1946"/>
      <c r="S418" s="1946"/>
      <c r="T418" s="1946"/>
      <c r="U418" s="1946"/>
      <c r="V418" s="1946"/>
      <c r="W418" s="1946"/>
      <c r="X418" s="1946"/>
      <c r="Y418" s="1946"/>
      <c r="Z418" s="1946"/>
      <c r="AA418" s="1946"/>
      <c r="AB418" s="1946"/>
      <c r="AC418" s="1946"/>
      <c r="AD418" s="1946"/>
      <c r="AE418" s="1946"/>
      <c r="AL418" s="766"/>
      <c r="AM418" s="604"/>
      <c r="AN418" s="631"/>
    </row>
    <row r="419" spans="1:60" s="584" customFormat="1" ht="12.75" customHeight="1">
      <c r="A419" s="570"/>
      <c r="B419" s="14"/>
      <c r="C419" s="1955" t="s">
        <v>599</v>
      </c>
      <c r="D419" s="1956"/>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14" t="s">
        <v>1574</v>
      </c>
      <c r="AG419" s="2014"/>
      <c r="AH419" s="2014"/>
      <c r="AI419" s="2014"/>
      <c r="AJ419" s="2014"/>
      <c r="AK419" s="2014"/>
      <c r="AL419" s="204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1596</v>
      </c>
      <c r="F422" s="1945" t="s">
        <v>1597</v>
      </c>
      <c r="G422" s="1945"/>
      <c r="H422" s="1945"/>
      <c r="I422" s="1945"/>
      <c r="J422" s="1945"/>
      <c r="K422" s="1945"/>
      <c r="L422" s="1945"/>
      <c r="M422" s="1945"/>
      <c r="N422" s="1945"/>
      <c r="O422" s="1945"/>
      <c r="P422" s="1945"/>
      <c r="Q422" s="1945"/>
      <c r="R422" s="1945"/>
      <c r="S422" s="1945"/>
      <c r="T422" s="1945"/>
      <c r="U422" s="1945"/>
      <c r="V422" s="1945"/>
      <c r="W422" s="1945"/>
      <c r="X422" s="1945"/>
      <c r="Y422" s="1945"/>
      <c r="Z422" s="1945"/>
      <c r="AA422" s="1945"/>
      <c r="AB422" s="1945"/>
      <c r="AC422" s="1945"/>
      <c r="AD422" s="1945"/>
      <c r="AE422" s="1945"/>
      <c r="AF422" s="781"/>
      <c r="AG422" s="781"/>
      <c r="AH422" s="781"/>
      <c r="AI422" s="781"/>
      <c r="AJ422" s="781"/>
      <c r="AK422" s="781"/>
      <c r="AL422" s="782"/>
      <c r="AM422" s="604"/>
      <c r="AO422" s="584"/>
      <c r="AP422" s="584"/>
      <c r="BD422" s="14"/>
      <c r="BE422" s="14"/>
      <c r="BF422" s="14"/>
      <c r="BG422" s="14"/>
      <c r="BH422" s="14"/>
    </row>
    <row r="423" spans="1:60">
      <c r="A423" s="570"/>
      <c r="C423" s="765"/>
      <c r="E423" s="725"/>
      <c r="F423" s="1946"/>
      <c r="G423" s="1946"/>
      <c r="H423" s="1946"/>
      <c r="I423" s="1946"/>
      <c r="J423" s="1946"/>
      <c r="K423" s="1946"/>
      <c r="L423" s="1946"/>
      <c r="M423" s="1946"/>
      <c r="N423" s="1946"/>
      <c r="O423" s="1946"/>
      <c r="P423" s="1946"/>
      <c r="Q423" s="1946"/>
      <c r="R423" s="1946"/>
      <c r="S423" s="1946"/>
      <c r="T423" s="1946"/>
      <c r="U423" s="1946"/>
      <c r="V423" s="1946"/>
      <c r="W423" s="1946"/>
      <c r="X423" s="1946"/>
      <c r="Y423" s="1946"/>
      <c r="Z423" s="1946"/>
      <c r="AA423" s="1946"/>
      <c r="AB423" s="1946"/>
      <c r="AC423" s="1946"/>
      <c r="AD423" s="1946"/>
      <c r="AE423" s="1946"/>
      <c r="AF423" s="628"/>
      <c r="AG423" s="628"/>
      <c r="AH423" s="628"/>
      <c r="AI423" s="628"/>
      <c r="AJ423" s="628"/>
      <c r="AK423" s="628"/>
      <c r="AL423" s="784"/>
      <c r="AM423" s="604"/>
      <c r="AO423" s="584"/>
      <c r="AP423" s="584"/>
    </row>
    <row r="424" spans="1:60" s="584" customFormat="1" ht="12.75" customHeight="1">
      <c r="A424" s="570"/>
      <c r="B424" s="14"/>
      <c r="C424" s="765"/>
      <c r="D424" s="14"/>
      <c r="E424" s="725"/>
      <c r="F424" s="1946"/>
      <c r="G424" s="1946"/>
      <c r="H424" s="1946"/>
      <c r="I424" s="1946"/>
      <c r="J424" s="1946"/>
      <c r="K424" s="1946"/>
      <c r="L424" s="1946"/>
      <c r="M424" s="1946"/>
      <c r="N424" s="1946"/>
      <c r="O424" s="1946"/>
      <c r="P424" s="1946"/>
      <c r="Q424" s="1946"/>
      <c r="R424" s="1946"/>
      <c r="S424" s="1946"/>
      <c r="T424" s="1946"/>
      <c r="U424" s="1946"/>
      <c r="V424" s="1946"/>
      <c r="W424" s="1946"/>
      <c r="X424" s="1946"/>
      <c r="Y424" s="1946"/>
      <c r="Z424" s="1946"/>
      <c r="AA424" s="1946"/>
      <c r="AB424" s="1946"/>
      <c r="AC424" s="1946"/>
      <c r="AD424" s="1946"/>
      <c r="AE424" s="1946"/>
      <c r="AF424" s="628"/>
      <c r="AG424" s="628"/>
      <c r="AH424" s="628"/>
      <c r="AI424" s="628"/>
      <c r="AJ424" s="628"/>
      <c r="AK424" s="628"/>
      <c r="AL424" s="784"/>
      <c r="AM424" s="604"/>
      <c r="AN424" s="631"/>
    </row>
    <row r="425" spans="1:60" s="584" customFormat="1" ht="12.75" customHeight="1">
      <c r="A425" s="570"/>
      <c r="B425" s="14"/>
      <c r="C425" s="785"/>
      <c r="D425" s="764"/>
      <c r="E425" s="753"/>
      <c r="F425" s="1946"/>
      <c r="G425" s="1946"/>
      <c r="H425" s="1946"/>
      <c r="I425" s="1946"/>
      <c r="J425" s="1946"/>
      <c r="K425" s="1946"/>
      <c r="L425" s="1946"/>
      <c r="M425" s="1946"/>
      <c r="N425" s="1946"/>
      <c r="O425" s="1946"/>
      <c r="P425" s="1946"/>
      <c r="Q425" s="1946"/>
      <c r="R425" s="1946"/>
      <c r="S425" s="1946"/>
      <c r="T425" s="1946"/>
      <c r="U425" s="1946"/>
      <c r="V425" s="1946"/>
      <c r="W425" s="1946"/>
      <c r="X425" s="1946"/>
      <c r="Y425" s="1946"/>
      <c r="Z425" s="1946"/>
      <c r="AA425" s="1946"/>
      <c r="AB425" s="1946"/>
      <c r="AC425" s="1946"/>
      <c r="AD425" s="1946"/>
      <c r="AE425" s="194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46"/>
      <c r="G426" s="1946"/>
      <c r="H426" s="1946"/>
      <c r="I426" s="1946"/>
      <c r="J426" s="1946"/>
      <c r="K426" s="1946"/>
      <c r="L426" s="1946"/>
      <c r="M426" s="1946"/>
      <c r="N426" s="1946"/>
      <c r="O426" s="1946"/>
      <c r="P426" s="1946"/>
      <c r="Q426" s="1946"/>
      <c r="R426" s="1946"/>
      <c r="S426" s="1946"/>
      <c r="T426" s="1946"/>
      <c r="U426" s="1946"/>
      <c r="V426" s="1946"/>
      <c r="W426" s="1946"/>
      <c r="X426" s="1946"/>
      <c r="Y426" s="1946"/>
      <c r="Z426" s="1946"/>
      <c r="AA426" s="1946"/>
      <c r="AB426" s="1946"/>
      <c r="AC426" s="1946"/>
      <c r="AD426" s="1946"/>
      <c r="AE426" s="1946"/>
      <c r="AF426" s="628"/>
      <c r="AG426" s="628"/>
      <c r="AH426" s="628"/>
      <c r="AI426" s="628"/>
      <c r="AJ426" s="628"/>
      <c r="AK426" s="628"/>
      <c r="AL426" s="784"/>
      <c r="AM426" s="604"/>
      <c r="AN426" s="631"/>
    </row>
    <row r="427" spans="1:60" s="584" customFormat="1" ht="12.75" customHeight="1">
      <c r="A427" s="570"/>
      <c r="B427" s="14"/>
      <c r="C427" s="785"/>
      <c r="D427" s="764"/>
      <c r="E427" s="753"/>
      <c r="F427" s="1946"/>
      <c r="G427" s="1946"/>
      <c r="H427" s="1946"/>
      <c r="I427" s="1946"/>
      <c r="J427" s="1946"/>
      <c r="K427" s="1946"/>
      <c r="L427" s="1946"/>
      <c r="M427" s="1946"/>
      <c r="N427" s="1946"/>
      <c r="O427" s="1946"/>
      <c r="P427" s="1946"/>
      <c r="Q427" s="1946"/>
      <c r="R427" s="1946"/>
      <c r="S427" s="1946"/>
      <c r="T427" s="1946"/>
      <c r="U427" s="1946"/>
      <c r="V427" s="1946"/>
      <c r="W427" s="1946"/>
      <c r="X427" s="1946"/>
      <c r="Y427" s="1946"/>
      <c r="Z427" s="1946"/>
      <c r="AA427" s="1946"/>
      <c r="AB427" s="1946"/>
      <c r="AC427" s="1946"/>
      <c r="AD427" s="1946"/>
      <c r="AE427" s="1946"/>
      <c r="AF427" s="628"/>
      <c r="AG427" s="628"/>
      <c r="AH427" s="628"/>
      <c r="AI427" s="628"/>
      <c r="AJ427" s="628"/>
      <c r="AK427" s="628"/>
      <c r="AL427" s="784"/>
      <c r="AM427" s="604"/>
      <c r="AN427" s="631"/>
    </row>
    <row r="428" spans="1:60" s="584" customFormat="1" ht="12.75" customHeight="1">
      <c r="A428" s="570"/>
      <c r="B428" s="14"/>
      <c r="C428" s="785"/>
      <c r="D428" s="764"/>
      <c r="E428" s="753"/>
      <c r="F428" s="1946"/>
      <c r="G428" s="1946"/>
      <c r="H428" s="1946"/>
      <c r="I428" s="1946"/>
      <c r="J428" s="1946"/>
      <c r="K428" s="1946"/>
      <c r="L428" s="1946"/>
      <c r="M428" s="1946"/>
      <c r="N428" s="1946"/>
      <c r="O428" s="1946"/>
      <c r="P428" s="1946"/>
      <c r="Q428" s="1946"/>
      <c r="R428" s="1946"/>
      <c r="S428" s="1946"/>
      <c r="T428" s="1946"/>
      <c r="U428" s="1946"/>
      <c r="V428" s="1946"/>
      <c r="W428" s="1946"/>
      <c r="X428" s="1946"/>
      <c r="Y428" s="1946"/>
      <c r="Z428" s="1946"/>
      <c r="AA428" s="1946"/>
      <c r="AB428" s="1946"/>
      <c r="AC428" s="1946"/>
      <c r="AD428" s="1946"/>
      <c r="AE428" s="1946"/>
      <c r="AF428" s="628"/>
      <c r="AG428" s="628"/>
      <c r="AH428" s="628"/>
      <c r="AI428" s="628"/>
      <c r="AJ428" s="628"/>
      <c r="AK428" s="628"/>
      <c r="AL428" s="784"/>
      <c r="AM428" s="604"/>
      <c r="AN428" s="631"/>
    </row>
    <row r="429" spans="1:60" s="584" customFormat="1" ht="12.75" customHeight="1">
      <c r="A429" s="570"/>
      <c r="B429" s="14"/>
      <c r="C429" s="785"/>
      <c r="D429" s="764"/>
      <c r="E429" s="753"/>
      <c r="F429" s="1946"/>
      <c r="G429" s="1946"/>
      <c r="H429" s="1946"/>
      <c r="I429" s="1946"/>
      <c r="J429" s="1946"/>
      <c r="K429" s="1946"/>
      <c r="L429" s="1946"/>
      <c r="M429" s="1946"/>
      <c r="N429" s="1946"/>
      <c r="O429" s="1946"/>
      <c r="P429" s="1946"/>
      <c r="Q429" s="1946"/>
      <c r="R429" s="1946"/>
      <c r="S429" s="1946"/>
      <c r="T429" s="1946"/>
      <c r="U429" s="1946"/>
      <c r="V429" s="1946"/>
      <c r="W429" s="1946"/>
      <c r="X429" s="1946"/>
      <c r="Y429" s="1946"/>
      <c r="Z429" s="1946"/>
      <c r="AA429" s="1946"/>
      <c r="AB429" s="1946"/>
      <c r="AC429" s="1946"/>
      <c r="AD429" s="1946"/>
      <c r="AE429" s="1946"/>
      <c r="AF429" s="628"/>
      <c r="AG429" s="628"/>
      <c r="AH429" s="628"/>
      <c r="AI429" s="628"/>
      <c r="AJ429" s="628"/>
      <c r="AK429" s="628"/>
      <c r="AL429" s="784"/>
      <c r="AM429" s="604"/>
      <c r="AN429" s="631"/>
    </row>
    <row r="430" spans="1:60" s="584" customFormat="1" ht="17.25" customHeight="1">
      <c r="A430" s="570"/>
      <c r="B430" s="14"/>
      <c r="C430" s="785"/>
      <c r="D430" s="764"/>
      <c r="E430" s="753"/>
      <c r="F430" s="1946"/>
      <c r="G430" s="1946"/>
      <c r="H430" s="1946"/>
      <c r="I430" s="1946"/>
      <c r="J430" s="1946"/>
      <c r="K430" s="1946"/>
      <c r="L430" s="1946"/>
      <c r="M430" s="1946"/>
      <c r="N430" s="1946"/>
      <c r="O430" s="1946"/>
      <c r="P430" s="1946"/>
      <c r="Q430" s="1946"/>
      <c r="R430" s="1946"/>
      <c r="S430" s="1946"/>
      <c r="T430" s="1946"/>
      <c r="U430" s="1946"/>
      <c r="V430" s="1946"/>
      <c r="W430" s="1946"/>
      <c r="X430" s="1946"/>
      <c r="Y430" s="1946"/>
      <c r="Z430" s="1946"/>
      <c r="AA430" s="1946"/>
      <c r="AB430" s="1946"/>
      <c r="AC430" s="1946"/>
      <c r="AD430" s="1946"/>
      <c r="AE430" s="1946"/>
      <c r="AL430" s="766"/>
      <c r="AM430" s="604"/>
      <c r="AN430" s="631"/>
    </row>
    <row r="431" spans="1:60" s="584" customFormat="1" ht="12.75" customHeight="1">
      <c r="A431" s="570"/>
      <c r="B431" s="14"/>
      <c r="C431" s="1955" t="s">
        <v>599</v>
      </c>
      <c r="D431" s="1956"/>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14" t="s">
        <v>1574</v>
      </c>
      <c r="AG431" s="2014"/>
      <c r="AH431" s="2014"/>
      <c r="AI431" s="2014"/>
      <c r="AJ431" s="2014"/>
      <c r="AK431" s="2014"/>
      <c r="AL431" s="204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45" t="s">
        <v>1600</v>
      </c>
      <c r="G434" s="1945"/>
      <c r="H434" s="1945"/>
      <c r="I434" s="1945"/>
      <c r="J434" s="1945"/>
      <c r="K434" s="1945"/>
      <c r="L434" s="1945"/>
      <c r="M434" s="1945"/>
      <c r="N434" s="1945"/>
      <c r="O434" s="1945"/>
      <c r="P434" s="1945"/>
      <c r="Q434" s="1945"/>
      <c r="R434" s="1945"/>
      <c r="S434" s="1945"/>
      <c r="T434" s="1945"/>
      <c r="U434" s="1945"/>
      <c r="V434" s="1945"/>
      <c r="W434" s="1945"/>
      <c r="X434" s="1945"/>
      <c r="Y434" s="1945"/>
      <c r="Z434" s="1945"/>
      <c r="AA434" s="1945"/>
      <c r="AB434" s="1945"/>
      <c r="AC434" s="1945"/>
      <c r="AD434" s="1945"/>
      <c r="AE434" s="1945"/>
      <c r="AF434" s="748"/>
      <c r="AG434" s="748"/>
      <c r="AH434" s="748"/>
      <c r="AI434" s="748"/>
      <c r="AJ434" s="748"/>
      <c r="AK434" s="748"/>
      <c r="AL434" s="779"/>
      <c r="AM434" s="604"/>
      <c r="AN434" s="631"/>
    </row>
    <row r="435" spans="1:40" s="584" customFormat="1" ht="12.75" customHeight="1">
      <c r="A435" s="570"/>
      <c r="B435" s="14"/>
      <c r="C435" s="785"/>
      <c r="D435" s="764"/>
      <c r="E435" s="753"/>
      <c r="F435" s="1946"/>
      <c r="G435" s="1946"/>
      <c r="H435" s="1946"/>
      <c r="I435" s="1946"/>
      <c r="J435" s="1946"/>
      <c r="K435" s="1946"/>
      <c r="L435" s="1946"/>
      <c r="M435" s="1946"/>
      <c r="N435" s="1946"/>
      <c r="O435" s="1946"/>
      <c r="P435" s="1946"/>
      <c r="Q435" s="1946"/>
      <c r="R435" s="1946"/>
      <c r="S435" s="1946"/>
      <c r="T435" s="1946"/>
      <c r="U435" s="1946"/>
      <c r="V435" s="1946"/>
      <c r="W435" s="1946"/>
      <c r="X435" s="1946"/>
      <c r="Y435" s="1946"/>
      <c r="Z435" s="1946"/>
      <c r="AA435" s="1946"/>
      <c r="AB435" s="1946"/>
      <c r="AC435" s="1946"/>
      <c r="AD435" s="1946"/>
      <c r="AE435" s="1946"/>
      <c r="AF435" s="625"/>
      <c r="AG435" s="625"/>
      <c r="AH435" s="625"/>
      <c r="AI435" s="625"/>
      <c r="AJ435" s="625"/>
      <c r="AK435" s="625"/>
      <c r="AL435" s="754"/>
      <c r="AM435" s="604"/>
      <c r="AN435" s="631"/>
    </row>
    <row r="436" spans="1:40" s="584" customFormat="1" ht="12.75" customHeight="1">
      <c r="A436" s="570"/>
      <c r="B436" s="14"/>
      <c r="C436" s="785"/>
      <c r="D436" s="764"/>
      <c r="E436" s="753"/>
      <c r="F436" s="1946"/>
      <c r="G436" s="1946"/>
      <c r="H436" s="1946"/>
      <c r="I436" s="1946"/>
      <c r="J436" s="1946"/>
      <c r="K436" s="1946"/>
      <c r="L436" s="1946"/>
      <c r="M436" s="1946"/>
      <c r="N436" s="1946"/>
      <c r="O436" s="1946"/>
      <c r="P436" s="1946"/>
      <c r="Q436" s="1946"/>
      <c r="R436" s="1946"/>
      <c r="S436" s="1946"/>
      <c r="T436" s="1946"/>
      <c r="U436" s="1946"/>
      <c r="V436" s="1946"/>
      <c r="W436" s="1946"/>
      <c r="X436" s="1946"/>
      <c r="Y436" s="1946"/>
      <c r="Z436" s="1946"/>
      <c r="AA436" s="1946"/>
      <c r="AB436" s="1946"/>
      <c r="AC436" s="1946"/>
      <c r="AD436" s="1946"/>
      <c r="AE436" s="1946"/>
      <c r="AF436" s="625"/>
      <c r="AG436" s="625"/>
      <c r="AH436" s="625"/>
      <c r="AI436" s="625"/>
      <c r="AJ436" s="625"/>
      <c r="AK436" s="625"/>
      <c r="AL436" s="754"/>
      <c r="AM436" s="604"/>
      <c r="AN436" s="631"/>
    </row>
    <row r="437" spans="1:40" s="584" customFormat="1" ht="12.75" customHeight="1">
      <c r="A437" s="570"/>
      <c r="B437" s="14"/>
      <c r="C437" s="785"/>
      <c r="D437" s="764"/>
      <c r="E437" s="753"/>
      <c r="F437" s="1946"/>
      <c r="G437" s="1946"/>
      <c r="H437" s="1946"/>
      <c r="I437" s="1946"/>
      <c r="J437" s="1946"/>
      <c r="K437" s="1946"/>
      <c r="L437" s="1946"/>
      <c r="M437" s="1946"/>
      <c r="N437" s="1946"/>
      <c r="O437" s="1946"/>
      <c r="P437" s="1946"/>
      <c r="Q437" s="1946"/>
      <c r="R437" s="1946"/>
      <c r="S437" s="1946"/>
      <c r="T437" s="1946"/>
      <c r="U437" s="1946"/>
      <c r="V437" s="1946"/>
      <c r="W437" s="1946"/>
      <c r="X437" s="1946"/>
      <c r="Y437" s="1946"/>
      <c r="Z437" s="1946"/>
      <c r="AA437" s="1946"/>
      <c r="AB437" s="1946"/>
      <c r="AC437" s="1946"/>
      <c r="AD437" s="1946"/>
      <c r="AE437" s="1946"/>
      <c r="AL437" s="766"/>
      <c r="AM437" s="604"/>
      <c r="AN437" s="631"/>
    </row>
    <row r="438" spans="1:40" s="584" customFormat="1" ht="12.75" customHeight="1">
      <c r="A438" s="570"/>
      <c r="B438" s="14"/>
      <c r="C438" s="1955" t="s">
        <v>599</v>
      </c>
      <c r="D438" s="1956"/>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14" t="s">
        <v>1574</v>
      </c>
      <c r="AG438" s="2014"/>
      <c r="AH438" s="2014"/>
      <c r="AI438" s="2014"/>
      <c r="AJ438" s="2014"/>
      <c r="AK438" s="2014"/>
      <c r="AL438" s="2044"/>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73" t="s">
        <v>599</v>
      </c>
      <c r="D442" s="2074"/>
      <c r="E442" s="749" t="s">
        <v>1609</v>
      </c>
      <c r="F442" s="1945" t="s">
        <v>1610</v>
      </c>
      <c r="G442" s="1945"/>
      <c r="H442" s="1945"/>
      <c r="I442" s="1945"/>
      <c r="J442" s="1945"/>
      <c r="K442" s="1945"/>
      <c r="L442" s="1945"/>
      <c r="M442" s="1945"/>
      <c r="N442" s="1945"/>
      <c r="O442" s="1945"/>
      <c r="P442" s="1945"/>
      <c r="Q442" s="1945"/>
      <c r="R442" s="1945"/>
      <c r="S442" s="1945"/>
      <c r="T442" s="1945"/>
      <c r="U442" s="1945"/>
      <c r="V442" s="1945"/>
      <c r="W442" s="1945"/>
      <c r="X442" s="1945"/>
      <c r="Y442" s="1945"/>
      <c r="Z442" s="1945"/>
      <c r="AA442" s="1945"/>
      <c r="AB442" s="1945"/>
      <c r="AC442" s="1945"/>
      <c r="AD442" s="1945"/>
      <c r="AE442" s="1945"/>
      <c r="AF442" s="2040" t="s">
        <v>1574</v>
      </c>
      <c r="AG442" s="2040"/>
      <c r="AH442" s="2040"/>
      <c r="AI442" s="2040"/>
      <c r="AJ442" s="2040"/>
      <c r="AK442" s="2040"/>
      <c r="AL442" s="2041"/>
      <c r="AM442" s="604"/>
      <c r="AN442" s="787"/>
    </row>
    <row r="443" spans="1:40" s="584" customFormat="1" ht="12.75" customHeight="1">
      <c r="A443" s="570"/>
      <c r="B443" s="14"/>
      <c r="C443" s="785"/>
      <c r="D443" s="764"/>
      <c r="E443" s="753"/>
      <c r="F443" s="1946"/>
      <c r="G443" s="1946"/>
      <c r="H443" s="1946"/>
      <c r="I443" s="1946"/>
      <c r="J443" s="1946"/>
      <c r="K443" s="1946"/>
      <c r="L443" s="1946"/>
      <c r="M443" s="1946"/>
      <c r="N443" s="1946"/>
      <c r="O443" s="1946"/>
      <c r="P443" s="1946"/>
      <c r="Q443" s="1946"/>
      <c r="R443" s="1946"/>
      <c r="S443" s="1946"/>
      <c r="T443" s="1946"/>
      <c r="U443" s="1946"/>
      <c r="V443" s="1946"/>
      <c r="W443" s="1946"/>
      <c r="X443" s="1946"/>
      <c r="Y443" s="1946"/>
      <c r="Z443" s="1946"/>
      <c r="AA443" s="1946"/>
      <c r="AB443" s="1946"/>
      <c r="AC443" s="1946"/>
      <c r="AD443" s="1946"/>
      <c r="AE443" s="1946"/>
      <c r="AF443" s="625"/>
      <c r="AG443" s="625"/>
      <c r="AH443" s="625"/>
      <c r="AI443" s="625"/>
      <c r="AJ443" s="625"/>
      <c r="AK443" s="625"/>
      <c r="AL443" s="754"/>
      <c r="AM443" s="604"/>
      <c r="AN443" s="788"/>
    </row>
    <row r="444" spans="1:40" s="584" customFormat="1" ht="17.7" customHeight="1">
      <c r="A444" s="570"/>
      <c r="B444" s="14"/>
      <c r="C444" s="790"/>
      <c r="D444" s="757"/>
      <c r="E444" s="758"/>
      <c r="F444" s="2028"/>
      <c r="G444" s="2028"/>
      <c r="H444" s="2028"/>
      <c r="I444" s="2028"/>
      <c r="J444" s="2028"/>
      <c r="K444" s="2028"/>
      <c r="L444" s="2028"/>
      <c r="M444" s="2028"/>
      <c r="N444" s="2028"/>
      <c r="O444" s="2028"/>
      <c r="P444" s="2028"/>
      <c r="Q444" s="2028"/>
      <c r="R444" s="2028"/>
      <c r="S444" s="2028"/>
      <c r="T444" s="2028"/>
      <c r="U444" s="2028"/>
      <c r="V444" s="2028"/>
      <c r="W444" s="2028"/>
      <c r="X444" s="2028"/>
      <c r="Y444" s="2028"/>
      <c r="Z444" s="2028"/>
      <c r="AA444" s="2028"/>
      <c r="AB444" s="2028"/>
      <c r="AC444" s="2028"/>
      <c r="AD444" s="2028"/>
      <c r="AE444" s="202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55" t="s">
        <v>599</v>
      </c>
      <c r="D446" s="1956"/>
      <c r="E446" s="749" t="s">
        <v>1615</v>
      </c>
      <c r="F446" s="1945" t="s">
        <v>1616</v>
      </c>
      <c r="G446" s="1945"/>
      <c r="H446" s="1945"/>
      <c r="I446" s="1945"/>
      <c r="J446" s="1945"/>
      <c r="K446" s="1945"/>
      <c r="L446" s="1945"/>
      <c r="M446" s="1945"/>
      <c r="N446" s="1945"/>
      <c r="O446" s="1945"/>
      <c r="P446" s="1945"/>
      <c r="Q446" s="1945"/>
      <c r="R446" s="1945"/>
      <c r="S446" s="1945"/>
      <c r="T446" s="1945"/>
      <c r="U446" s="1945"/>
      <c r="V446" s="1945"/>
      <c r="W446" s="1945"/>
      <c r="X446" s="1945"/>
      <c r="Y446" s="1945"/>
      <c r="Z446" s="1945"/>
      <c r="AA446" s="1945"/>
      <c r="AB446" s="1945"/>
      <c r="AC446" s="1945"/>
      <c r="AD446" s="1945"/>
      <c r="AE446" s="1945"/>
      <c r="AF446" s="2040" t="s">
        <v>1574</v>
      </c>
      <c r="AG446" s="2040"/>
      <c r="AH446" s="2040"/>
      <c r="AI446" s="2040"/>
      <c r="AJ446" s="2040"/>
      <c r="AK446" s="2040"/>
      <c r="AL446" s="2041"/>
      <c r="AM446" s="604"/>
      <c r="AN446" s="569"/>
    </row>
    <row r="447" spans="1:40" s="584" customFormat="1" ht="12.75" customHeight="1">
      <c r="A447" s="570"/>
      <c r="B447" s="14"/>
      <c r="C447" s="765"/>
      <c r="D447" s="14"/>
      <c r="E447" s="725"/>
      <c r="F447" s="1946"/>
      <c r="G447" s="1946"/>
      <c r="H447" s="1946"/>
      <c r="I447" s="1946"/>
      <c r="J447" s="1946"/>
      <c r="K447" s="1946"/>
      <c r="L447" s="1946"/>
      <c r="M447" s="1946"/>
      <c r="N447" s="1946"/>
      <c r="O447" s="1946"/>
      <c r="P447" s="1946"/>
      <c r="Q447" s="1946"/>
      <c r="R447" s="1946"/>
      <c r="S447" s="1946"/>
      <c r="T447" s="1946"/>
      <c r="U447" s="1946"/>
      <c r="V447" s="1946"/>
      <c r="W447" s="1946"/>
      <c r="X447" s="1946"/>
      <c r="Y447" s="1946"/>
      <c r="Z447" s="1946"/>
      <c r="AA447" s="1946"/>
      <c r="AB447" s="1946"/>
      <c r="AC447" s="1946"/>
      <c r="AD447" s="1946"/>
      <c r="AE447" s="1946"/>
      <c r="AF447" s="573"/>
      <c r="AG447" s="570"/>
      <c r="AL447" s="766"/>
      <c r="AM447" s="604"/>
      <c r="AN447" s="569"/>
    </row>
    <row r="448" spans="1:40" s="584" customFormat="1" ht="12.75" customHeight="1">
      <c r="A448" s="570"/>
      <c r="B448" s="14"/>
      <c r="C448" s="765"/>
      <c r="D448" s="14"/>
      <c r="E448" s="725"/>
      <c r="F448" s="1946"/>
      <c r="G448" s="1946"/>
      <c r="H448" s="1946"/>
      <c r="I448" s="1946"/>
      <c r="J448" s="1946"/>
      <c r="K448" s="1946"/>
      <c r="L448" s="1946"/>
      <c r="M448" s="1946"/>
      <c r="N448" s="1946"/>
      <c r="O448" s="1946"/>
      <c r="P448" s="1946"/>
      <c r="Q448" s="1946"/>
      <c r="R448" s="1946"/>
      <c r="S448" s="1946"/>
      <c r="T448" s="1946"/>
      <c r="U448" s="1946"/>
      <c r="V448" s="1946"/>
      <c r="W448" s="1946"/>
      <c r="X448" s="1946"/>
      <c r="Y448" s="1946"/>
      <c r="Z448" s="1946"/>
      <c r="AA448" s="1946"/>
      <c r="AB448" s="1946"/>
      <c r="AC448" s="1946"/>
      <c r="AD448" s="1946"/>
      <c r="AE448" s="1946"/>
      <c r="AF448" s="573"/>
      <c r="AG448" s="570"/>
      <c r="AL448" s="766"/>
      <c r="AM448" s="604"/>
      <c r="AN448" s="569"/>
    </row>
    <row r="449" spans="1:48" s="584" customFormat="1" ht="12.75" customHeight="1">
      <c r="A449" s="570"/>
      <c r="B449" s="14"/>
      <c r="C449" s="790"/>
      <c r="D449" s="757"/>
      <c r="E449" s="758"/>
      <c r="F449" s="2028"/>
      <c r="G449" s="2028"/>
      <c r="H449" s="2028"/>
      <c r="I449" s="2028"/>
      <c r="J449" s="2028"/>
      <c r="K449" s="2028"/>
      <c r="L449" s="2028"/>
      <c r="M449" s="2028"/>
      <c r="N449" s="2028"/>
      <c r="O449" s="2028"/>
      <c r="P449" s="2028"/>
      <c r="Q449" s="2028"/>
      <c r="R449" s="2028"/>
      <c r="S449" s="2028"/>
      <c r="T449" s="2028"/>
      <c r="U449" s="2028"/>
      <c r="V449" s="2028"/>
      <c r="W449" s="2028"/>
      <c r="X449" s="2028"/>
      <c r="Y449" s="2028"/>
      <c r="Z449" s="2028"/>
      <c r="AA449" s="2028"/>
      <c r="AB449" s="2028"/>
      <c r="AC449" s="2028"/>
      <c r="AD449" s="2028"/>
      <c r="AE449" s="202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45" t="s">
        <v>1619</v>
      </c>
      <c r="G451" s="1945"/>
      <c r="H451" s="1945"/>
      <c r="I451" s="1945"/>
      <c r="J451" s="1945"/>
      <c r="K451" s="1945"/>
      <c r="L451" s="1945"/>
      <c r="M451" s="1945"/>
      <c r="N451" s="1945"/>
      <c r="O451" s="1945"/>
      <c r="P451" s="1945"/>
      <c r="Q451" s="1945"/>
      <c r="R451" s="1945"/>
      <c r="S451" s="1945"/>
      <c r="T451" s="1945"/>
      <c r="U451" s="1945"/>
      <c r="V451" s="1945"/>
      <c r="W451" s="1945"/>
      <c r="X451" s="1945"/>
      <c r="Y451" s="1945"/>
      <c r="Z451" s="1945"/>
      <c r="AA451" s="1945"/>
      <c r="AB451" s="1945"/>
      <c r="AC451" s="1945"/>
      <c r="AD451" s="1945"/>
      <c r="AE451" s="1945"/>
      <c r="AF451" s="1945"/>
      <c r="AG451" s="778"/>
      <c r="AH451" s="748"/>
      <c r="AI451" s="748"/>
      <c r="AJ451" s="748"/>
      <c r="AK451" s="748"/>
      <c r="AL451" s="779"/>
      <c r="AM451" s="604"/>
      <c r="AN451" s="631"/>
    </row>
    <row r="452" spans="1:48" s="584" customFormat="1" ht="12.75" customHeight="1">
      <c r="A452" s="570"/>
      <c r="B452" s="14"/>
      <c r="C452" s="765"/>
      <c r="D452" s="14"/>
      <c r="E452" s="725"/>
      <c r="F452" s="1946"/>
      <c r="G452" s="1946"/>
      <c r="H452" s="1946"/>
      <c r="I452" s="1946"/>
      <c r="J452" s="1946"/>
      <c r="K452" s="1946"/>
      <c r="L452" s="1946"/>
      <c r="M452" s="1946"/>
      <c r="N452" s="1946"/>
      <c r="O452" s="1946"/>
      <c r="P452" s="1946"/>
      <c r="Q452" s="1946"/>
      <c r="R452" s="1946"/>
      <c r="S452" s="1946"/>
      <c r="T452" s="1946"/>
      <c r="U452" s="1946"/>
      <c r="V452" s="1946"/>
      <c r="W452" s="1946"/>
      <c r="X452" s="1946"/>
      <c r="Y452" s="1946"/>
      <c r="Z452" s="1946"/>
      <c r="AA452" s="1946"/>
      <c r="AB452" s="1946"/>
      <c r="AC452" s="1946"/>
      <c r="AD452" s="1946"/>
      <c r="AE452" s="1946"/>
      <c r="AF452" s="1946"/>
      <c r="AL452" s="766"/>
      <c r="AM452" s="604"/>
      <c r="AN452" s="631"/>
    </row>
    <row r="453" spans="1:48" s="584" customFormat="1" ht="12.75" customHeight="1">
      <c r="A453" s="570"/>
      <c r="B453" s="14"/>
      <c r="C453" s="773"/>
      <c r="F453" s="1946"/>
      <c r="G453" s="1946"/>
      <c r="H453" s="1946"/>
      <c r="I453" s="1946"/>
      <c r="J453" s="1946"/>
      <c r="K453" s="1946"/>
      <c r="L453" s="1946"/>
      <c r="M453" s="1946"/>
      <c r="N453" s="1946"/>
      <c r="O453" s="1946"/>
      <c r="P453" s="1946"/>
      <c r="Q453" s="1946"/>
      <c r="R453" s="1946"/>
      <c r="S453" s="1946"/>
      <c r="T453" s="1946"/>
      <c r="U453" s="1946"/>
      <c r="V453" s="1946"/>
      <c r="W453" s="1946"/>
      <c r="X453" s="1946"/>
      <c r="Y453" s="1946"/>
      <c r="Z453" s="1946"/>
      <c r="AA453" s="1946"/>
      <c r="AB453" s="1946"/>
      <c r="AC453" s="1946"/>
      <c r="AD453" s="1946"/>
      <c r="AE453" s="1946"/>
      <c r="AF453" s="1946"/>
      <c r="AL453" s="766"/>
      <c r="AM453" s="604"/>
      <c r="AN453" s="631"/>
    </row>
    <row r="454" spans="1:48" s="584" customFormat="1" ht="12.75" customHeight="1">
      <c r="A454" s="570"/>
      <c r="B454" s="14"/>
      <c r="C454" s="773"/>
      <c r="F454" s="1946"/>
      <c r="G454" s="1946"/>
      <c r="H454" s="1946"/>
      <c r="I454" s="1946"/>
      <c r="J454" s="1946"/>
      <c r="K454" s="1946"/>
      <c r="L454" s="1946"/>
      <c r="M454" s="1946"/>
      <c r="N454" s="1946"/>
      <c r="O454" s="1946"/>
      <c r="P454" s="1946"/>
      <c r="Q454" s="1946"/>
      <c r="R454" s="1946"/>
      <c r="S454" s="1946"/>
      <c r="T454" s="1946"/>
      <c r="U454" s="1946"/>
      <c r="V454" s="1946"/>
      <c r="W454" s="1946"/>
      <c r="X454" s="1946"/>
      <c r="Y454" s="1946"/>
      <c r="Z454" s="1946"/>
      <c r="AA454" s="1946"/>
      <c r="AB454" s="1946"/>
      <c r="AC454" s="1946"/>
      <c r="AD454" s="1946"/>
      <c r="AE454" s="1946"/>
      <c r="AF454" s="1946"/>
      <c r="AL454" s="766"/>
      <c r="AM454" s="604"/>
      <c r="AN454" s="631"/>
    </row>
    <row r="455" spans="1:48" s="584" customFormat="1" ht="12.75" customHeight="1">
      <c r="A455" s="570"/>
      <c r="B455" s="14"/>
      <c r="C455" s="1955" t="s">
        <v>599</v>
      </c>
      <c r="D455" s="1956"/>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44" t="s">
        <v>1574</v>
      </c>
      <c r="AG455" s="1944"/>
      <c r="AH455" s="1944"/>
      <c r="AI455" s="1944"/>
      <c r="AJ455" s="1944"/>
      <c r="AK455" s="1944"/>
      <c r="AL455" s="195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41">
        <f>IF(Application!D214="N/A",AS347,AS349)</f>
        <v>12</v>
      </c>
      <c r="AL458" s="1942"/>
      <c r="AM458" s="194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1944" t="s">
        <v>1623</v>
      </c>
      <c r="AF461" s="1944"/>
      <c r="AG461" s="1944"/>
      <c r="AH461" s="1944"/>
      <c r="AI461" s="1944"/>
      <c r="AJ461" s="1944"/>
      <c r="AK461" s="1944"/>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21" t="s">
        <v>599</v>
      </c>
      <c r="D467" s="2022"/>
      <c r="E467" s="795" t="s">
        <v>515</v>
      </c>
      <c r="F467" s="2042" t="s">
        <v>1629</v>
      </c>
      <c r="G467" s="2042"/>
      <c r="H467" s="2042"/>
      <c r="I467" s="2042"/>
      <c r="J467" s="2042"/>
      <c r="K467" s="2042"/>
      <c r="L467" s="2042"/>
      <c r="M467" s="2042"/>
      <c r="N467" s="2042"/>
      <c r="O467" s="2042"/>
      <c r="P467" s="2042"/>
      <c r="Q467" s="2042"/>
      <c r="R467" s="2042"/>
      <c r="S467" s="2042"/>
      <c r="T467" s="2042"/>
      <c r="U467" s="2042"/>
      <c r="V467" s="2042"/>
      <c r="W467" s="2042"/>
      <c r="X467" s="2042"/>
      <c r="Y467" s="2042"/>
      <c r="Z467" s="2042"/>
      <c r="AA467" s="2042"/>
      <c r="AB467" s="2042"/>
      <c r="AC467" s="2042"/>
      <c r="AD467" s="2042"/>
      <c r="AE467" s="2042"/>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43"/>
      <c r="G468" s="2043"/>
      <c r="H468" s="2043"/>
      <c r="I468" s="2043"/>
      <c r="J468" s="2043"/>
      <c r="K468" s="2043"/>
      <c r="L468" s="2043"/>
      <c r="M468" s="2043"/>
      <c r="N468" s="2043"/>
      <c r="O468" s="2043"/>
      <c r="P468" s="2043"/>
      <c r="Q468" s="2043"/>
      <c r="R468" s="2043"/>
      <c r="S468" s="2043"/>
      <c r="T468" s="2043"/>
      <c r="U468" s="2043"/>
      <c r="V468" s="2043"/>
      <c r="W468" s="2043"/>
      <c r="X468" s="2043"/>
      <c r="Y468" s="2043"/>
      <c r="Z468" s="2043"/>
      <c r="AA468" s="2043"/>
      <c r="AB468" s="2043"/>
      <c r="AC468" s="2043"/>
      <c r="AD468" s="2043"/>
      <c r="AE468" s="2043"/>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37" t="s">
        <v>599</v>
      </c>
      <c r="G469" s="2037"/>
      <c r="H469" s="2037"/>
      <c r="I469" s="2037"/>
      <c r="J469" s="2037"/>
      <c r="K469" s="2037"/>
      <c r="L469" s="2037"/>
      <c r="M469" s="2037"/>
      <c r="N469" s="2037"/>
      <c r="O469" s="2037"/>
      <c r="P469" s="2037"/>
      <c r="Q469" s="2037"/>
      <c r="R469" s="2037"/>
      <c r="S469" s="2037"/>
      <c r="T469" s="2037"/>
      <c r="U469" s="2037"/>
      <c r="V469" s="2037"/>
      <c r="W469" s="2037"/>
      <c r="X469" s="2037"/>
      <c r="Y469" s="2037"/>
      <c r="Z469" s="2037"/>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38" t="s">
        <v>553</v>
      </c>
      <c r="D471" s="2039"/>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50" t="s">
        <v>599</v>
      </c>
      <c r="W474" s="1950"/>
      <c r="X474" s="1950"/>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50" t="s">
        <v>599</v>
      </c>
      <c r="W476" s="1950"/>
      <c r="X476" s="1950"/>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50" t="s">
        <v>599</v>
      </c>
      <c r="W481" s="1950"/>
      <c r="X481" s="1950"/>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24"/>
      <c r="E484" s="2024"/>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50" t="s">
        <v>599</v>
      </c>
      <c r="W485" s="1950"/>
      <c r="X485" s="1950"/>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50" t="s">
        <v>599</v>
      </c>
      <c r="W487" s="1950"/>
      <c r="X487" s="1950"/>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21" t="s">
        <v>599</v>
      </c>
      <c r="D490" s="2022"/>
      <c r="E490" s="795" t="s">
        <v>515</v>
      </c>
      <c r="F490" s="2042" t="s">
        <v>1629</v>
      </c>
      <c r="G490" s="2042"/>
      <c r="H490" s="2042"/>
      <c r="I490" s="2042"/>
      <c r="J490" s="2042"/>
      <c r="K490" s="2042"/>
      <c r="L490" s="2042"/>
      <c r="M490" s="2042"/>
      <c r="N490" s="2042"/>
      <c r="O490" s="2042"/>
      <c r="P490" s="2042"/>
      <c r="Q490" s="2042"/>
      <c r="R490" s="2042"/>
      <c r="S490" s="2042"/>
      <c r="T490" s="2042"/>
      <c r="U490" s="2042"/>
      <c r="V490" s="2042"/>
      <c r="W490" s="2042"/>
      <c r="X490" s="2042"/>
      <c r="Y490" s="2042"/>
      <c r="Z490" s="2042"/>
      <c r="AA490" s="2042"/>
      <c r="AB490" s="2042"/>
      <c r="AC490" s="2042"/>
      <c r="AD490" s="2042"/>
      <c r="AE490" s="204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3"/>
      <c r="G491" s="2043"/>
      <c r="H491" s="2043"/>
      <c r="I491" s="2043"/>
      <c r="J491" s="2043"/>
      <c r="K491" s="2043"/>
      <c r="L491" s="2043"/>
      <c r="M491" s="2043"/>
      <c r="N491" s="2043"/>
      <c r="O491" s="2043"/>
      <c r="P491" s="2043"/>
      <c r="Q491" s="2043"/>
      <c r="R491" s="2043"/>
      <c r="S491" s="2043"/>
      <c r="T491" s="2043"/>
      <c r="U491" s="2043"/>
      <c r="V491" s="2043"/>
      <c r="W491" s="2043"/>
      <c r="X491" s="2043"/>
      <c r="Y491" s="2043"/>
      <c r="Z491" s="2043"/>
      <c r="AA491" s="2043"/>
      <c r="AB491" s="2043"/>
      <c r="AC491" s="2043"/>
      <c r="AD491" s="2043"/>
      <c r="AE491" s="204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29" t="s">
        <v>599</v>
      </c>
      <c r="G492" s="2029"/>
      <c r="H492" s="2029"/>
      <c r="I492" s="2029"/>
      <c r="J492" s="2029"/>
      <c r="K492" s="2029"/>
      <c r="L492" s="2029"/>
      <c r="M492" s="2029"/>
      <c r="N492" s="2029"/>
      <c r="O492" s="2029"/>
      <c r="P492" s="2029"/>
      <c r="Q492" s="2029"/>
      <c r="R492" s="2029"/>
      <c r="S492" s="2029"/>
      <c r="T492" s="2029"/>
      <c r="U492" s="2029"/>
      <c r="V492" s="2029"/>
      <c r="W492" s="2029"/>
      <c r="X492" s="2029"/>
      <c r="Y492" s="2029"/>
      <c r="Z492" s="2029"/>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21" t="s">
        <v>599</v>
      </c>
      <c r="D494" s="2022"/>
      <c r="E494" s="795" t="s">
        <v>766</v>
      </c>
      <c r="F494" s="2030" t="s">
        <v>1651</v>
      </c>
      <c r="G494" s="2030"/>
      <c r="H494" s="2030"/>
      <c r="I494" s="2030"/>
      <c r="J494" s="2030"/>
      <c r="K494" s="2030"/>
      <c r="L494" s="2030"/>
      <c r="M494" s="2030"/>
      <c r="N494" s="2030"/>
      <c r="O494" s="2030"/>
      <c r="P494" s="2030"/>
      <c r="Q494" s="2030"/>
      <c r="R494" s="2030"/>
      <c r="S494" s="2030"/>
      <c r="T494" s="2030"/>
      <c r="U494" s="2030"/>
      <c r="V494" s="2030"/>
      <c r="W494" s="2030"/>
      <c r="X494" s="2030"/>
      <c r="Y494" s="2030"/>
      <c r="Z494" s="2030"/>
      <c r="AA494" s="2030"/>
      <c r="AB494" s="2030"/>
      <c r="AC494" s="2030"/>
      <c r="AD494" s="2030"/>
      <c r="AE494" s="203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31"/>
      <c r="G495" s="2031"/>
      <c r="H495" s="2031"/>
      <c r="I495" s="2031"/>
      <c r="J495" s="2031"/>
      <c r="K495" s="2031"/>
      <c r="L495" s="2031"/>
      <c r="M495" s="2031"/>
      <c r="N495" s="2031"/>
      <c r="O495" s="2031"/>
      <c r="P495" s="2031"/>
      <c r="Q495" s="2031"/>
      <c r="R495" s="2031"/>
      <c r="S495" s="2031"/>
      <c r="T495" s="2031"/>
      <c r="U495" s="2031"/>
      <c r="V495" s="2031"/>
      <c r="W495" s="2031"/>
      <c r="X495" s="2031"/>
      <c r="Y495" s="2031"/>
      <c r="Z495" s="2031"/>
      <c r="AA495" s="2031"/>
      <c r="AB495" s="2031"/>
      <c r="AC495" s="2031"/>
      <c r="AD495" s="2031"/>
      <c r="AE495" s="203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32" t="s">
        <v>599</v>
      </c>
      <c r="G497" s="2032"/>
      <c r="H497" s="203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21" t="s">
        <v>599</v>
      </c>
      <c r="D499" s="2022"/>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23"/>
      <c r="D501" s="2024"/>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25" t="s">
        <v>599</v>
      </c>
      <c r="H502" s="2025"/>
      <c r="I502" s="2025"/>
      <c r="J502" s="2025"/>
      <c r="K502" s="2025"/>
      <c r="L502" s="2025"/>
      <c r="M502" s="2025"/>
      <c r="N502" s="2025"/>
      <c r="O502" s="2025"/>
      <c r="P502" s="2025"/>
      <c r="Q502" s="2025"/>
      <c r="R502" s="2025"/>
      <c r="S502" s="2025"/>
      <c r="T502" s="2025"/>
      <c r="U502" s="2025"/>
      <c r="V502" s="2025"/>
      <c r="W502" s="2025"/>
      <c r="X502" s="2025"/>
      <c r="Y502" s="2025"/>
      <c r="Z502" s="2025"/>
      <c r="AA502" s="2025"/>
      <c r="AB502" s="2025"/>
      <c r="AC502" s="2025"/>
      <c r="AD502" s="2025"/>
      <c r="AE502" s="2025"/>
      <c r="AF502" s="202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26" t="s">
        <v>599</v>
      </c>
      <c r="D504" s="2027"/>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26" t="s">
        <v>599</v>
      </c>
      <c r="D508" s="2027"/>
      <c r="F508" s="829" t="s">
        <v>1659</v>
      </c>
      <c r="G508" s="1946" t="s">
        <v>1660</v>
      </c>
      <c r="H508" s="1946"/>
      <c r="I508" s="1946"/>
      <c r="J508" s="1946"/>
      <c r="K508" s="1946"/>
      <c r="L508" s="1946"/>
      <c r="M508" s="1946"/>
      <c r="N508" s="1946"/>
      <c r="O508" s="1946"/>
      <c r="P508" s="1946"/>
      <c r="Q508" s="1946"/>
      <c r="R508" s="1946"/>
      <c r="S508" s="1946"/>
      <c r="T508" s="1946"/>
      <c r="U508" s="1946"/>
      <c r="V508" s="1946"/>
      <c r="W508" s="1946"/>
      <c r="X508" s="1946"/>
      <c r="Y508" s="1946"/>
      <c r="Z508" s="1946"/>
      <c r="AA508" s="1946"/>
      <c r="AB508" s="1946"/>
      <c r="AC508" s="1946"/>
      <c r="AD508" s="1946"/>
      <c r="AE508" s="1946"/>
      <c r="AF508" s="1946"/>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8"/>
      <c r="H509" s="2028"/>
      <c r="I509" s="2028"/>
      <c r="J509" s="2028"/>
      <c r="K509" s="2028"/>
      <c r="L509" s="2028"/>
      <c r="M509" s="2028"/>
      <c r="N509" s="2028"/>
      <c r="O509" s="2028"/>
      <c r="P509" s="2028"/>
      <c r="Q509" s="2028"/>
      <c r="R509" s="2028"/>
      <c r="S509" s="2028"/>
      <c r="T509" s="2028"/>
      <c r="U509" s="2028"/>
      <c r="V509" s="2028"/>
      <c r="W509" s="2028"/>
      <c r="X509" s="2028"/>
      <c r="Y509" s="2028"/>
      <c r="Z509" s="2028"/>
      <c r="AA509" s="2028"/>
      <c r="AB509" s="2028"/>
      <c r="AC509" s="2028"/>
      <c r="AD509" s="2028"/>
      <c r="AE509" s="2028"/>
      <c r="AF509" s="202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33" t="s">
        <v>599</v>
      </c>
      <c r="D512" s="2034"/>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35" t="s">
        <v>599</v>
      </c>
      <c r="G513" s="2035"/>
      <c r="H513" s="2035"/>
      <c r="I513" s="2035"/>
      <c r="J513" s="2035"/>
      <c r="K513" s="2035"/>
      <c r="L513" s="2035"/>
      <c r="M513" s="2035"/>
      <c r="N513" s="2035"/>
      <c r="O513" s="2035"/>
      <c r="P513" s="2035"/>
      <c r="Q513" s="2035"/>
      <c r="R513" s="2035"/>
      <c r="S513" s="2035"/>
      <c r="T513" s="2035"/>
      <c r="U513" s="2035"/>
      <c r="V513" s="2035"/>
      <c r="W513" s="2035"/>
      <c r="X513" s="2035"/>
      <c r="Y513" s="2035"/>
      <c r="Z513" s="2035"/>
      <c r="AA513" s="2035"/>
      <c r="AB513" s="2035"/>
      <c r="AC513" s="2035"/>
      <c r="AD513" s="2035"/>
      <c r="AE513" s="2035"/>
      <c r="AF513" s="203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36"/>
      <c r="G514" s="2036"/>
      <c r="H514" s="2036"/>
      <c r="I514" s="2036"/>
      <c r="J514" s="2036"/>
      <c r="K514" s="2036"/>
      <c r="L514" s="2036"/>
      <c r="M514" s="2036"/>
      <c r="N514" s="2036"/>
      <c r="O514" s="2036"/>
      <c r="P514" s="2036"/>
      <c r="Q514" s="2036"/>
      <c r="R514" s="2036"/>
      <c r="S514" s="2036"/>
      <c r="T514" s="2036"/>
      <c r="U514" s="2036"/>
      <c r="V514" s="2036"/>
      <c r="W514" s="2036"/>
      <c r="X514" s="2036"/>
      <c r="Y514" s="2036"/>
      <c r="Z514" s="2036"/>
      <c r="AA514" s="2036"/>
      <c r="AB514" s="2036"/>
      <c r="AC514" s="2036"/>
      <c r="AD514" s="2036"/>
      <c r="AE514" s="2036"/>
      <c r="AF514" s="203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2339</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2340</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41">
        <f>SUM(AG468:AG513)</f>
        <v>0</v>
      </c>
      <c r="AL524" s="1942"/>
      <c r="AM524" s="194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47" t="s">
        <v>1672</v>
      </c>
      <c r="AF527" s="1947"/>
      <c r="AG527" s="1947"/>
      <c r="AH527" s="1947"/>
      <c r="AI527" s="1947"/>
      <c r="AJ527" s="1947"/>
      <c r="AK527" s="1947"/>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56" t="s">
        <v>599</v>
      </c>
      <c r="D530" s="1956"/>
      <c r="E530" s="585"/>
      <c r="F530" s="2015" t="s">
        <v>1673</v>
      </c>
      <c r="G530" s="2016"/>
      <c r="H530" s="2016"/>
      <c r="I530" s="2016"/>
      <c r="J530" s="2016"/>
      <c r="K530" s="2016"/>
      <c r="L530" s="2016"/>
      <c r="M530" s="2016"/>
      <c r="N530" s="2016"/>
      <c r="O530" s="2016"/>
      <c r="P530" s="2016"/>
      <c r="Q530" s="2016"/>
      <c r="R530" s="2016"/>
      <c r="S530" s="2016"/>
      <c r="T530" s="2016"/>
      <c r="U530" s="2016"/>
      <c r="V530" s="2016"/>
      <c r="W530" s="2016"/>
      <c r="X530" s="2016"/>
      <c r="Y530" s="2016"/>
      <c r="Z530" s="2016"/>
      <c r="AA530" s="2016"/>
      <c r="AB530" s="2016"/>
      <c r="AC530" s="2016"/>
      <c r="AD530" s="2016"/>
      <c r="AE530" s="2016"/>
      <c r="AF530" s="2016"/>
      <c r="AG530" s="2016"/>
      <c r="AH530" s="2016"/>
      <c r="AI530" s="2016"/>
      <c r="AJ530" s="2016"/>
      <c r="AK530" s="2016"/>
      <c r="AL530" s="2017"/>
      <c r="AM530" s="629"/>
      <c r="AN530" s="631"/>
    </row>
    <row r="531" spans="1:49" s="584" customFormat="1" ht="12.75" customHeight="1">
      <c r="A531" s="573"/>
      <c r="B531" s="573"/>
      <c r="C531" s="585"/>
      <c r="D531" s="585"/>
      <c r="E531" s="585"/>
      <c r="F531" s="2018"/>
      <c r="G531" s="2019"/>
      <c r="H531" s="2019"/>
      <c r="I531" s="2019"/>
      <c r="J531" s="2019"/>
      <c r="K531" s="2019"/>
      <c r="L531" s="2019"/>
      <c r="M531" s="2019"/>
      <c r="N531" s="2019"/>
      <c r="O531" s="2019"/>
      <c r="P531" s="2019"/>
      <c r="Q531" s="2019"/>
      <c r="R531" s="2019"/>
      <c r="S531" s="2019"/>
      <c r="T531" s="2019"/>
      <c r="U531" s="2019"/>
      <c r="V531" s="2019"/>
      <c r="W531" s="2019"/>
      <c r="X531" s="2019"/>
      <c r="Y531" s="2019"/>
      <c r="Z531" s="2019"/>
      <c r="AA531" s="2019"/>
      <c r="AB531" s="2019"/>
      <c r="AC531" s="2019"/>
      <c r="AD531" s="2019"/>
      <c r="AE531" s="2019"/>
      <c r="AF531" s="2019"/>
      <c r="AG531" s="2019"/>
      <c r="AH531" s="2019"/>
      <c r="AI531" s="2019"/>
      <c r="AJ531" s="2019"/>
      <c r="AK531" s="2019"/>
      <c r="AL531" s="202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56" t="s">
        <v>553</v>
      </c>
      <c r="D533" s="1956"/>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33" t="s">
        <v>1675</v>
      </c>
      <c r="G534" s="1934"/>
      <c r="H534" s="1934"/>
      <c r="I534" s="1934"/>
      <c r="J534" s="1934"/>
      <c r="K534" s="1934"/>
      <c r="L534" s="1934"/>
      <c r="M534" s="1934"/>
      <c r="N534" s="1934"/>
      <c r="O534" s="1934"/>
      <c r="P534" s="1934"/>
      <c r="Q534" s="1934"/>
      <c r="R534" s="1934"/>
      <c r="S534" s="1934"/>
      <c r="T534" s="1934"/>
      <c r="U534" s="1934"/>
      <c r="V534" s="1934"/>
      <c r="W534" s="1934"/>
      <c r="X534" s="1934"/>
      <c r="Y534" s="1934"/>
      <c r="Z534" s="1934"/>
      <c r="AA534" s="1934"/>
      <c r="AB534" s="1934"/>
      <c r="AC534" s="1934"/>
      <c r="AD534" s="1934"/>
      <c r="AE534" s="1934"/>
      <c r="AF534" s="1934"/>
      <c r="AG534" s="1934"/>
      <c r="AH534" s="1934"/>
      <c r="AI534" s="1934"/>
      <c r="AJ534" s="1934"/>
      <c r="AK534" s="1934"/>
      <c r="AL534" s="1935"/>
      <c r="AM534" s="629"/>
      <c r="AN534" s="631"/>
      <c r="AS534" s="904"/>
      <c r="AT534" s="904"/>
      <c r="AU534" s="904"/>
      <c r="AV534" s="904"/>
      <c r="AW534" s="904"/>
    </row>
    <row r="535" spans="1:49" s="584" customFormat="1" ht="12.75" customHeight="1">
      <c r="B535" s="840"/>
      <c r="C535" s="840"/>
      <c r="D535" s="840"/>
      <c r="E535" s="840"/>
      <c r="F535" s="1933"/>
      <c r="G535" s="1934"/>
      <c r="H535" s="1934"/>
      <c r="I535" s="1934"/>
      <c r="J535" s="1934"/>
      <c r="K535" s="1934"/>
      <c r="L535" s="1934"/>
      <c r="M535" s="1934"/>
      <c r="N535" s="1934"/>
      <c r="O535" s="1934"/>
      <c r="P535" s="1934"/>
      <c r="Q535" s="1934"/>
      <c r="R535" s="1934"/>
      <c r="S535" s="1934"/>
      <c r="T535" s="1934"/>
      <c r="U535" s="1934"/>
      <c r="V535" s="1934"/>
      <c r="W535" s="1934"/>
      <c r="X535" s="1934"/>
      <c r="Y535" s="1934"/>
      <c r="Z535" s="1934"/>
      <c r="AA535" s="1934"/>
      <c r="AB535" s="1934"/>
      <c r="AC535" s="1934"/>
      <c r="AD535" s="1934"/>
      <c r="AE535" s="1934"/>
      <c r="AF535" s="1934"/>
      <c r="AG535" s="1934"/>
      <c r="AH535" s="1934"/>
      <c r="AI535" s="1934"/>
      <c r="AJ535" s="1934"/>
      <c r="AK535" s="1934"/>
      <c r="AL535" s="1935"/>
      <c r="AM535" s="629"/>
      <c r="AN535" s="631"/>
    </row>
    <row r="536" spans="1:49" s="584" customFormat="1" ht="12.75" customHeight="1">
      <c r="B536" s="840"/>
      <c r="C536" s="840"/>
      <c r="D536" s="840"/>
      <c r="E536" s="840"/>
      <c r="F536" s="845" t="s">
        <v>2341</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33" t="s">
        <v>1676</v>
      </c>
      <c r="G537" s="1934"/>
      <c r="H537" s="1934"/>
      <c r="I537" s="1934"/>
      <c r="J537" s="1934"/>
      <c r="K537" s="1934"/>
      <c r="L537" s="1934"/>
      <c r="M537" s="1934"/>
      <c r="N537" s="1934"/>
      <c r="O537" s="1934"/>
      <c r="P537" s="1934"/>
      <c r="Q537" s="1934"/>
      <c r="R537" s="1934"/>
      <c r="S537" s="1934"/>
      <c r="T537" s="1934"/>
      <c r="U537" s="1934"/>
      <c r="V537" s="1934"/>
      <c r="W537" s="1934"/>
      <c r="X537" s="1934"/>
      <c r="Y537" s="1934"/>
      <c r="Z537" s="1934"/>
      <c r="AA537" s="1934"/>
      <c r="AB537" s="1934"/>
      <c r="AC537" s="1934"/>
      <c r="AD537" s="1934"/>
      <c r="AE537" s="1934"/>
      <c r="AF537" s="1934"/>
      <c r="AG537" s="1934"/>
      <c r="AH537" s="1934"/>
      <c r="AI537" s="1934"/>
      <c r="AJ537" s="1934"/>
      <c r="AK537" s="1934"/>
      <c r="AL537" s="847"/>
      <c r="AM537" s="629"/>
      <c r="AN537" s="631"/>
    </row>
    <row r="538" spans="1:49" s="584" customFormat="1" ht="12.75" customHeight="1">
      <c r="B538" s="840"/>
      <c r="C538" s="840"/>
      <c r="D538" s="840"/>
      <c r="E538" s="840"/>
      <c r="F538" s="1936"/>
      <c r="G538" s="1937"/>
      <c r="H538" s="1937"/>
      <c r="I538" s="1937"/>
      <c r="J538" s="1937"/>
      <c r="K538" s="1937"/>
      <c r="L538" s="1937"/>
      <c r="M538" s="1937"/>
      <c r="N538" s="1937"/>
      <c r="O538" s="1937"/>
      <c r="P538" s="1937"/>
      <c r="Q538" s="1937"/>
      <c r="R538" s="1937"/>
      <c r="S538" s="1937"/>
      <c r="T538" s="1937"/>
      <c r="U538" s="1937"/>
      <c r="V538" s="1937"/>
      <c r="W538" s="1937"/>
      <c r="X538" s="1937"/>
      <c r="Y538" s="1937"/>
      <c r="Z538" s="1937"/>
      <c r="AA538" s="1937"/>
      <c r="AB538" s="1937"/>
      <c r="AC538" s="1937"/>
      <c r="AD538" s="1937"/>
      <c r="AE538" s="1937"/>
      <c r="AF538" s="1937"/>
      <c r="AG538" s="1937"/>
      <c r="AH538" s="1937"/>
      <c r="AI538" s="1937"/>
      <c r="AJ538" s="1937"/>
      <c r="AK538" s="193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28">
        <f>Application!AJ991</f>
        <v>67771172</v>
      </c>
      <c r="AQ539" s="1928"/>
      <c r="AR539" s="1928"/>
      <c r="AS539" s="584" t="s">
        <v>2526</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38">
        <f>'Sources and Uses Budget'!S107+'Sources and Uses Budget'!T107</f>
        <v>68613798.33371</v>
      </c>
      <c r="AG540" s="1938"/>
      <c r="AH540" s="1938"/>
      <c r="AI540" s="1938"/>
      <c r="AJ540" s="1938"/>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39">
        <f>IFERROR(AP548,0)</f>
        <v>123968314.19999999</v>
      </c>
      <c r="AG541" s="1939"/>
      <c r="AH541" s="1939"/>
      <c r="AI541" s="1939"/>
      <c r="AJ541" s="1939"/>
      <c r="AK541" s="629"/>
      <c r="AL541" s="629"/>
      <c r="AM541" s="629"/>
      <c r="AN541" s="631"/>
      <c r="AP541" s="1928">
        <f>Application!AJ1044</f>
        <v>0</v>
      </c>
      <c r="AQ541" s="1928"/>
      <c r="AR541" s="1928"/>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40">
        <f>IFERROR(ROUNDDOWN(IF(C533="YES",((1-(AF540/AF541))*2),(1-(AF540/AF541))),2),0)</f>
        <v>0.89</v>
      </c>
      <c r="AG542" s="1940"/>
      <c r="AH542" s="1940"/>
      <c r="AI542" s="1940"/>
      <c r="AJ542" s="1940"/>
      <c r="AK542" s="629"/>
      <c r="AL542" s="629"/>
      <c r="AM542" s="629"/>
      <c r="AN542" s="631"/>
      <c r="AP542" s="1929">
        <f>Application!AJ1048</f>
        <v>40662703.199999996</v>
      </c>
      <c r="AQ542" s="1929"/>
      <c r="AR542" s="1929"/>
      <c r="AS542" s="584" t="s">
        <v>2527</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48">
        <f>IF(((AP541+AP542)/AP539)&gt;0.8,0.8,((AP541+AP542)/AP539))</f>
        <v>0.6</v>
      </c>
      <c r="AQ543" s="1948"/>
      <c r="AR543" s="1948"/>
      <c r="AS543" s="584" t="s">
        <v>2528</v>
      </c>
    </row>
    <row r="544" spans="1:49" s="584" customFormat="1" ht="12.75" customHeight="1">
      <c r="A544" s="658"/>
      <c r="B544" s="1994" t="s">
        <v>2342</v>
      </c>
      <c r="C544" s="1995"/>
      <c r="D544" s="1995"/>
      <c r="E544" s="1995"/>
      <c r="F544" s="1995"/>
      <c r="G544" s="1995"/>
      <c r="H544" s="1995"/>
      <c r="I544" s="1995"/>
      <c r="J544" s="1995"/>
      <c r="K544" s="1995"/>
      <c r="L544" s="1995"/>
      <c r="M544" s="1995"/>
      <c r="N544" s="1995"/>
      <c r="O544" s="1995"/>
      <c r="P544" s="1995"/>
      <c r="Q544" s="1995"/>
      <c r="R544" s="1995"/>
      <c r="S544" s="1995"/>
      <c r="T544" s="1995"/>
      <c r="U544" s="1995"/>
      <c r="V544" s="1995"/>
      <c r="W544" s="1995"/>
      <c r="X544" s="1995"/>
      <c r="Y544" s="1995"/>
      <c r="Z544" s="1995"/>
      <c r="AA544" s="1995"/>
      <c r="AB544" s="1995"/>
      <c r="AC544" s="1995"/>
      <c r="AD544" s="1995"/>
      <c r="AE544" s="1995"/>
      <c r="AF544" s="1995"/>
      <c r="AG544" s="1995"/>
      <c r="AH544" s="1995"/>
      <c r="AI544" s="1995"/>
      <c r="AJ544" s="1996"/>
      <c r="AK544" s="629"/>
      <c r="AL544" s="629"/>
      <c r="AM544" s="629"/>
      <c r="AN544" s="631"/>
    </row>
    <row r="545" spans="1:45" s="584" customFormat="1" ht="12.75" customHeight="1">
      <c r="A545" s="658"/>
      <c r="B545" s="1997"/>
      <c r="C545" s="1998"/>
      <c r="D545" s="1998"/>
      <c r="E545" s="1998"/>
      <c r="F545" s="1998"/>
      <c r="G545" s="1998"/>
      <c r="H545" s="1998"/>
      <c r="I545" s="1998"/>
      <c r="J545" s="1998"/>
      <c r="K545" s="1998"/>
      <c r="L545" s="1998"/>
      <c r="M545" s="1998"/>
      <c r="N545" s="1998"/>
      <c r="O545" s="1998"/>
      <c r="P545" s="1998"/>
      <c r="Q545" s="1998"/>
      <c r="R545" s="1998"/>
      <c r="S545" s="1998"/>
      <c r="T545" s="1998"/>
      <c r="U545" s="1998"/>
      <c r="V545" s="1998"/>
      <c r="W545" s="1998"/>
      <c r="X545" s="1998"/>
      <c r="Y545" s="1998"/>
      <c r="Z545" s="1998"/>
      <c r="AA545" s="1998"/>
      <c r="AB545" s="1998"/>
      <c r="AC545" s="1998"/>
      <c r="AD545" s="1998"/>
      <c r="AE545" s="1998"/>
      <c r="AF545" s="1998"/>
      <c r="AG545" s="1998"/>
      <c r="AH545" s="1998"/>
      <c r="AI545" s="1998"/>
      <c r="AJ545" s="1999"/>
      <c r="AK545" s="629"/>
      <c r="AL545" s="629"/>
      <c r="AM545" s="629"/>
      <c r="AN545" s="631"/>
      <c r="AP545" s="1928">
        <f>AP546-AP541-AP542</f>
        <v>83305611</v>
      </c>
      <c r="AQ545" s="1949"/>
      <c r="AR545" s="1949"/>
      <c r="AS545" s="584" t="s">
        <v>2530</v>
      </c>
    </row>
    <row r="546" spans="1:45" s="584" customFormat="1" ht="12.75" customHeight="1">
      <c r="A546" s="658"/>
      <c r="B546" s="2000"/>
      <c r="C546" s="2001"/>
      <c r="D546" s="2001"/>
      <c r="E546" s="2001"/>
      <c r="F546" s="2001"/>
      <c r="G546" s="2001"/>
      <c r="H546" s="2001"/>
      <c r="I546" s="2001"/>
      <c r="J546" s="2001"/>
      <c r="K546" s="2001"/>
      <c r="L546" s="2001"/>
      <c r="M546" s="2001"/>
      <c r="N546" s="2001"/>
      <c r="O546" s="2001"/>
      <c r="P546" s="2001"/>
      <c r="Q546" s="2001"/>
      <c r="R546" s="2001"/>
      <c r="S546" s="2001"/>
      <c r="T546" s="2001"/>
      <c r="U546" s="2001"/>
      <c r="V546" s="2001"/>
      <c r="W546" s="2001"/>
      <c r="X546" s="2001"/>
      <c r="Y546" s="2001"/>
      <c r="Z546" s="2001"/>
      <c r="AA546" s="2001"/>
      <c r="AB546" s="2001"/>
      <c r="AC546" s="2001"/>
      <c r="AD546" s="2001"/>
      <c r="AE546" s="2001"/>
      <c r="AF546" s="2001"/>
      <c r="AG546" s="2001"/>
      <c r="AH546" s="2001"/>
      <c r="AI546" s="2001"/>
      <c r="AJ546" s="2002"/>
      <c r="AK546" s="629"/>
      <c r="AL546" s="629"/>
      <c r="AM546" s="629"/>
      <c r="AN546" s="631"/>
      <c r="AP546" s="1928">
        <f>Application!AJ1052</f>
        <v>123968314.19999999</v>
      </c>
      <c r="AQ546" s="1928"/>
      <c r="AR546" s="1928"/>
      <c r="AS546" s="584" t="s">
        <v>2529</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03">
        <f>IFERROR(IF(AND(C530="N/A",C533="N/A"),0,IF(AF542=0,0,IF((AF542*100)&gt;12,12,(AF542*100)))),0)</f>
        <v>12</v>
      </c>
      <c r="AL548" s="2003"/>
      <c r="AM548" s="2004"/>
      <c r="AN548" s="631"/>
      <c r="AP548" s="1917">
        <f>AP545+(AP539*AP543)</f>
        <v>123968314.19999999</v>
      </c>
      <c r="AQ548" s="1918"/>
      <c r="AR548" s="191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2332</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47" t="s">
        <v>1425</v>
      </c>
      <c r="AF551" s="1947"/>
      <c r="AG551" s="1947"/>
      <c r="AH551" s="1947"/>
      <c r="AI551" s="1947"/>
      <c r="AJ551" s="1947"/>
      <c r="AK551" s="194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34" t="s">
        <v>2333</v>
      </c>
      <c r="C553" s="1934"/>
      <c r="D553" s="1934"/>
      <c r="E553" s="1934"/>
      <c r="F553" s="1934"/>
      <c r="G553" s="1934"/>
      <c r="H553" s="1934"/>
      <c r="I553" s="1934"/>
      <c r="J553" s="1934"/>
      <c r="K553" s="1934"/>
      <c r="L553" s="1934"/>
      <c r="M553" s="1934"/>
      <c r="N553" s="1934"/>
      <c r="O553" s="1934"/>
      <c r="P553" s="1934"/>
      <c r="Q553" s="1934"/>
      <c r="R553" s="1934"/>
      <c r="S553" s="1934"/>
      <c r="T553" s="1934"/>
      <c r="U553" s="1934"/>
      <c r="V553" s="1934"/>
      <c r="W553" s="1934"/>
      <c r="X553" s="1934"/>
      <c r="Y553" s="1934"/>
      <c r="Z553" s="1934"/>
      <c r="AA553" s="1934"/>
      <c r="AB553" s="1934"/>
      <c r="AC553" s="1934"/>
      <c r="AD553" s="1934"/>
      <c r="AE553" s="1934"/>
      <c r="AF553" s="1934"/>
      <c r="AG553" s="1934"/>
      <c r="AH553" s="1934"/>
      <c r="AI553" s="1934"/>
      <c r="AJ553" s="1934"/>
      <c r="AK553" s="676"/>
      <c r="AL553" s="607"/>
      <c r="AM553" s="637"/>
      <c r="AN553" s="631"/>
    </row>
    <row r="554" spans="1:45" s="584" customFormat="1" ht="12.75" customHeight="1">
      <c r="A554" s="637"/>
      <c r="B554" s="1934"/>
      <c r="C554" s="1934"/>
      <c r="D554" s="1934"/>
      <c r="E554" s="1934"/>
      <c r="F554" s="1934"/>
      <c r="G554" s="1934"/>
      <c r="H554" s="1934"/>
      <c r="I554" s="1934"/>
      <c r="J554" s="1934"/>
      <c r="K554" s="1934"/>
      <c r="L554" s="1934"/>
      <c r="M554" s="1934"/>
      <c r="N554" s="1934"/>
      <c r="O554" s="1934"/>
      <c r="P554" s="1934"/>
      <c r="Q554" s="1934"/>
      <c r="R554" s="1934"/>
      <c r="S554" s="1934"/>
      <c r="T554" s="1934"/>
      <c r="U554" s="1934"/>
      <c r="V554" s="1934"/>
      <c r="W554" s="1934"/>
      <c r="X554" s="1934"/>
      <c r="Y554" s="1934"/>
      <c r="Z554" s="1934"/>
      <c r="AA554" s="1934"/>
      <c r="AB554" s="1934"/>
      <c r="AC554" s="1934"/>
      <c r="AD554" s="1934"/>
      <c r="AE554" s="1934"/>
      <c r="AF554" s="1934"/>
      <c r="AG554" s="1934"/>
      <c r="AH554" s="1934"/>
      <c r="AI554" s="1934"/>
      <c r="AJ554" s="1934"/>
      <c r="AK554" s="676"/>
      <c r="AL554" s="607"/>
      <c r="AM554" s="637"/>
      <c r="AN554" s="631"/>
    </row>
    <row r="555" spans="1:45" s="584" customFormat="1" ht="12.75" customHeight="1">
      <c r="A555" s="637"/>
      <c r="B555" s="1934"/>
      <c r="C555" s="1934"/>
      <c r="D555" s="1934"/>
      <c r="E555" s="1934"/>
      <c r="F555" s="1934"/>
      <c r="G555" s="1934"/>
      <c r="H555" s="1934"/>
      <c r="I555" s="1934"/>
      <c r="J555" s="1934"/>
      <c r="K555" s="1934"/>
      <c r="L555" s="1934"/>
      <c r="M555" s="1934"/>
      <c r="N555" s="1934"/>
      <c r="O555" s="1934"/>
      <c r="P555" s="1934"/>
      <c r="Q555" s="1934"/>
      <c r="R555" s="1934"/>
      <c r="S555" s="1934"/>
      <c r="T555" s="1934"/>
      <c r="U555" s="1934"/>
      <c r="V555" s="1934"/>
      <c r="W555" s="1934"/>
      <c r="X555" s="1934"/>
      <c r="Y555" s="1934"/>
      <c r="Z555" s="1934"/>
      <c r="AA555" s="1934"/>
      <c r="AB555" s="1934"/>
      <c r="AC555" s="1934"/>
      <c r="AD555" s="1934"/>
      <c r="AE555" s="1934"/>
      <c r="AF555" s="1934"/>
      <c r="AG555" s="1934"/>
      <c r="AH555" s="1934"/>
      <c r="AI555" s="1934"/>
      <c r="AJ555" s="1934"/>
      <c r="AK555" s="676"/>
      <c r="AL555" s="607"/>
      <c r="AM555" s="637"/>
      <c r="AN555" s="631"/>
    </row>
    <row r="556" spans="1:45" s="584" customFormat="1" ht="12.75" customHeight="1">
      <c r="A556" s="637"/>
      <c r="B556" s="1934"/>
      <c r="C556" s="1934"/>
      <c r="D556" s="1934"/>
      <c r="E556" s="1934"/>
      <c r="F556" s="1934"/>
      <c r="G556" s="1934"/>
      <c r="H556" s="1934"/>
      <c r="I556" s="1934"/>
      <c r="J556" s="1934"/>
      <c r="K556" s="1934"/>
      <c r="L556" s="1934"/>
      <c r="M556" s="1934"/>
      <c r="N556" s="1934"/>
      <c r="O556" s="1934"/>
      <c r="P556" s="1934"/>
      <c r="Q556" s="1934"/>
      <c r="R556" s="1934"/>
      <c r="S556" s="1934"/>
      <c r="T556" s="1934"/>
      <c r="U556" s="1934"/>
      <c r="V556" s="1934"/>
      <c r="W556" s="1934"/>
      <c r="X556" s="1934"/>
      <c r="Y556" s="1934"/>
      <c r="Z556" s="1934"/>
      <c r="AA556" s="1934"/>
      <c r="AB556" s="1934"/>
      <c r="AC556" s="1934"/>
      <c r="AD556" s="1934"/>
      <c r="AE556" s="1934"/>
      <c r="AF556" s="1934"/>
      <c r="AG556" s="1934"/>
      <c r="AH556" s="1934"/>
      <c r="AI556" s="1934"/>
      <c r="AJ556" s="1934"/>
      <c r="AK556" s="676"/>
      <c r="AL556" s="607"/>
      <c r="AM556" s="637"/>
      <c r="AN556" s="631"/>
    </row>
    <row r="557" spans="1:45" s="584" customFormat="1" ht="12.75" customHeight="1">
      <c r="A557" s="637"/>
      <c r="B557" s="1934"/>
      <c r="C557" s="1934"/>
      <c r="D557" s="1934"/>
      <c r="E557" s="1934"/>
      <c r="F557" s="1934"/>
      <c r="G557" s="1934"/>
      <c r="H557" s="1934"/>
      <c r="I557" s="1934"/>
      <c r="J557" s="1934"/>
      <c r="K557" s="1934"/>
      <c r="L557" s="1934"/>
      <c r="M557" s="1934"/>
      <c r="N557" s="1934"/>
      <c r="O557" s="1934"/>
      <c r="P557" s="1934"/>
      <c r="Q557" s="1934"/>
      <c r="R557" s="1934"/>
      <c r="S557" s="1934"/>
      <c r="T557" s="1934"/>
      <c r="U557" s="1934"/>
      <c r="V557" s="1934"/>
      <c r="W557" s="1934"/>
      <c r="X557" s="1934"/>
      <c r="Y557" s="1934"/>
      <c r="Z557" s="1934"/>
      <c r="AA557" s="1934"/>
      <c r="AB557" s="1934"/>
      <c r="AC557" s="1934"/>
      <c r="AD557" s="1934"/>
      <c r="AE557" s="1934"/>
      <c r="AF557" s="1934"/>
      <c r="AG557" s="1934"/>
      <c r="AH557" s="1934"/>
      <c r="AI557" s="1934"/>
      <c r="AJ557" s="1934"/>
      <c r="AK557" s="676"/>
      <c r="AL557" s="607"/>
      <c r="AM557" s="637"/>
      <c r="AN557" s="631"/>
    </row>
    <row r="558" spans="1:45" s="584" customFormat="1" ht="12.75" customHeight="1">
      <c r="A558" s="637"/>
      <c r="B558" s="1934"/>
      <c r="C558" s="1934"/>
      <c r="D558" s="1934"/>
      <c r="E558" s="1934"/>
      <c r="F558" s="1934"/>
      <c r="G558" s="1934"/>
      <c r="H558" s="1934"/>
      <c r="I558" s="1934"/>
      <c r="J558" s="1934"/>
      <c r="K558" s="1934"/>
      <c r="L558" s="1934"/>
      <c r="M558" s="1934"/>
      <c r="N558" s="1934"/>
      <c r="O558" s="1934"/>
      <c r="P558" s="1934"/>
      <c r="Q558" s="1934"/>
      <c r="R558" s="1934"/>
      <c r="S558" s="1934"/>
      <c r="T558" s="1934"/>
      <c r="U558" s="1934"/>
      <c r="V558" s="1934"/>
      <c r="W558" s="1934"/>
      <c r="X558" s="1934"/>
      <c r="Y558" s="1934"/>
      <c r="Z558" s="1934"/>
      <c r="AA558" s="1934"/>
      <c r="AB558" s="1934"/>
      <c r="AC558" s="1934"/>
      <c r="AD558" s="1934"/>
      <c r="AE558" s="1934"/>
      <c r="AF558" s="1934"/>
      <c r="AG558" s="1934"/>
      <c r="AH558" s="1934"/>
      <c r="AI558" s="1934"/>
      <c r="AJ558" s="1934"/>
      <c r="AK558" s="676"/>
      <c r="AL558" s="607"/>
      <c r="AM558" s="637"/>
      <c r="AN558" s="631"/>
    </row>
    <row r="559" spans="1:45" s="584" customFormat="1" ht="12.75" customHeight="1">
      <c r="A559" s="637"/>
      <c r="B559" s="1934"/>
      <c r="C559" s="1934"/>
      <c r="D559" s="1934"/>
      <c r="E559" s="1934"/>
      <c r="F559" s="1934"/>
      <c r="G559" s="1934"/>
      <c r="H559" s="1934"/>
      <c r="I559" s="1934"/>
      <c r="J559" s="1934"/>
      <c r="K559" s="1934"/>
      <c r="L559" s="1934"/>
      <c r="M559" s="1934"/>
      <c r="N559" s="1934"/>
      <c r="O559" s="1934"/>
      <c r="P559" s="1934"/>
      <c r="Q559" s="1934"/>
      <c r="R559" s="1934"/>
      <c r="S559" s="1934"/>
      <c r="T559" s="1934"/>
      <c r="U559" s="1934"/>
      <c r="V559" s="1934"/>
      <c r="W559" s="1934"/>
      <c r="X559" s="1934"/>
      <c r="Y559" s="1934"/>
      <c r="Z559" s="1934"/>
      <c r="AA559" s="1934"/>
      <c r="AB559" s="1934"/>
      <c r="AC559" s="1934"/>
      <c r="AD559" s="1934"/>
      <c r="AE559" s="1934"/>
      <c r="AF559" s="1934"/>
      <c r="AG559" s="1934"/>
      <c r="AH559" s="1934"/>
      <c r="AI559" s="1934"/>
      <c r="AJ559" s="1934"/>
      <c r="AK559" s="676"/>
      <c r="AL559" s="607"/>
      <c r="AM559" s="637"/>
      <c r="AN559" s="631"/>
    </row>
    <row r="560" spans="1:45" ht="12.75" customHeight="1">
      <c r="A560" s="637"/>
      <c r="B560" s="1934"/>
      <c r="C560" s="1934"/>
      <c r="D560" s="1934"/>
      <c r="E560" s="1934"/>
      <c r="F560" s="1934"/>
      <c r="G560" s="1934"/>
      <c r="H560" s="1934"/>
      <c r="I560" s="1934"/>
      <c r="J560" s="1934"/>
      <c r="K560" s="1934"/>
      <c r="L560" s="1934"/>
      <c r="M560" s="1934"/>
      <c r="N560" s="1934"/>
      <c r="O560" s="1934"/>
      <c r="P560" s="1934"/>
      <c r="Q560" s="1934"/>
      <c r="R560" s="1934"/>
      <c r="S560" s="1934"/>
      <c r="T560" s="1934"/>
      <c r="U560" s="1934"/>
      <c r="V560" s="1934"/>
      <c r="W560" s="1934"/>
      <c r="X560" s="1934"/>
      <c r="Y560" s="1934"/>
      <c r="Z560" s="1934"/>
      <c r="AA560" s="1934"/>
      <c r="AB560" s="1934"/>
      <c r="AC560" s="1934"/>
      <c r="AD560" s="1934"/>
      <c r="AE560" s="1934"/>
      <c r="AF560" s="1934"/>
      <c r="AG560" s="1934"/>
      <c r="AH560" s="1934"/>
      <c r="AI560" s="1934"/>
      <c r="AJ560" s="1934"/>
      <c r="AK560" s="676"/>
      <c r="AL560" s="607"/>
      <c r="AM560" s="637"/>
    </row>
    <row r="561" spans="1:42" s="584" customFormat="1" ht="12.75" customHeight="1">
      <c r="B561" s="1934"/>
      <c r="C561" s="1934"/>
      <c r="D561" s="1934"/>
      <c r="E561" s="1934"/>
      <c r="F561" s="1934"/>
      <c r="G561" s="1934"/>
      <c r="H561" s="1934"/>
      <c r="I561" s="1934"/>
      <c r="J561" s="1934"/>
      <c r="K561" s="1934"/>
      <c r="L561" s="1934"/>
      <c r="M561" s="1934"/>
      <c r="N561" s="1934"/>
      <c r="O561" s="1934"/>
      <c r="P561" s="1934"/>
      <c r="Q561" s="1934"/>
      <c r="R561" s="1934"/>
      <c r="S561" s="1934"/>
      <c r="T561" s="1934"/>
      <c r="U561" s="1934"/>
      <c r="V561" s="1934"/>
      <c r="W561" s="1934"/>
      <c r="X561" s="1934"/>
      <c r="Y561" s="1934"/>
      <c r="Z561" s="1934"/>
      <c r="AA561" s="1934"/>
      <c r="AB561" s="1934"/>
      <c r="AC561" s="1934"/>
      <c r="AD561" s="1934"/>
      <c r="AE561" s="1934"/>
      <c r="AF561" s="1934"/>
      <c r="AG561" s="1934"/>
      <c r="AH561" s="1934"/>
      <c r="AI561" s="1934"/>
      <c r="AJ561" s="193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14" t="s">
        <v>1449</v>
      </c>
      <c r="AG567" s="2014"/>
      <c r="AH567" s="2014"/>
      <c r="AI567" s="2014"/>
      <c r="AJ567" s="2014"/>
      <c r="AK567" s="2014"/>
      <c r="AL567" s="2014"/>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2531</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2532</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14" t="s">
        <v>1507</v>
      </c>
      <c r="AG574" s="2014"/>
      <c r="AH574" s="2014"/>
      <c r="AI574" s="2014"/>
      <c r="AJ574" s="2014"/>
      <c r="AK574" s="2014"/>
      <c r="AL574" s="2014"/>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14" t="s">
        <v>1489</v>
      </c>
      <c r="AG580" s="2014"/>
      <c r="AH580" s="2014"/>
      <c r="AI580" s="2014"/>
      <c r="AJ580" s="2014"/>
      <c r="AK580" s="2014"/>
      <c r="AL580" s="2014"/>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2534</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2535</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2536</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14" t="s">
        <v>1510</v>
      </c>
      <c r="AG586" s="2014"/>
      <c r="AH586" s="2014"/>
      <c r="AI586" s="2014"/>
      <c r="AJ586" s="2014"/>
      <c r="AK586" s="2014"/>
      <c r="AL586" s="2014"/>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2537</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2538</v>
      </c>
    </row>
    <row r="590" spans="1:53" s="584" customFormat="1" ht="12.75" customHeight="1">
      <c r="B590" s="644"/>
      <c r="C590" s="966"/>
      <c r="D590" s="697"/>
      <c r="E590" s="570" t="s">
        <v>2057</v>
      </c>
      <c r="O590" s="2053" t="s">
        <v>1290</v>
      </c>
      <c r="P590" s="2053"/>
      <c r="Q590" s="2053"/>
      <c r="R590" s="2053"/>
      <c r="S590" s="2053"/>
      <c r="T590" s="2053"/>
      <c r="U590" s="2053"/>
      <c r="V590" s="2053"/>
      <c r="W590" s="2053"/>
      <c r="X590" s="2053"/>
      <c r="Y590" s="2053"/>
      <c r="Z590" s="2053"/>
      <c r="AA590" s="2053"/>
      <c r="AB590" s="205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14" t="s">
        <v>1463</v>
      </c>
      <c r="AG592" s="2014"/>
      <c r="AH592" s="2014"/>
      <c r="AI592" s="2014"/>
      <c r="AJ592" s="2014"/>
      <c r="AK592" s="2014"/>
      <c r="AL592" s="2014"/>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1958" t="s">
        <v>696</v>
      </c>
      <c r="I595" s="1958"/>
      <c r="J595" s="971"/>
      <c r="K595" s="971"/>
      <c r="L595" s="971"/>
      <c r="N595" s="22"/>
      <c r="O595" s="22"/>
      <c r="P595" s="22"/>
      <c r="Q595" s="1195" t="s">
        <v>2533</v>
      </c>
      <c r="R595" s="2054"/>
      <c r="S595" s="2054"/>
      <c r="T595" s="2054"/>
      <c r="U595" s="2054"/>
      <c r="V595" s="2054"/>
      <c r="W595" s="2054"/>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55" t="str">
        <f>IF(AND(H595="(i)",NOT(AP571)),AO588,IF(AND(H595="(iv)",OR(R595=AO584,R595=AO583),NOT(AP572)),AO589,""))</f>
        <v/>
      </c>
      <c r="Z596" s="2055"/>
      <c r="AA596" s="2055"/>
      <c r="AB596" s="2055"/>
      <c r="AC596" s="2055"/>
      <c r="AD596" s="2055"/>
      <c r="AE596" s="2055"/>
      <c r="AF596" s="2055"/>
      <c r="AG596" s="2055"/>
      <c r="AH596" s="2055"/>
      <c r="AI596" s="2055"/>
      <c r="AJ596" s="2055"/>
      <c r="AK596" s="2055"/>
      <c r="AL596" s="2055"/>
      <c r="AM596" s="2056"/>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55"/>
      <c r="Z597" s="2055"/>
      <c r="AA597" s="2055"/>
      <c r="AB597" s="2055"/>
      <c r="AC597" s="2055"/>
      <c r="AD597" s="2055"/>
      <c r="AE597" s="2055"/>
      <c r="AF597" s="2055"/>
      <c r="AG597" s="2055"/>
      <c r="AH597" s="2055"/>
      <c r="AI597" s="2055"/>
      <c r="AJ597" s="2055"/>
      <c r="AK597" s="2055"/>
      <c r="AL597" s="2055"/>
      <c r="AM597" s="2056"/>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52" t="s">
        <v>599</v>
      </c>
      <c r="J603" s="2052"/>
      <c r="K603" s="2052"/>
      <c r="L603" s="2052"/>
      <c r="M603" s="2052"/>
      <c r="N603" s="2052"/>
      <c r="O603" s="2052"/>
      <c r="P603" s="2052"/>
      <c r="Q603" s="2052"/>
      <c r="R603" s="2052"/>
      <c r="S603" s="2052"/>
      <c r="T603" s="2052"/>
      <c r="U603" s="2052"/>
      <c r="V603" s="2052"/>
      <c r="W603" s="2052"/>
      <c r="X603" s="2052"/>
      <c r="Y603" s="2052"/>
      <c r="Z603" s="2052"/>
      <c r="AA603" s="2052"/>
      <c r="AB603" s="2052"/>
      <c r="AC603" s="2052"/>
      <c r="AD603" s="2052"/>
      <c r="AE603" s="2052"/>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50" t="s">
        <v>599</v>
      </c>
      <c r="C605" s="2050"/>
      <c r="D605" s="676"/>
      <c r="E605" s="1934" t="s">
        <v>1514</v>
      </c>
      <c r="F605" s="1934"/>
      <c r="G605" s="1934"/>
      <c r="H605" s="1934"/>
      <c r="I605" s="1934"/>
      <c r="J605" s="1934"/>
      <c r="K605" s="1934"/>
      <c r="L605" s="1934"/>
      <c r="M605" s="1934"/>
      <c r="N605" s="1934"/>
      <c r="O605" s="1934"/>
      <c r="P605" s="1934"/>
      <c r="Q605" s="1934"/>
      <c r="R605" s="1934"/>
      <c r="S605" s="1934"/>
      <c r="T605" s="1934"/>
      <c r="U605" s="1934"/>
      <c r="V605" s="1934"/>
      <c r="W605" s="1934"/>
      <c r="X605" s="1934"/>
      <c r="Y605" s="1934"/>
      <c r="Z605" s="1934"/>
      <c r="AA605" s="1934"/>
      <c r="AB605" s="1934"/>
      <c r="AC605" s="1934"/>
      <c r="AD605" s="1934"/>
      <c r="AE605" s="1934"/>
      <c r="AF605" s="1934"/>
      <c r="AG605" s="1934"/>
      <c r="AH605" s="676"/>
      <c r="AI605" s="676"/>
      <c r="AJ605" s="676"/>
      <c r="AK605" s="676"/>
      <c r="AL605" s="676"/>
      <c r="AN605" s="631"/>
    </row>
    <row r="606" spans="2:47" s="584" customFormat="1" ht="12.75" customHeight="1">
      <c r="B606" s="570"/>
      <c r="C606" s="968"/>
      <c r="D606" s="676"/>
      <c r="E606" s="1934"/>
      <c r="F606" s="1934"/>
      <c r="G606" s="1934"/>
      <c r="H606" s="1934"/>
      <c r="I606" s="1934"/>
      <c r="J606" s="1934"/>
      <c r="K606" s="1934"/>
      <c r="L606" s="1934"/>
      <c r="M606" s="1934"/>
      <c r="N606" s="1934"/>
      <c r="O606" s="1934"/>
      <c r="P606" s="1934"/>
      <c r="Q606" s="1934"/>
      <c r="R606" s="1934"/>
      <c r="S606" s="1934"/>
      <c r="T606" s="1934"/>
      <c r="U606" s="1934"/>
      <c r="V606" s="1934"/>
      <c r="W606" s="1934"/>
      <c r="X606" s="1934"/>
      <c r="Y606" s="1934"/>
      <c r="Z606" s="1934"/>
      <c r="AA606" s="1934"/>
      <c r="AB606" s="1934"/>
      <c r="AC606" s="1934"/>
      <c r="AD606" s="1934"/>
      <c r="AE606" s="1934"/>
      <c r="AF606" s="1934"/>
      <c r="AG606" s="1934"/>
      <c r="AH606" s="676"/>
      <c r="AI606" s="676"/>
      <c r="AJ606" s="676"/>
      <c r="AK606" s="676"/>
      <c r="AL606" s="676"/>
      <c r="AN606" s="631"/>
    </row>
    <row r="607" spans="2:47" s="584" customFormat="1" ht="12.75" customHeight="1">
      <c r="B607" s="570"/>
      <c r="C607" s="968"/>
      <c r="D607" s="676"/>
      <c r="E607" s="1934"/>
      <c r="F607" s="1934"/>
      <c r="G607" s="1934"/>
      <c r="H607" s="1934"/>
      <c r="I607" s="1934"/>
      <c r="J607" s="1934"/>
      <c r="K607" s="1934"/>
      <c r="L607" s="1934"/>
      <c r="M607" s="1934"/>
      <c r="N607" s="1934"/>
      <c r="O607" s="1934"/>
      <c r="P607" s="1934"/>
      <c r="Q607" s="1934"/>
      <c r="R607" s="1934"/>
      <c r="S607" s="1934"/>
      <c r="T607" s="1934"/>
      <c r="U607" s="1934"/>
      <c r="V607" s="1934"/>
      <c r="W607" s="1934"/>
      <c r="X607" s="1934"/>
      <c r="Y607" s="1934"/>
      <c r="Z607" s="1934"/>
      <c r="AA607" s="1934"/>
      <c r="AB607" s="1934"/>
      <c r="AC607" s="1934"/>
      <c r="AD607" s="1934"/>
      <c r="AE607" s="1934"/>
      <c r="AF607" s="1934"/>
      <c r="AG607" s="1934"/>
      <c r="AH607" s="676"/>
      <c r="AI607" s="676"/>
      <c r="AJ607" s="676"/>
      <c r="AK607" s="676"/>
      <c r="AL607" s="676"/>
      <c r="AN607" s="631"/>
    </row>
    <row r="608" spans="2:47" s="584" customFormat="1" ht="12.75" customHeight="1">
      <c r="B608" s="570"/>
      <c r="C608" s="968"/>
      <c r="D608" s="676"/>
      <c r="E608" s="1934"/>
      <c r="F608" s="1934"/>
      <c r="G608" s="1934"/>
      <c r="H608" s="1934"/>
      <c r="I608" s="1934"/>
      <c r="J608" s="1934"/>
      <c r="K608" s="1934"/>
      <c r="L608" s="1934"/>
      <c r="M608" s="1934"/>
      <c r="N608" s="1934"/>
      <c r="O608" s="1934"/>
      <c r="P608" s="1934"/>
      <c r="Q608" s="1934"/>
      <c r="R608" s="1934"/>
      <c r="S608" s="1934"/>
      <c r="T608" s="1934"/>
      <c r="U608" s="1934"/>
      <c r="V608" s="1934"/>
      <c r="W608" s="1934"/>
      <c r="X608" s="1934"/>
      <c r="Y608" s="1934"/>
      <c r="Z608" s="1934"/>
      <c r="AA608" s="1934"/>
      <c r="AB608" s="1934"/>
      <c r="AC608" s="1934"/>
      <c r="AD608" s="1934"/>
      <c r="AE608" s="1934"/>
      <c r="AF608" s="1934"/>
      <c r="AG608" s="193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41">
        <f>VLOOKUP($H$595,$AO$575:$AP$580,2,FALSE)+IF(R595=AO583,0,VLOOKUP($I$603,$AO$602:$AP$604,2,FALSE))</f>
        <v>7</v>
      </c>
      <c r="AK610" s="194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51" t="s">
        <v>1884</v>
      </c>
      <c r="F614" s="2051"/>
      <c r="G614" s="2051"/>
      <c r="H614" s="2051"/>
      <c r="I614" s="2051"/>
      <c r="J614" s="2051"/>
      <c r="K614" s="2051"/>
      <c r="L614" s="2051"/>
      <c r="M614" s="2051"/>
      <c r="N614" s="2051"/>
      <c r="O614" s="2051"/>
      <c r="P614" s="2051"/>
      <c r="Q614" s="2051"/>
      <c r="R614" s="2051"/>
      <c r="S614" s="2051"/>
      <c r="T614" s="2051"/>
      <c r="U614" s="2051"/>
      <c r="V614" s="2051"/>
      <c r="W614" s="2051"/>
      <c r="X614" s="2051"/>
      <c r="Y614" s="2051"/>
      <c r="Z614" s="2051"/>
      <c r="AA614" s="2051"/>
      <c r="AB614" s="2051"/>
      <c r="AC614" s="2051"/>
      <c r="AD614" s="2051"/>
      <c r="AE614" s="573"/>
      <c r="AF614" s="2014" t="s">
        <v>1463</v>
      </c>
      <c r="AG614" s="2014"/>
      <c r="AH614" s="2014"/>
      <c r="AI614" s="2014"/>
      <c r="AJ614" s="2014"/>
      <c r="AK614" s="2014"/>
      <c r="AL614" s="2014"/>
      <c r="AM614" s="584"/>
      <c r="AN614" s="712"/>
    </row>
    <row r="615" spans="1:42" s="584" customFormat="1" ht="12.75" customHeight="1">
      <c r="A615" s="713"/>
      <c r="B615" s="570"/>
      <c r="C615" s="968"/>
      <c r="D615" s="697"/>
      <c r="E615" s="2051"/>
      <c r="F615" s="2051"/>
      <c r="G615" s="2051"/>
      <c r="H615" s="2051"/>
      <c r="I615" s="2051"/>
      <c r="J615" s="2051"/>
      <c r="K615" s="2051"/>
      <c r="L615" s="2051"/>
      <c r="M615" s="2051"/>
      <c r="N615" s="2051"/>
      <c r="O615" s="2051"/>
      <c r="P615" s="2051"/>
      <c r="Q615" s="2051"/>
      <c r="R615" s="2051"/>
      <c r="S615" s="2051"/>
      <c r="T615" s="2051"/>
      <c r="U615" s="2051"/>
      <c r="V615" s="2051"/>
      <c r="W615" s="2051"/>
      <c r="X615" s="2051"/>
      <c r="Y615" s="2051"/>
      <c r="Z615" s="2051"/>
      <c r="AA615" s="2051"/>
      <c r="AB615" s="2051"/>
      <c r="AC615" s="2051"/>
      <c r="AD615" s="2051"/>
      <c r="AE615" s="570"/>
      <c r="AF615" s="570"/>
      <c r="AG615" s="570"/>
      <c r="AH615" s="570"/>
      <c r="AI615" s="570"/>
      <c r="AJ615" s="570"/>
      <c r="AK615" s="570"/>
      <c r="AL615" s="570"/>
      <c r="AN615" s="631"/>
    </row>
    <row r="616" spans="1:42" s="584" customFormat="1" ht="12.75" customHeight="1">
      <c r="B616" s="570"/>
      <c r="C616" s="966"/>
      <c r="D616" s="697"/>
      <c r="E616" s="2051"/>
      <c r="F616" s="2051"/>
      <c r="G616" s="2051"/>
      <c r="H616" s="2051"/>
      <c r="I616" s="2051"/>
      <c r="J616" s="2051"/>
      <c r="K616" s="2051"/>
      <c r="L616" s="2051"/>
      <c r="M616" s="2051"/>
      <c r="N616" s="2051"/>
      <c r="O616" s="2051"/>
      <c r="P616" s="2051"/>
      <c r="Q616" s="2051"/>
      <c r="R616" s="2051"/>
      <c r="S616" s="2051"/>
      <c r="T616" s="2051"/>
      <c r="U616" s="2051"/>
      <c r="V616" s="2051"/>
      <c r="W616" s="2051"/>
      <c r="X616" s="2051"/>
      <c r="Y616" s="2051"/>
      <c r="Z616" s="2051"/>
      <c r="AA616" s="2051"/>
      <c r="AB616" s="2051"/>
      <c r="AC616" s="2051"/>
      <c r="AD616" s="2051"/>
      <c r="AE616" s="570"/>
      <c r="AF616" s="570"/>
      <c r="AG616" s="570"/>
      <c r="AH616" s="570"/>
      <c r="AI616" s="570"/>
      <c r="AJ616" s="570"/>
      <c r="AK616" s="570"/>
      <c r="AL616" s="570"/>
      <c r="AN616" s="631"/>
    </row>
    <row r="617" spans="1:42" s="584" customFormat="1" ht="12.75" customHeight="1">
      <c r="B617" s="570"/>
      <c r="C617" s="966"/>
      <c r="D617" s="697"/>
      <c r="E617" s="2051"/>
      <c r="F617" s="2051"/>
      <c r="G617" s="2051"/>
      <c r="H617" s="2051"/>
      <c r="I617" s="2051"/>
      <c r="J617" s="2051"/>
      <c r="K617" s="2051"/>
      <c r="L617" s="2051"/>
      <c r="M617" s="2051"/>
      <c r="N617" s="2051"/>
      <c r="O617" s="2051"/>
      <c r="P617" s="2051"/>
      <c r="Q617" s="2051"/>
      <c r="R617" s="2051"/>
      <c r="S617" s="2051"/>
      <c r="T617" s="2051"/>
      <c r="U617" s="2051"/>
      <c r="V617" s="2051"/>
      <c r="W617" s="2051"/>
      <c r="X617" s="2051"/>
      <c r="Y617" s="2051"/>
      <c r="Z617" s="2051"/>
      <c r="AA617" s="2051"/>
      <c r="AB617" s="2051"/>
      <c r="AC617" s="2051"/>
      <c r="AD617" s="2051"/>
      <c r="AE617" s="570"/>
      <c r="AF617" s="570"/>
      <c r="AG617" s="570"/>
      <c r="AH617" s="570"/>
      <c r="AI617" s="570"/>
      <c r="AJ617" s="570"/>
      <c r="AK617" s="570"/>
      <c r="AL617" s="570"/>
      <c r="AN617" s="631"/>
    </row>
    <row r="618" spans="1:42" s="584" customFormat="1" ht="12.75" customHeight="1">
      <c r="B618" s="570"/>
      <c r="C618" s="966"/>
      <c r="D618" s="697"/>
      <c r="E618" s="2051"/>
      <c r="F618" s="2051"/>
      <c r="G618" s="2051"/>
      <c r="H618" s="2051"/>
      <c r="I618" s="2051"/>
      <c r="J618" s="2051"/>
      <c r="K618" s="2051"/>
      <c r="L618" s="2051"/>
      <c r="M618" s="2051"/>
      <c r="N618" s="2051"/>
      <c r="O618" s="2051"/>
      <c r="P618" s="2051"/>
      <c r="Q618" s="2051"/>
      <c r="R618" s="2051"/>
      <c r="S618" s="2051"/>
      <c r="T618" s="2051"/>
      <c r="U618" s="2051"/>
      <c r="V618" s="2051"/>
      <c r="W618" s="2051"/>
      <c r="X618" s="2051"/>
      <c r="Y618" s="2051"/>
      <c r="Z618" s="2051"/>
      <c r="AA618" s="2051"/>
      <c r="AB618" s="2051"/>
      <c r="AC618" s="2051"/>
      <c r="AD618" s="2051"/>
      <c r="AE618" s="570"/>
      <c r="AF618" s="570"/>
      <c r="AG618" s="570"/>
      <c r="AH618" s="570"/>
      <c r="AI618" s="570"/>
      <c r="AJ618" s="570"/>
      <c r="AK618" s="570"/>
      <c r="AL618" s="570"/>
      <c r="AN618" s="631"/>
    </row>
    <row r="619" spans="1:42" s="584" customFormat="1" ht="12.75" customHeight="1">
      <c r="B619" s="570"/>
      <c r="C619" s="966"/>
      <c r="D619" s="697"/>
      <c r="E619" s="2051"/>
      <c r="F619" s="2051"/>
      <c r="G619" s="2051"/>
      <c r="H619" s="2051"/>
      <c r="I619" s="2051"/>
      <c r="J619" s="2051"/>
      <c r="K619" s="2051"/>
      <c r="L619" s="2051"/>
      <c r="M619" s="2051"/>
      <c r="N619" s="2051"/>
      <c r="O619" s="2051"/>
      <c r="P619" s="2051"/>
      <c r="Q619" s="2051"/>
      <c r="R619" s="2051"/>
      <c r="S619" s="2051"/>
      <c r="T619" s="2051"/>
      <c r="U619" s="2051"/>
      <c r="V619" s="2051"/>
      <c r="W619" s="2051"/>
      <c r="X619" s="2051"/>
      <c r="Y619" s="2051"/>
      <c r="Z619" s="2051"/>
      <c r="AA619" s="2051"/>
      <c r="AB619" s="2051"/>
      <c r="AC619" s="2051"/>
      <c r="AD619" s="2051"/>
      <c r="AE619" s="570"/>
      <c r="AF619" s="570"/>
      <c r="AG619" s="570"/>
      <c r="AH619" s="570"/>
      <c r="AI619" s="570"/>
      <c r="AJ619" s="570"/>
      <c r="AK619" s="570"/>
      <c r="AL619" s="570"/>
      <c r="AN619" s="631"/>
    </row>
    <row r="620" spans="1:42" s="584" customFormat="1" ht="12.75" customHeight="1">
      <c r="A620" s="671"/>
      <c r="B620" s="650"/>
      <c r="C620" s="975"/>
      <c r="D620" s="697"/>
      <c r="E620" s="2051"/>
      <c r="F620" s="2051"/>
      <c r="G620" s="2051"/>
      <c r="H620" s="2051"/>
      <c r="I620" s="2051"/>
      <c r="J620" s="2051"/>
      <c r="K620" s="2051"/>
      <c r="L620" s="2051"/>
      <c r="M620" s="2051"/>
      <c r="N620" s="2051"/>
      <c r="O620" s="2051"/>
      <c r="P620" s="2051"/>
      <c r="Q620" s="2051"/>
      <c r="R620" s="2051"/>
      <c r="S620" s="2051"/>
      <c r="T620" s="2051"/>
      <c r="U620" s="2051"/>
      <c r="V620" s="2051"/>
      <c r="W620" s="2051"/>
      <c r="X620" s="2051"/>
      <c r="Y620" s="2051"/>
      <c r="Z620" s="2051"/>
      <c r="AA620" s="2051"/>
      <c r="AB620" s="2051"/>
      <c r="AC620" s="2051"/>
      <c r="AD620" s="2051"/>
      <c r="AE620" s="650"/>
      <c r="AF620" s="650"/>
      <c r="AG620" s="650"/>
      <c r="AH620" s="650"/>
      <c r="AI620" s="650"/>
      <c r="AJ620" s="650"/>
      <c r="AK620" s="570"/>
      <c r="AL620" s="570"/>
      <c r="AN620" s="631"/>
    </row>
    <row r="621" spans="1:42" s="584" customFormat="1" ht="12.75" customHeight="1">
      <c r="B621" s="650"/>
      <c r="C621" s="975"/>
      <c r="D621" s="697"/>
      <c r="E621" s="2051"/>
      <c r="F621" s="2051"/>
      <c r="G621" s="2051"/>
      <c r="H621" s="2051"/>
      <c r="I621" s="2051"/>
      <c r="J621" s="2051"/>
      <c r="K621" s="2051"/>
      <c r="L621" s="2051"/>
      <c r="M621" s="2051"/>
      <c r="N621" s="2051"/>
      <c r="O621" s="2051"/>
      <c r="P621" s="2051"/>
      <c r="Q621" s="2051"/>
      <c r="R621" s="2051"/>
      <c r="S621" s="2051"/>
      <c r="T621" s="2051"/>
      <c r="U621" s="2051"/>
      <c r="V621" s="2051"/>
      <c r="W621" s="2051"/>
      <c r="X621" s="2051"/>
      <c r="Y621" s="2051"/>
      <c r="Z621" s="2051"/>
      <c r="AA621" s="2051"/>
      <c r="AB621" s="2051"/>
      <c r="AC621" s="2051"/>
      <c r="AD621" s="2051"/>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50" t="s">
        <v>599</v>
      </c>
      <c r="Y623" s="2050"/>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14" t="s">
        <v>1519</v>
      </c>
      <c r="AG625" s="2014"/>
      <c r="AH625" s="2014"/>
      <c r="AI625" s="2014"/>
      <c r="AJ625" s="2014"/>
      <c r="AK625" s="2014"/>
      <c r="AL625" s="201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58" t="s">
        <v>696</v>
      </c>
      <c r="I627" s="1958"/>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41">
        <f>VLOOKUP($H$627,$AO$594:$AP$596,2,FALSE)</f>
        <v>3</v>
      </c>
      <c r="AK629" s="1943"/>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34" t="s">
        <v>2412</v>
      </c>
      <c r="F633" s="1934"/>
      <c r="G633" s="1934"/>
      <c r="H633" s="1934"/>
      <c r="I633" s="1934"/>
      <c r="J633" s="1934"/>
      <c r="K633" s="1934"/>
      <c r="L633" s="1934"/>
      <c r="M633" s="1934"/>
      <c r="N633" s="1934"/>
      <c r="O633" s="1934"/>
      <c r="P633" s="1934"/>
      <c r="Q633" s="1934"/>
      <c r="R633" s="1934"/>
      <c r="S633" s="1934"/>
      <c r="T633" s="1934"/>
      <c r="U633" s="1934"/>
      <c r="V633" s="1934"/>
      <c r="W633" s="1934"/>
      <c r="X633" s="1934"/>
      <c r="Y633" s="1934"/>
      <c r="Z633" s="1934"/>
      <c r="AA633" s="1934"/>
      <c r="AB633" s="1934"/>
      <c r="AC633" s="1934"/>
      <c r="AD633" s="1934"/>
      <c r="AE633" s="570"/>
      <c r="AF633" s="2014" t="s">
        <v>1463</v>
      </c>
      <c r="AG633" s="2014"/>
      <c r="AH633" s="2014"/>
      <c r="AI633" s="2014"/>
      <c r="AJ633" s="2014"/>
      <c r="AK633" s="2014"/>
      <c r="AL633" s="2014"/>
      <c r="AN633" s="631"/>
    </row>
    <row r="634" spans="1:42" s="584" customFormat="1" ht="12.75" customHeight="1">
      <c r="B634" s="570"/>
      <c r="C634" s="570"/>
      <c r="D634" s="697"/>
      <c r="E634" s="1934"/>
      <c r="F634" s="1934"/>
      <c r="G634" s="1934"/>
      <c r="H634" s="1934"/>
      <c r="I634" s="1934"/>
      <c r="J634" s="1934"/>
      <c r="K634" s="1934"/>
      <c r="L634" s="1934"/>
      <c r="M634" s="1934"/>
      <c r="N634" s="1934"/>
      <c r="O634" s="1934"/>
      <c r="P634" s="1934"/>
      <c r="Q634" s="1934"/>
      <c r="R634" s="1934"/>
      <c r="S634" s="1934"/>
      <c r="T634" s="1934"/>
      <c r="U634" s="1934"/>
      <c r="V634" s="1934"/>
      <c r="W634" s="1934"/>
      <c r="X634" s="1934"/>
      <c r="Y634" s="1934"/>
      <c r="Z634" s="1934"/>
      <c r="AA634" s="1934"/>
      <c r="AB634" s="1934"/>
      <c r="AC634" s="1934"/>
      <c r="AD634" s="193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14" t="s">
        <v>1519</v>
      </c>
      <c r="AG636" s="2014"/>
      <c r="AH636" s="2014"/>
      <c r="AI636" s="2014"/>
      <c r="AJ636" s="2014"/>
      <c r="AK636" s="2014"/>
      <c r="AL636" s="2014"/>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58" t="s">
        <v>599</v>
      </c>
      <c r="I639" s="195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41">
        <f>VLOOKUP(H639,AT594:AU596,2,FALSE)</f>
        <v>0</v>
      </c>
      <c r="AK641" s="194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34" t="s">
        <v>1529</v>
      </c>
      <c r="F646" s="1934"/>
      <c r="G646" s="1934"/>
      <c r="H646" s="1934"/>
      <c r="I646" s="1934"/>
      <c r="J646" s="1934"/>
      <c r="K646" s="1934"/>
      <c r="L646" s="1934"/>
      <c r="M646" s="1934"/>
      <c r="N646" s="1934"/>
      <c r="O646" s="1934"/>
      <c r="P646" s="1934"/>
      <c r="Q646" s="1934"/>
      <c r="R646" s="1934"/>
      <c r="S646" s="1934"/>
      <c r="T646" s="1934"/>
      <c r="U646" s="1934"/>
      <c r="V646" s="1934"/>
      <c r="W646" s="1934"/>
      <c r="X646" s="1934"/>
      <c r="Y646" s="1934"/>
      <c r="Z646" s="1934"/>
      <c r="AA646" s="1934"/>
      <c r="AB646" s="1934"/>
      <c r="AC646" s="1934"/>
      <c r="AD646" s="570"/>
      <c r="AE646" s="570"/>
      <c r="AF646" s="2014" t="s">
        <v>1489</v>
      </c>
      <c r="AG646" s="2014"/>
      <c r="AH646" s="2014"/>
      <c r="AI646" s="2014"/>
      <c r="AJ646" s="2014"/>
      <c r="AK646" s="2014"/>
      <c r="AL646" s="2014"/>
      <c r="AN646" s="631"/>
    </row>
    <row r="647" spans="1:42" s="584" customFormat="1" ht="12.75" customHeight="1">
      <c r="B647" s="570"/>
      <c r="C647" s="573"/>
      <c r="D647" s="570"/>
      <c r="E647" s="1934"/>
      <c r="F647" s="1934"/>
      <c r="G647" s="1934"/>
      <c r="H647" s="1934"/>
      <c r="I647" s="1934"/>
      <c r="J647" s="1934"/>
      <c r="K647" s="1934"/>
      <c r="L647" s="1934"/>
      <c r="M647" s="1934"/>
      <c r="N647" s="1934"/>
      <c r="O647" s="1934"/>
      <c r="P647" s="1934"/>
      <c r="Q647" s="1934"/>
      <c r="R647" s="1934"/>
      <c r="S647" s="1934"/>
      <c r="T647" s="1934"/>
      <c r="U647" s="1934"/>
      <c r="V647" s="1934"/>
      <c r="W647" s="1934"/>
      <c r="X647" s="1934"/>
      <c r="Y647" s="1934"/>
      <c r="Z647" s="1934"/>
      <c r="AA647" s="1934"/>
      <c r="AB647" s="1934"/>
      <c r="AC647" s="1934"/>
      <c r="AD647" s="570"/>
      <c r="AE647" s="570"/>
      <c r="AF647" s="570"/>
      <c r="AG647" s="570"/>
      <c r="AH647" s="570"/>
      <c r="AI647" s="570"/>
      <c r="AJ647" s="570"/>
      <c r="AK647" s="570"/>
      <c r="AL647" s="570"/>
      <c r="AN647" s="631"/>
    </row>
    <row r="648" spans="1:42" s="584" customFormat="1" ht="12.75" customHeight="1">
      <c r="B648" s="570"/>
      <c r="C648" s="573"/>
      <c r="D648" s="697"/>
      <c r="E648" s="1934"/>
      <c r="F648" s="1934"/>
      <c r="G648" s="1934"/>
      <c r="H648" s="1934"/>
      <c r="I648" s="1934"/>
      <c r="J648" s="1934"/>
      <c r="K648" s="1934"/>
      <c r="L648" s="1934"/>
      <c r="M648" s="1934"/>
      <c r="N648" s="1934"/>
      <c r="O648" s="1934"/>
      <c r="P648" s="1934"/>
      <c r="Q648" s="1934"/>
      <c r="R648" s="1934"/>
      <c r="S648" s="1934"/>
      <c r="T648" s="1934"/>
      <c r="U648" s="1934"/>
      <c r="V648" s="1934"/>
      <c r="W648" s="1934"/>
      <c r="X648" s="1934"/>
      <c r="Y648" s="1934"/>
      <c r="Z648" s="1934"/>
      <c r="AA648" s="1934"/>
      <c r="AB648" s="1934"/>
      <c r="AC648" s="193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34" t="s">
        <v>1530</v>
      </c>
      <c r="F650" s="1934"/>
      <c r="G650" s="1934"/>
      <c r="H650" s="1934"/>
      <c r="I650" s="1934"/>
      <c r="J650" s="1934"/>
      <c r="K650" s="1934"/>
      <c r="L650" s="1934"/>
      <c r="M650" s="1934"/>
      <c r="N650" s="1934"/>
      <c r="O650" s="1934"/>
      <c r="P650" s="1934"/>
      <c r="Q650" s="1934"/>
      <c r="R650" s="1934"/>
      <c r="S650" s="1934"/>
      <c r="T650" s="1934"/>
      <c r="U650" s="1934"/>
      <c r="V650" s="1934"/>
      <c r="W650" s="1934"/>
      <c r="X650" s="1934"/>
      <c r="Y650" s="1934"/>
      <c r="Z650" s="1934"/>
      <c r="AA650" s="1934"/>
      <c r="AB650" s="1934"/>
      <c r="AC650" s="1934"/>
      <c r="AD650" s="570"/>
      <c r="AE650" s="570"/>
      <c r="AF650" s="2014" t="s">
        <v>1510</v>
      </c>
      <c r="AG650" s="2014"/>
      <c r="AH650" s="2014"/>
      <c r="AI650" s="2014"/>
      <c r="AJ650" s="2014"/>
      <c r="AK650" s="2014"/>
      <c r="AL650" s="2014"/>
      <c r="AN650" s="631"/>
    </row>
    <row r="651" spans="1:42" s="584" customFormat="1" ht="12.75" customHeight="1">
      <c r="B651" s="570"/>
      <c r="C651" s="573"/>
      <c r="D651" s="570"/>
      <c r="E651" s="1934"/>
      <c r="F651" s="1934"/>
      <c r="G651" s="1934"/>
      <c r="H651" s="1934"/>
      <c r="I651" s="1934"/>
      <c r="J651" s="1934"/>
      <c r="K651" s="1934"/>
      <c r="L651" s="1934"/>
      <c r="M651" s="1934"/>
      <c r="N651" s="1934"/>
      <c r="O651" s="1934"/>
      <c r="P651" s="1934"/>
      <c r="Q651" s="1934"/>
      <c r="R651" s="1934"/>
      <c r="S651" s="1934"/>
      <c r="T651" s="1934"/>
      <c r="U651" s="1934"/>
      <c r="V651" s="1934"/>
      <c r="W651" s="1934"/>
      <c r="X651" s="1934"/>
      <c r="Y651" s="1934"/>
      <c r="Z651" s="1934"/>
      <c r="AA651" s="1934"/>
      <c r="AB651" s="1934"/>
      <c r="AC651" s="1934"/>
      <c r="AD651" s="570"/>
      <c r="AE651" s="570"/>
      <c r="AF651" s="570"/>
      <c r="AG651" s="570"/>
      <c r="AH651" s="570"/>
      <c r="AI651" s="570"/>
      <c r="AJ651" s="570"/>
      <c r="AK651" s="570"/>
      <c r="AL651" s="570"/>
      <c r="AN651" s="631"/>
    </row>
    <row r="652" spans="1:42" s="584" customFormat="1" ht="15" customHeight="1">
      <c r="B652" s="570"/>
      <c r="C652" s="573"/>
      <c r="D652" s="697"/>
      <c r="E652" s="1934"/>
      <c r="F652" s="1934"/>
      <c r="G652" s="1934"/>
      <c r="H652" s="1934"/>
      <c r="I652" s="1934"/>
      <c r="J652" s="1934"/>
      <c r="K652" s="1934"/>
      <c r="L652" s="1934"/>
      <c r="M652" s="1934"/>
      <c r="N652" s="1934"/>
      <c r="O652" s="1934"/>
      <c r="P652" s="1934"/>
      <c r="Q652" s="1934"/>
      <c r="R652" s="1934"/>
      <c r="S652" s="1934"/>
      <c r="T652" s="1934"/>
      <c r="U652" s="1934"/>
      <c r="V652" s="1934"/>
      <c r="W652" s="1934"/>
      <c r="X652" s="1934"/>
      <c r="Y652" s="1934"/>
      <c r="Z652" s="1934"/>
      <c r="AA652" s="1934"/>
      <c r="AB652" s="1934"/>
      <c r="AC652" s="193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34" t="s">
        <v>1531</v>
      </c>
      <c r="F654" s="1934"/>
      <c r="G654" s="1934"/>
      <c r="H654" s="1934"/>
      <c r="I654" s="1934"/>
      <c r="J654" s="1934"/>
      <c r="K654" s="1934"/>
      <c r="L654" s="1934"/>
      <c r="M654" s="1934"/>
      <c r="N654" s="1934"/>
      <c r="O654" s="1934"/>
      <c r="P654" s="1934"/>
      <c r="Q654" s="1934"/>
      <c r="R654" s="1934"/>
      <c r="S654" s="1934"/>
      <c r="T654" s="1934"/>
      <c r="U654" s="1934"/>
      <c r="V654" s="1934"/>
      <c r="W654" s="1934"/>
      <c r="X654" s="1934"/>
      <c r="Y654" s="1934"/>
      <c r="Z654" s="1934"/>
      <c r="AA654" s="1934"/>
      <c r="AB654" s="1934"/>
      <c r="AC654" s="1934"/>
      <c r="AD654" s="570"/>
      <c r="AE654" s="570"/>
      <c r="AF654" s="2014" t="s">
        <v>1463</v>
      </c>
      <c r="AG654" s="2014"/>
      <c r="AH654" s="2014"/>
      <c r="AI654" s="2014"/>
      <c r="AJ654" s="2014"/>
      <c r="AK654" s="2014"/>
      <c r="AL654" s="2014"/>
      <c r="AN654" s="631"/>
    </row>
    <row r="655" spans="1:42" s="584" customFormat="1" ht="12.75" customHeight="1">
      <c r="B655" s="570"/>
      <c r="C655" s="966"/>
      <c r="D655" s="570"/>
      <c r="E655" s="1934"/>
      <c r="F655" s="1934"/>
      <c r="G655" s="1934"/>
      <c r="H655" s="1934"/>
      <c r="I655" s="1934"/>
      <c r="J655" s="1934"/>
      <c r="K655" s="1934"/>
      <c r="L655" s="1934"/>
      <c r="M655" s="1934"/>
      <c r="N655" s="1934"/>
      <c r="O655" s="1934"/>
      <c r="P655" s="1934"/>
      <c r="Q655" s="1934"/>
      <c r="R655" s="1934"/>
      <c r="S655" s="1934"/>
      <c r="T655" s="1934"/>
      <c r="U655" s="1934"/>
      <c r="V655" s="1934"/>
      <c r="W655" s="1934"/>
      <c r="X655" s="1934"/>
      <c r="Y655" s="1934"/>
      <c r="Z655" s="1934"/>
      <c r="AA655" s="1934"/>
      <c r="AB655" s="1934"/>
      <c r="AC655" s="1934"/>
      <c r="AD655" s="570"/>
      <c r="AE655" s="2014"/>
      <c r="AF655" s="2014"/>
      <c r="AG655" s="2014"/>
      <c r="AH655" s="2014"/>
      <c r="AI655" s="2014"/>
      <c r="AJ655" s="2014"/>
      <c r="AK655" s="2014"/>
      <c r="AL655" s="628"/>
      <c r="AN655" s="631"/>
      <c r="AO655" s="584" t="s">
        <v>599</v>
      </c>
      <c r="AP655" s="707">
        <v>0</v>
      </c>
    </row>
    <row r="656" spans="1:42" s="584" customFormat="1" ht="12.75" customHeight="1">
      <c r="A656" s="713"/>
      <c r="B656" s="570"/>
      <c r="C656" s="570"/>
      <c r="D656" s="697"/>
      <c r="E656" s="1934"/>
      <c r="F656" s="1934"/>
      <c r="G656" s="1934"/>
      <c r="H656" s="1934"/>
      <c r="I656" s="1934"/>
      <c r="J656" s="1934"/>
      <c r="K656" s="1934"/>
      <c r="L656" s="1934"/>
      <c r="M656" s="1934"/>
      <c r="N656" s="1934"/>
      <c r="O656" s="1934"/>
      <c r="P656" s="1934"/>
      <c r="Q656" s="1934"/>
      <c r="R656" s="1934"/>
      <c r="S656" s="1934"/>
      <c r="T656" s="1934"/>
      <c r="U656" s="1934"/>
      <c r="V656" s="1934"/>
      <c r="W656" s="1934"/>
      <c r="X656" s="1934"/>
      <c r="Y656" s="1934"/>
      <c r="Z656" s="1934"/>
      <c r="AA656" s="1934"/>
      <c r="AB656" s="1934"/>
      <c r="AC656" s="1934"/>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34" t="s">
        <v>1532</v>
      </c>
      <c r="F658" s="1934"/>
      <c r="G658" s="1934"/>
      <c r="H658" s="1934"/>
      <c r="I658" s="1934"/>
      <c r="J658" s="1934"/>
      <c r="K658" s="1934"/>
      <c r="L658" s="1934"/>
      <c r="M658" s="1934"/>
      <c r="N658" s="1934"/>
      <c r="O658" s="1934"/>
      <c r="P658" s="1934"/>
      <c r="Q658" s="1934"/>
      <c r="R658" s="1934"/>
      <c r="S658" s="1934"/>
      <c r="T658" s="1934"/>
      <c r="U658" s="1934"/>
      <c r="V658" s="1934"/>
      <c r="W658" s="1934"/>
      <c r="X658" s="1934"/>
      <c r="Y658" s="1934"/>
      <c r="Z658" s="1934"/>
      <c r="AA658" s="1934"/>
      <c r="AB658" s="1934"/>
      <c r="AC658" s="1934"/>
      <c r="AD658" s="570"/>
      <c r="AE658" s="570"/>
      <c r="AF658" s="2014" t="s">
        <v>1510</v>
      </c>
      <c r="AG658" s="2014"/>
      <c r="AH658" s="2014"/>
      <c r="AI658" s="2014"/>
      <c r="AJ658" s="2014"/>
      <c r="AK658" s="2014"/>
      <c r="AL658" s="2014"/>
      <c r="AN658" s="631"/>
    </row>
    <row r="659" spans="1:42" s="584" customFormat="1" ht="12.75" customHeight="1">
      <c r="A659" s="704"/>
      <c r="B659" s="570"/>
      <c r="C659" s="982"/>
      <c r="D659" s="697"/>
      <c r="E659" s="1934"/>
      <c r="F659" s="1934"/>
      <c r="G659" s="1934"/>
      <c r="H659" s="1934"/>
      <c r="I659" s="1934"/>
      <c r="J659" s="1934"/>
      <c r="K659" s="1934"/>
      <c r="L659" s="1934"/>
      <c r="M659" s="1934"/>
      <c r="N659" s="1934"/>
      <c r="O659" s="1934"/>
      <c r="P659" s="1934"/>
      <c r="Q659" s="1934"/>
      <c r="R659" s="1934"/>
      <c r="S659" s="1934"/>
      <c r="T659" s="1934"/>
      <c r="U659" s="1934"/>
      <c r="V659" s="1934"/>
      <c r="W659" s="1934"/>
      <c r="X659" s="1934"/>
      <c r="Y659" s="1934"/>
      <c r="Z659" s="1934"/>
      <c r="AA659" s="1934"/>
      <c r="AB659" s="1934"/>
      <c r="AC659" s="193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34"/>
      <c r="F660" s="1934"/>
      <c r="G660" s="1934"/>
      <c r="H660" s="1934"/>
      <c r="I660" s="1934"/>
      <c r="J660" s="1934"/>
      <c r="K660" s="1934"/>
      <c r="L660" s="1934"/>
      <c r="M660" s="1934"/>
      <c r="N660" s="1934"/>
      <c r="O660" s="1934"/>
      <c r="P660" s="1934"/>
      <c r="Q660" s="1934"/>
      <c r="R660" s="1934"/>
      <c r="S660" s="1934"/>
      <c r="T660" s="1934"/>
      <c r="U660" s="1934"/>
      <c r="V660" s="1934"/>
      <c r="W660" s="1934"/>
      <c r="X660" s="1934"/>
      <c r="Y660" s="1934"/>
      <c r="Z660" s="1934"/>
      <c r="AA660" s="1934"/>
      <c r="AB660" s="1934"/>
      <c r="AC660" s="193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34" t="s">
        <v>1533</v>
      </c>
      <c r="F662" s="1934"/>
      <c r="G662" s="1934"/>
      <c r="H662" s="1934"/>
      <c r="I662" s="1934"/>
      <c r="J662" s="1934"/>
      <c r="K662" s="1934"/>
      <c r="L662" s="1934"/>
      <c r="M662" s="1934"/>
      <c r="N662" s="1934"/>
      <c r="O662" s="1934"/>
      <c r="P662" s="1934"/>
      <c r="Q662" s="1934"/>
      <c r="R662" s="1934"/>
      <c r="S662" s="1934"/>
      <c r="T662" s="1934"/>
      <c r="U662" s="1934"/>
      <c r="V662" s="1934"/>
      <c r="W662" s="1934"/>
      <c r="X662" s="1934"/>
      <c r="Y662" s="1934"/>
      <c r="Z662" s="1934"/>
      <c r="AA662" s="1934"/>
      <c r="AB662" s="1934"/>
      <c r="AC662" s="1934"/>
      <c r="AD662" s="570"/>
      <c r="AE662" s="570"/>
      <c r="AF662" s="2014" t="s">
        <v>1463</v>
      </c>
      <c r="AG662" s="2014"/>
      <c r="AH662" s="2014"/>
      <c r="AI662" s="2014"/>
      <c r="AJ662" s="2014"/>
      <c r="AK662" s="2014"/>
      <c r="AL662" s="2014"/>
      <c r="AM662" s="630"/>
      <c r="AN662" s="631"/>
    </row>
    <row r="663" spans="1:42" s="584" customFormat="1" ht="12.75" customHeight="1">
      <c r="B663" s="570"/>
      <c r="C663" s="966"/>
      <c r="D663" s="697"/>
      <c r="E663" s="1934"/>
      <c r="F663" s="1934"/>
      <c r="G663" s="1934"/>
      <c r="H663" s="1934"/>
      <c r="I663" s="1934"/>
      <c r="J663" s="1934"/>
      <c r="K663" s="1934"/>
      <c r="L663" s="1934"/>
      <c r="M663" s="1934"/>
      <c r="N663" s="1934"/>
      <c r="O663" s="1934"/>
      <c r="P663" s="1934"/>
      <c r="Q663" s="1934"/>
      <c r="R663" s="1934"/>
      <c r="S663" s="1934"/>
      <c r="T663" s="1934"/>
      <c r="U663" s="1934"/>
      <c r="V663" s="1934"/>
      <c r="W663" s="1934"/>
      <c r="X663" s="1934"/>
      <c r="Y663" s="1934"/>
      <c r="Z663" s="1934"/>
      <c r="AA663" s="1934"/>
      <c r="AB663" s="1934"/>
      <c r="AC663" s="1934"/>
      <c r="AD663" s="570"/>
      <c r="AE663" s="570"/>
      <c r="AF663" s="570"/>
      <c r="AG663" s="570"/>
      <c r="AH663" s="570"/>
      <c r="AI663" s="570"/>
      <c r="AJ663" s="570"/>
      <c r="AK663" s="570"/>
      <c r="AL663" s="570"/>
      <c r="AM663" s="630"/>
      <c r="AN663" s="631"/>
    </row>
    <row r="664" spans="1:42" s="584" customFormat="1" ht="12.75" customHeight="1">
      <c r="B664" s="570"/>
      <c r="C664" s="966"/>
      <c r="D664" s="697"/>
      <c r="E664" s="1934"/>
      <c r="F664" s="1934"/>
      <c r="G664" s="1934"/>
      <c r="H664" s="1934"/>
      <c r="I664" s="1934"/>
      <c r="J664" s="1934"/>
      <c r="K664" s="1934"/>
      <c r="L664" s="1934"/>
      <c r="M664" s="1934"/>
      <c r="N664" s="1934"/>
      <c r="O664" s="1934"/>
      <c r="P664" s="1934"/>
      <c r="Q664" s="1934"/>
      <c r="R664" s="1934"/>
      <c r="S664" s="1934"/>
      <c r="T664" s="1934"/>
      <c r="U664" s="1934"/>
      <c r="V664" s="1934"/>
      <c r="W664" s="1934"/>
      <c r="X664" s="1934"/>
      <c r="Y664" s="1934"/>
      <c r="Z664" s="1934"/>
      <c r="AA664" s="1934"/>
      <c r="AB664" s="1934"/>
      <c r="AC664" s="193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34" t="s">
        <v>1534</v>
      </c>
      <c r="F666" s="1934"/>
      <c r="G666" s="1934"/>
      <c r="H666" s="1934"/>
      <c r="I666" s="1934"/>
      <c r="J666" s="1934"/>
      <c r="K666" s="1934"/>
      <c r="L666" s="1934"/>
      <c r="M666" s="1934"/>
      <c r="N666" s="1934"/>
      <c r="O666" s="1934"/>
      <c r="P666" s="1934"/>
      <c r="Q666" s="1934"/>
      <c r="R666" s="1934"/>
      <c r="S666" s="1934"/>
      <c r="T666" s="1934"/>
      <c r="U666" s="1934"/>
      <c r="V666" s="1934"/>
      <c r="W666" s="1934"/>
      <c r="X666" s="1934"/>
      <c r="Y666" s="1934"/>
      <c r="Z666" s="1934"/>
      <c r="AA666" s="1934"/>
      <c r="AB666" s="1934"/>
      <c r="AC666" s="1934"/>
      <c r="AD666" s="570"/>
      <c r="AE666" s="570"/>
      <c r="AF666" s="2014" t="s">
        <v>1519</v>
      </c>
      <c r="AG666" s="2014"/>
      <c r="AH666" s="2014"/>
      <c r="AI666" s="2014"/>
      <c r="AJ666" s="2014"/>
      <c r="AK666" s="2014"/>
      <c r="AL666" s="2014"/>
      <c r="AM666" s="630"/>
      <c r="AN666" s="631"/>
    </row>
    <row r="667" spans="1:42" s="584" customFormat="1" ht="12.75" customHeight="1">
      <c r="A667" s="713"/>
      <c r="B667" s="570"/>
      <c r="C667" s="966"/>
      <c r="D667" s="697"/>
      <c r="E667" s="1934"/>
      <c r="F667" s="1934"/>
      <c r="G667" s="1934"/>
      <c r="H667" s="1934"/>
      <c r="I667" s="1934"/>
      <c r="J667" s="1934"/>
      <c r="K667" s="1934"/>
      <c r="L667" s="1934"/>
      <c r="M667" s="1934"/>
      <c r="N667" s="1934"/>
      <c r="O667" s="1934"/>
      <c r="P667" s="1934"/>
      <c r="Q667" s="1934"/>
      <c r="R667" s="1934"/>
      <c r="S667" s="1934"/>
      <c r="T667" s="1934"/>
      <c r="U667" s="1934"/>
      <c r="V667" s="1934"/>
      <c r="W667" s="1934"/>
      <c r="X667" s="1934"/>
      <c r="Y667" s="1934"/>
      <c r="Z667" s="1934"/>
      <c r="AA667" s="1934"/>
      <c r="AB667" s="1934"/>
      <c r="AC667" s="193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34"/>
      <c r="F668" s="1934"/>
      <c r="G668" s="1934"/>
      <c r="H668" s="1934"/>
      <c r="I668" s="1934"/>
      <c r="J668" s="1934"/>
      <c r="K668" s="1934"/>
      <c r="L668" s="1934"/>
      <c r="M668" s="1934"/>
      <c r="N668" s="1934"/>
      <c r="O668" s="1934"/>
      <c r="P668" s="1934"/>
      <c r="Q668" s="1934"/>
      <c r="R668" s="1934"/>
      <c r="S668" s="1934"/>
      <c r="T668" s="1934"/>
      <c r="U668" s="1934"/>
      <c r="V668" s="1934"/>
      <c r="W668" s="1934"/>
      <c r="X668" s="1934"/>
      <c r="Y668" s="1934"/>
      <c r="Z668" s="1934"/>
      <c r="AA668" s="1934"/>
      <c r="AB668" s="1934"/>
      <c r="AC668" s="193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34" t="s">
        <v>1535</v>
      </c>
      <c r="F670" s="1934"/>
      <c r="G670" s="1934"/>
      <c r="H670" s="1934"/>
      <c r="I670" s="1934"/>
      <c r="J670" s="1934"/>
      <c r="K670" s="1934"/>
      <c r="L670" s="1934"/>
      <c r="M670" s="1934"/>
      <c r="N670" s="1934"/>
      <c r="O670" s="1934"/>
      <c r="P670" s="1934"/>
      <c r="Q670" s="1934"/>
      <c r="R670" s="1934"/>
      <c r="S670" s="1934"/>
      <c r="T670" s="1934"/>
      <c r="U670" s="1934"/>
      <c r="V670" s="1934"/>
      <c r="W670" s="1934"/>
      <c r="X670" s="1934"/>
      <c r="Y670" s="1934"/>
      <c r="Z670" s="1934"/>
      <c r="AA670" s="1934"/>
      <c r="AB670" s="1934"/>
      <c r="AC670" s="1934"/>
      <c r="AD670" s="570"/>
      <c r="AE670" s="570"/>
      <c r="AF670" s="2014" t="s">
        <v>1536</v>
      </c>
      <c r="AG670" s="2014"/>
      <c r="AH670" s="2014"/>
      <c r="AI670" s="2014"/>
      <c r="AJ670" s="2014"/>
      <c r="AK670" s="2014"/>
      <c r="AL670" s="2014"/>
      <c r="AM670" s="630"/>
      <c r="AN670" s="631"/>
      <c r="AO670" s="645" t="s">
        <v>696</v>
      </c>
      <c r="AP670" s="584">
        <v>3</v>
      </c>
    </row>
    <row r="671" spans="1:42" s="584" customFormat="1" ht="12.75" customHeight="1">
      <c r="A671" s="713"/>
      <c r="B671" s="570"/>
      <c r="C671" s="966"/>
      <c r="D671" s="697"/>
      <c r="E671" s="1934"/>
      <c r="F671" s="1934"/>
      <c r="G671" s="1934"/>
      <c r="H671" s="1934"/>
      <c r="I671" s="1934"/>
      <c r="J671" s="1934"/>
      <c r="K671" s="1934"/>
      <c r="L671" s="1934"/>
      <c r="M671" s="1934"/>
      <c r="N671" s="1934"/>
      <c r="O671" s="1934"/>
      <c r="P671" s="1934"/>
      <c r="Q671" s="1934"/>
      <c r="R671" s="1934"/>
      <c r="S671" s="1934"/>
      <c r="T671" s="1934"/>
      <c r="U671" s="1934"/>
      <c r="V671" s="1934"/>
      <c r="W671" s="1934"/>
      <c r="X671" s="1934"/>
      <c r="Y671" s="1934"/>
      <c r="Z671" s="1934"/>
      <c r="AA671" s="1934"/>
      <c r="AB671" s="1934"/>
      <c r="AC671" s="1934"/>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34"/>
      <c r="F672" s="1934"/>
      <c r="G672" s="1934"/>
      <c r="H672" s="1934"/>
      <c r="I672" s="1934"/>
      <c r="J672" s="1934"/>
      <c r="K672" s="1934"/>
      <c r="L672" s="1934"/>
      <c r="M672" s="1934"/>
      <c r="N672" s="1934"/>
      <c r="O672" s="1934"/>
      <c r="P672" s="1934"/>
      <c r="Q672" s="1934"/>
      <c r="R672" s="1934"/>
      <c r="S672" s="1934"/>
      <c r="T672" s="1934"/>
      <c r="U672" s="1934"/>
      <c r="V672" s="1934"/>
      <c r="W672" s="1934"/>
      <c r="X672" s="1934"/>
      <c r="Y672" s="1934"/>
      <c r="Z672" s="1934"/>
      <c r="AA672" s="1934"/>
      <c r="AB672" s="1934"/>
      <c r="AC672" s="193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58" t="s">
        <v>517</v>
      </c>
      <c r="I674" s="195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41">
        <f>VLOOKUP($H$674,$AO$622:$AP$629,2,FALSE)</f>
        <v>4</v>
      </c>
      <c r="AK676" s="194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2451</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2539</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2540</v>
      </c>
      <c r="AX679" s="1196">
        <f>Application!G753</f>
        <v>139</v>
      </c>
    </row>
    <row r="680" spans="1:51" s="584" customFormat="1" ht="12.75" customHeight="1">
      <c r="A680" s="713"/>
      <c r="B680" s="570"/>
      <c r="C680" s="983"/>
      <c r="D680" s="697" t="s">
        <v>696</v>
      </c>
      <c r="E680" s="2049" t="s">
        <v>2546</v>
      </c>
      <c r="F680" s="2049"/>
      <c r="G680" s="2049"/>
      <c r="H680" s="2049"/>
      <c r="I680" s="2049"/>
      <c r="J680" s="2049"/>
      <c r="K680" s="2049"/>
      <c r="L680" s="2049"/>
      <c r="M680" s="2049"/>
      <c r="N680" s="2049"/>
      <c r="O680" s="2049"/>
      <c r="P680" s="2049"/>
      <c r="Q680" s="2049"/>
      <c r="R680" s="2049"/>
      <c r="S680" s="2049"/>
      <c r="T680" s="2049"/>
      <c r="U680" s="2049"/>
      <c r="V680" s="2049"/>
      <c r="W680" s="2049"/>
      <c r="X680" s="2049"/>
      <c r="Y680" s="2049"/>
      <c r="Z680" s="2049"/>
      <c r="AA680" s="2049"/>
      <c r="AB680" s="2049"/>
      <c r="AC680" s="570"/>
      <c r="AD680" s="570"/>
      <c r="AE680" s="570"/>
      <c r="AF680" s="2014" t="s">
        <v>1463</v>
      </c>
      <c r="AG680" s="2014"/>
      <c r="AH680" s="2014"/>
      <c r="AI680" s="2014"/>
      <c r="AJ680" s="2014"/>
      <c r="AK680" s="2014"/>
      <c r="AL680" s="2014"/>
      <c r="AN680" s="631"/>
      <c r="AW680" s="22" t="s">
        <v>2541</v>
      </c>
      <c r="AX680" s="584">
        <f>Application!CC632</f>
        <v>49</v>
      </c>
    </row>
    <row r="681" spans="1:51" s="584" customFormat="1" ht="12.75" customHeight="1">
      <c r="A681" s="713"/>
      <c r="B681" s="570"/>
      <c r="C681" s="983"/>
      <c r="D681" s="697"/>
      <c r="E681" s="2049"/>
      <c r="F681" s="2049"/>
      <c r="G681" s="2049"/>
      <c r="H681" s="2049"/>
      <c r="I681" s="2049"/>
      <c r="J681" s="2049"/>
      <c r="K681" s="2049"/>
      <c r="L681" s="2049"/>
      <c r="M681" s="2049"/>
      <c r="N681" s="2049"/>
      <c r="O681" s="2049"/>
      <c r="P681" s="2049"/>
      <c r="Q681" s="2049"/>
      <c r="R681" s="2049"/>
      <c r="S681" s="2049"/>
      <c r="T681" s="2049"/>
      <c r="U681" s="2049"/>
      <c r="V681" s="2049"/>
      <c r="W681" s="2049"/>
      <c r="X681" s="2049"/>
      <c r="Y681" s="2049"/>
      <c r="Z681" s="2049"/>
      <c r="AA681" s="2049"/>
      <c r="AB681" s="2049"/>
      <c r="AC681" s="570"/>
      <c r="AD681" s="570"/>
      <c r="AE681" s="570"/>
      <c r="AF681" s="570"/>
      <c r="AG681" s="570"/>
      <c r="AH681" s="570"/>
      <c r="AI681" s="570"/>
      <c r="AJ681" s="570"/>
      <c r="AK681" s="570"/>
      <c r="AL681" s="570"/>
      <c r="AN681" s="631"/>
      <c r="AW681" s="22" t="s">
        <v>2542</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2543</v>
      </c>
      <c r="AX682" s="584">
        <f>Application!CM632</f>
        <v>0</v>
      </c>
    </row>
    <row r="683" spans="1:51" s="584" customFormat="1" ht="12.75" customHeight="1">
      <c r="B683" s="570"/>
      <c r="C683" s="966"/>
      <c r="D683" s="697" t="s">
        <v>517</v>
      </c>
      <c r="E683" s="1934" t="s">
        <v>2449</v>
      </c>
      <c r="F683" s="1934"/>
      <c r="G683" s="1934"/>
      <c r="H683" s="1934"/>
      <c r="I683" s="1934"/>
      <c r="J683" s="1934"/>
      <c r="K683" s="1934"/>
      <c r="L683" s="1934"/>
      <c r="M683" s="1934"/>
      <c r="N683" s="1934"/>
      <c r="O683" s="1934"/>
      <c r="P683" s="1934"/>
      <c r="Q683" s="1934"/>
      <c r="R683" s="1934"/>
      <c r="S683" s="1934"/>
      <c r="T683" s="1934"/>
      <c r="U683" s="1934"/>
      <c r="V683" s="1934"/>
      <c r="W683" s="1934"/>
      <c r="X683" s="1934"/>
      <c r="Y683" s="1934"/>
      <c r="Z683" s="1934"/>
      <c r="AA683" s="1934"/>
      <c r="AB683" s="1934"/>
      <c r="AC683" s="570"/>
      <c r="AD683" s="570"/>
      <c r="AE683" s="570"/>
      <c r="AF683" s="2014" t="s">
        <v>1463</v>
      </c>
      <c r="AG683" s="2014"/>
      <c r="AH683" s="2014"/>
      <c r="AI683" s="2014"/>
      <c r="AJ683" s="2014"/>
      <c r="AK683" s="2014"/>
      <c r="AL683" s="2014"/>
      <c r="AN683" s="631"/>
      <c r="AW683" s="22" t="s">
        <v>2544</v>
      </c>
      <c r="AX683" s="584">
        <f>AX680+AX681+AX682</f>
        <v>49</v>
      </c>
    </row>
    <row r="684" spans="1:51" s="584" customFormat="1" ht="12.75" customHeight="1">
      <c r="B684" s="570"/>
      <c r="C684" s="975"/>
      <c r="D684" s="697"/>
      <c r="E684" s="1934"/>
      <c r="F684" s="1934"/>
      <c r="G684" s="1934"/>
      <c r="H684" s="1934"/>
      <c r="I684" s="1934"/>
      <c r="J684" s="1934"/>
      <c r="K684" s="1934"/>
      <c r="L684" s="1934"/>
      <c r="M684" s="1934"/>
      <c r="N684" s="1934"/>
      <c r="O684" s="1934"/>
      <c r="P684" s="1934"/>
      <c r="Q684" s="1934"/>
      <c r="R684" s="1934"/>
      <c r="S684" s="1934"/>
      <c r="T684" s="1934"/>
      <c r="U684" s="1934"/>
      <c r="V684" s="1934"/>
      <c r="W684" s="1934"/>
      <c r="X684" s="1934"/>
      <c r="Y684" s="1934"/>
      <c r="Z684" s="1934"/>
      <c r="AA684" s="1934"/>
      <c r="AB684" s="1934"/>
      <c r="AC684" s="570"/>
      <c r="AD684" s="570"/>
      <c r="AE684" s="650"/>
      <c r="AF684" s="570"/>
      <c r="AG684" s="570"/>
      <c r="AH684" s="570"/>
      <c r="AI684" s="570"/>
      <c r="AJ684" s="570"/>
      <c r="AK684" s="570"/>
      <c r="AL684" s="570"/>
      <c r="AN684" s="631"/>
      <c r="AO684" s="1949" t="b">
        <f>IF(Application!D211="Special Needs",IF(AY684&gt;=0.25,TRUE,FALSE),IF(AX684&gt;=0.25,TRUE,FALSE))</f>
        <v>1</v>
      </c>
      <c r="AP684" s="1949"/>
      <c r="AW684" s="22" t="s">
        <v>2545</v>
      </c>
      <c r="AX684" s="584">
        <f>IFERROR(AX683/AX679,0)</f>
        <v>0.35251798561151076</v>
      </c>
      <c r="AY684" s="584">
        <f>IFERROR(AX683/(AX679-AX678),0)</f>
        <v>0.35251798561151076</v>
      </c>
    </row>
    <row r="685" spans="1:51" s="584" customFormat="1" ht="12.75" customHeight="1">
      <c r="B685" s="570"/>
      <c r="C685" s="975"/>
      <c r="E685" s="1934"/>
      <c r="F685" s="1934"/>
      <c r="G685" s="1934"/>
      <c r="H685" s="1934"/>
      <c r="I685" s="1934"/>
      <c r="J685" s="1934"/>
      <c r="K685" s="1934"/>
      <c r="L685" s="1934"/>
      <c r="M685" s="1934"/>
      <c r="N685" s="1934"/>
      <c r="O685" s="1934"/>
      <c r="P685" s="1934"/>
      <c r="Q685" s="1934"/>
      <c r="R685" s="1934"/>
      <c r="S685" s="1934"/>
      <c r="T685" s="1934"/>
      <c r="U685" s="1934"/>
      <c r="V685" s="1934"/>
      <c r="W685" s="1934"/>
      <c r="X685" s="1934"/>
      <c r="Y685" s="1934"/>
      <c r="Z685" s="1934"/>
      <c r="AA685" s="1934"/>
      <c r="AB685" s="193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34"/>
      <c r="F686" s="1934"/>
      <c r="G686" s="1934"/>
      <c r="H686" s="1934"/>
      <c r="I686" s="1934"/>
      <c r="J686" s="1934"/>
      <c r="K686" s="1934"/>
      <c r="L686" s="1934"/>
      <c r="M686" s="1934"/>
      <c r="N686" s="1934"/>
      <c r="O686" s="1934"/>
      <c r="P686" s="1934"/>
      <c r="Q686" s="1934"/>
      <c r="R686" s="1934"/>
      <c r="S686" s="1934"/>
      <c r="T686" s="1934"/>
      <c r="U686" s="1934"/>
      <c r="V686" s="1934"/>
      <c r="W686" s="1934"/>
      <c r="X686" s="1934"/>
      <c r="Y686" s="1934"/>
      <c r="Z686" s="1934"/>
      <c r="AA686" s="1934"/>
      <c r="AB686" s="1934"/>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34" t="s">
        <v>2450</v>
      </c>
      <c r="F688" s="1934"/>
      <c r="G688" s="1934"/>
      <c r="H688" s="1934"/>
      <c r="I688" s="1934"/>
      <c r="J688" s="1934"/>
      <c r="K688" s="1934"/>
      <c r="L688" s="1934"/>
      <c r="M688" s="1934"/>
      <c r="N688" s="1934"/>
      <c r="O688" s="1934"/>
      <c r="P688" s="1934"/>
      <c r="Q688" s="1934"/>
      <c r="R688" s="1934"/>
      <c r="S688" s="1934"/>
      <c r="T688" s="1934"/>
      <c r="U688" s="1934"/>
      <c r="V688" s="1934"/>
      <c r="W688" s="1934"/>
      <c r="X688" s="1934"/>
      <c r="Y688" s="1934"/>
      <c r="Z688" s="1934"/>
      <c r="AA688" s="1934"/>
      <c r="AB688" s="1934"/>
      <c r="AC688" s="570"/>
      <c r="AD688" s="570"/>
      <c r="AE688" s="570"/>
      <c r="AF688" s="2014" t="s">
        <v>1519</v>
      </c>
      <c r="AG688" s="2014"/>
      <c r="AH688" s="2014"/>
      <c r="AI688" s="2014"/>
      <c r="AJ688" s="2014"/>
      <c r="AK688" s="2014"/>
      <c r="AL688" s="2014"/>
      <c r="AN688" s="631"/>
      <c r="AO688" s="645" t="s">
        <v>517</v>
      </c>
      <c r="AP688" s="584">
        <v>1</v>
      </c>
    </row>
    <row r="689" spans="1:42" s="584" customFormat="1" ht="12" customHeight="1">
      <c r="B689" s="570"/>
      <c r="C689" s="966"/>
      <c r="E689" s="1934"/>
      <c r="F689" s="1934"/>
      <c r="G689" s="1934"/>
      <c r="H689" s="1934"/>
      <c r="I689" s="1934"/>
      <c r="J689" s="1934"/>
      <c r="K689" s="1934"/>
      <c r="L689" s="1934"/>
      <c r="M689" s="1934"/>
      <c r="N689" s="1934"/>
      <c r="O689" s="1934"/>
      <c r="P689" s="1934"/>
      <c r="Q689" s="1934"/>
      <c r="R689" s="1934"/>
      <c r="S689" s="1934"/>
      <c r="T689" s="1934"/>
      <c r="U689" s="1934"/>
      <c r="V689" s="1934"/>
      <c r="W689" s="1934"/>
      <c r="X689" s="1934"/>
      <c r="Y689" s="1934"/>
      <c r="Z689" s="1934"/>
      <c r="AA689" s="1934"/>
      <c r="AB689" s="1934"/>
      <c r="AC689" s="570"/>
      <c r="AD689" s="570"/>
      <c r="AE689" s="650"/>
      <c r="AF689" s="570"/>
      <c r="AG689" s="570"/>
      <c r="AH689" s="570"/>
      <c r="AI689" s="570"/>
      <c r="AJ689" s="570"/>
      <c r="AK689" s="570"/>
      <c r="AL689" s="570"/>
      <c r="AN689" s="631"/>
    </row>
    <row r="690" spans="1:42" s="584" customFormat="1" ht="12" customHeight="1">
      <c r="B690" s="570"/>
      <c r="C690" s="966"/>
      <c r="D690" s="570"/>
      <c r="E690" s="1934"/>
      <c r="F690" s="1934"/>
      <c r="G690" s="1934"/>
      <c r="H690" s="1934"/>
      <c r="I690" s="1934"/>
      <c r="J690" s="1934"/>
      <c r="K690" s="1934"/>
      <c r="L690" s="1934"/>
      <c r="M690" s="1934"/>
      <c r="N690" s="1934"/>
      <c r="O690" s="1934"/>
      <c r="P690" s="1934"/>
      <c r="Q690" s="1934"/>
      <c r="R690" s="1934"/>
      <c r="S690" s="1934"/>
      <c r="T690" s="1934"/>
      <c r="U690" s="1934"/>
      <c r="V690" s="1934"/>
      <c r="W690" s="1934"/>
      <c r="X690" s="1934"/>
      <c r="Y690" s="1934"/>
      <c r="Z690" s="1934"/>
      <c r="AA690" s="1934"/>
      <c r="AB690" s="1934"/>
      <c r="AC690" s="570"/>
      <c r="AD690" s="570"/>
      <c r="AE690" s="650"/>
      <c r="AF690" s="570"/>
      <c r="AG690" s="570"/>
      <c r="AH690" s="570"/>
      <c r="AI690" s="570"/>
      <c r="AJ690" s="570"/>
      <c r="AK690" s="570"/>
      <c r="AL690" s="570"/>
      <c r="AN690" s="631"/>
    </row>
    <row r="691" spans="1:42" s="584" customFormat="1" ht="12" customHeight="1">
      <c r="B691" s="570"/>
      <c r="C691" s="966"/>
      <c r="D691" s="570"/>
      <c r="E691" s="1934"/>
      <c r="F691" s="1934"/>
      <c r="G691" s="1934"/>
      <c r="H691" s="1934"/>
      <c r="I691" s="1934"/>
      <c r="J691" s="1934"/>
      <c r="K691" s="1934"/>
      <c r="L691" s="1934"/>
      <c r="M691" s="1934"/>
      <c r="N691" s="1934"/>
      <c r="O691" s="1934"/>
      <c r="P691" s="1934"/>
      <c r="Q691" s="1934"/>
      <c r="R691" s="1934"/>
      <c r="S691" s="1934"/>
      <c r="T691" s="1934"/>
      <c r="U691" s="1934"/>
      <c r="V691" s="1934"/>
      <c r="W691" s="1934"/>
      <c r="X691" s="1934"/>
      <c r="Y691" s="1934"/>
      <c r="Z691" s="1934"/>
      <c r="AA691" s="1934"/>
      <c r="AB691" s="1934"/>
      <c r="AC691" s="570"/>
      <c r="AD691" s="570"/>
      <c r="AE691" s="650"/>
      <c r="AF691" s="570"/>
      <c r="AG691" s="570"/>
      <c r="AH691" s="570"/>
      <c r="AI691" s="570"/>
      <c r="AJ691" s="570"/>
      <c r="AK691" s="570"/>
      <c r="AL691" s="570"/>
      <c r="AN691" s="631"/>
    </row>
    <row r="692" spans="1:42" s="604" customFormat="1" ht="13.05" customHeight="1">
      <c r="A692" s="584"/>
      <c r="B692" s="570"/>
      <c r="C692" s="966"/>
      <c r="D692" s="570"/>
      <c r="E692" s="1934"/>
      <c r="F692" s="1934"/>
      <c r="G692" s="1934"/>
      <c r="H692" s="1934"/>
      <c r="I692" s="1934"/>
      <c r="J692" s="1934"/>
      <c r="K692" s="1934"/>
      <c r="L692" s="1934"/>
      <c r="M692" s="1934"/>
      <c r="N692" s="1934"/>
      <c r="O692" s="1934"/>
      <c r="P692" s="1934"/>
      <c r="Q692" s="1934"/>
      <c r="R692" s="1934"/>
      <c r="S692" s="1934"/>
      <c r="T692" s="1934"/>
      <c r="U692" s="1934"/>
      <c r="V692" s="1934"/>
      <c r="W692" s="1934"/>
      <c r="X692" s="1934"/>
      <c r="Y692" s="1934"/>
      <c r="Z692" s="1934"/>
      <c r="AA692" s="1934"/>
      <c r="AB692" s="1934"/>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34" t="s">
        <v>1883</v>
      </c>
      <c r="F694" s="1934"/>
      <c r="G694" s="1934"/>
      <c r="H694" s="1934"/>
      <c r="I694" s="1934"/>
      <c r="J694" s="1934"/>
      <c r="K694" s="1934"/>
      <c r="L694" s="1934"/>
      <c r="M694" s="1934"/>
      <c r="N694" s="1934"/>
      <c r="O694" s="1934"/>
      <c r="P694" s="1934"/>
      <c r="Q694" s="1934"/>
      <c r="R694" s="1934"/>
      <c r="S694" s="1934"/>
      <c r="T694" s="1934"/>
      <c r="U694" s="1934"/>
      <c r="V694" s="1934"/>
      <c r="W694" s="1934"/>
      <c r="X694" s="1934"/>
      <c r="Y694" s="1934"/>
      <c r="Z694" s="1934"/>
      <c r="AA694" s="1934"/>
      <c r="AB694" s="1934"/>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34"/>
      <c r="F695" s="1934"/>
      <c r="G695" s="1934"/>
      <c r="H695" s="1934"/>
      <c r="I695" s="1934"/>
      <c r="J695" s="1934"/>
      <c r="K695" s="1934"/>
      <c r="L695" s="1934"/>
      <c r="M695" s="1934"/>
      <c r="N695" s="1934"/>
      <c r="O695" s="1934"/>
      <c r="P695" s="1934"/>
      <c r="Q695" s="1934"/>
      <c r="R695" s="1934"/>
      <c r="S695" s="1934"/>
      <c r="T695" s="1934"/>
      <c r="U695" s="1934"/>
      <c r="V695" s="1934"/>
      <c r="W695" s="1934"/>
      <c r="X695" s="1934"/>
      <c r="Y695" s="1934"/>
      <c r="Z695" s="1934"/>
      <c r="AA695" s="1934"/>
      <c r="AB695" s="1934"/>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34"/>
      <c r="F696" s="1934"/>
      <c r="G696" s="1934"/>
      <c r="H696" s="1934"/>
      <c r="I696" s="1934"/>
      <c r="J696" s="1934"/>
      <c r="K696" s="1934"/>
      <c r="L696" s="1934"/>
      <c r="M696" s="1934"/>
      <c r="N696" s="1934"/>
      <c r="O696" s="1934"/>
      <c r="P696" s="1934"/>
      <c r="Q696" s="1934"/>
      <c r="R696" s="1934"/>
      <c r="S696" s="1934"/>
      <c r="T696" s="1934"/>
      <c r="U696" s="1934"/>
      <c r="V696" s="1934"/>
      <c r="W696" s="1934"/>
      <c r="X696" s="1934"/>
      <c r="Y696" s="1934"/>
      <c r="Z696" s="1934"/>
      <c r="AA696" s="1934"/>
      <c r="AB696" s="193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58" t="s">
        <v>517</v>
      </c>
      <c r="I698" s="1958"/>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2452</v>
      </c>
      <c r="AJ700" s="1941">
        <f>VLOOKUP($H$698,$AO$692:$AP$694,2,FALSE)</f>
        <v>3</v>
      </c>
      <c r="AK700" s="1943"/>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47" t="s">
        <v>1885</v>
      </c>
      <c r="F704" s="2047"/>
      <c r="G704" s="2047"/>
      <c r="H704" s="2047"/>
      <c r="I704" s="2047"/>
      <c r="J704" s="2047"/>
      <c r="K704" s="2047"/>
      <c r="L704" s="2047"/>
      <c r="M704" s="2047"/>
      <c r="N704" s="2047"/>
      <c r="O704" s="2047"/>
      <c r="P704" s="2047"/>
      <c r="Q704" s="2047"/>
      <c r="R704" s="2047"/>
      <c r="S704" s="2047"/>
      <c r="T704" s="2047"/>
      <c r="U704" s="2047"/>
      <c r="V704" s="2047"/>
      <c r="W704" s="2047"/>
      <c r="X704" s="2047"/>
      <c r="Y704" s="2047"/>
      <c r="Z704" s="2047"/>
      <c r="AA704" s="2047"/>
      <c r="AB704" s="2047"/>
      <c r="AC704" s="570"/>
      <c r="AD704" s="570"/>
      <c r="AE704" s="570"/>
      <c r="AF704" s="2014" t="s">
        <v>1463</v>
      </c>
      <c r="AG704" s="2014"/>
      <c r="AH704" s="2014"/>
      <c r="AI704" s="2014"/>
      <c r="AJ704" s="2014"/>
      <c r="AK704" s="2014"/>
      <c r="AL704" s="2014"/>
      <c r="AM704" s="584"/>
      <c r="AN704" s="718"/>
      <c r="AP704" s="604" t="s">
        <v>1543</v>
      </c>
    </row>
    <row r="705" spans="1:52" s="604" customFormat="1" ht="11.7" customHeight="1">
      <c r="A705" s="584"/>
      <c r="B705" s="570"/>
      <c r="C705" s="968"/>
      <c r="D705" s="697"/>
      <c r="E705" s="2047"/>
      <c r="F705" s="2047"/>
      <c r="G705" s="2047"/>
      <c r="H705" s="2047"/>
      <c r="I705" s="2047"/>
      <c r="J705" s="2047"/>
      <c r="K705" s="2047"/>
      <c r="L705" s="2047"/>
      <c r="M705" s="2047"/>
      <c r="N705" s="2047"/>
      <c r="O705" s="2047"/>
      <c r="P705" s="2047"/>
      <c r="Q705" s="2047"/>
      <c r="R705" s="2047"/>
      <c r="S705" s="2047"/>
      <c r="T705" s="2047"/>
      <c r="U705" s="2047"/>
      <c r="V705" s="2047"/>
      <c r="W705" s="2047"/>
      <c r="X705" s="2047"/>
      <c r="Y705" s="2047"/>
      <c r="Z705" s="2047"/>
      <c r="AA705" s="2047"/>
      <c r="AB705" s="2047"/>
      <c r="AC705" s="570"/>
      <c r="AD705" s="570"/>
      <c r="AE705" s="570"/>
      <c r="AF705" s="570"/>
      <c r="AG705" s="570"/>
      <c r="AH705" s="570"/>
      <c r="AI705" s="570"/>
      <c r="AJ705" s="570"/>
      <c r="AK705" s="570"/>
      <c r="AL705" s="570"/>
      <c r="AM705" s="584"/>
      <c r="AN705" s="718"/>
      <c r="AP705" s="604" t="s">
        <v>1544</v>
      </c>
    </row>
    <row r="706" spans="1:52" s="604" customFormat="1" ht="13.95" customHeight="1">
      <c r="A706" s="584"/>
      <c r="B706" s="644"/>
      <c r="C706" s="966"/>
      <c r="D706" s="697"/>
      <c r="E706" s="2047"/>
      <c r="F706" s="2047"/>
      <c r="G706" s="2047"/>
      <c r="H706" s="2047"/>
      <c r="I706" s="2047"/>
      <c r="J706" s="2047"/>
      <c r="K706" s="2047"/>
      <c r="L706" s="2047"/>
      <c r="M706" s="2047"/>
      <c r="N706" s="2047"/>
      <c r="O706" s="2047"/>
      <c r="P706" s="2047"/>
      <c r="Q706" s="2047"/>
      <c r="R706" s="2047"/>
      <c r="S706" s="2047"/>
      <c r="T706" s="2047"/>
      <c r="U706" s="2047"/>
      <c r="V706" s="2047"/>
      <c r="W706" s="2047"/>
      <c r="X706" s="2047"/>
      <c r="Y706" s="2047"/>
      <c r="Z706" s="2047"/>
      <c r="AA706" s="2047"/>
      <c r="AB706" s="2047"/>
      <c r="AC706" s="570"/>
      <c r="AD706" s="570"/>
      <c r="AE706" s="650"/>
      <c r="AF706" s="570"/>
      <c r="AG706" s="570"/>
      <c r="AH706" s="570"/>
      <c r="AI706" s="570"/>
      <c r="AJ706" s="570"/>
      <c r="AK706" s="570"/>
      <c r="AL706" s="570"/>
      <c r="AM706" s="584"/>
      <c r="AN706" s="718"/>
      <c r="AP706" s="604" t="s">
        <v>1545</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5" customHeight="1">
      <c r="A708" s="584"/>
      <c r="B708" s="570"/>
      <c r="C708" s="966"/>
      <c r="D708" s="697" t="s">
        <v>517</v>
      </c>
      <c r="E708" s="2048" t="s">
        <v>1546</v>
      </c>
      <c r="F708" s="2048"/>
      <c r="G708" s="2048"/>
      <c r="H708" s="2048"/>
      <c r="I708" s="2048"/>
      <c r="J708" s="2048"/>
      <c r="K708" s="2048"/>
      <c r="L708" s="2048"/>
      <c r="M708" s="2048"/>
      <c r="N708" s="2048"/>
      <c r="O708" s="2048"/>
      <c r="P708" s="2048"/>
      <c r="Q708" s="2048"/>
      <c r="R708" s="2048"/>
      <c r="S708" s="2048"/>
      <c r="T708" s="2048"/>
      <c r="U708" s="2048"/>
      <c r="V708" s="2048"/>
      <c r="W708" s="2048"/>
      <c r="X708" s="2048"/>
      <c r="Y708" s="2048"/>
      <c r="Z708" s="2048"/>
      <c r="AA708" s="2048"/>
      <c r="AB708" s="2048"/>
      <c r="AC708" s="570"/>
      <c r="AD708" s="570"/>
      <c r="AE708" s="570"/>
      <c r="AF708" s="2014" t="s">
        <v>1519</v>
      </c>
      <c r="AG708" s="2014"/>
      <c r="AH708" s="2014"/>
      <c r="AI708" s="2014"/>
      <c r="AJ708" s="2014"/>
      <c r="AK708" s="2014"/>
      <c r="AL708" s="2014"/>
      <c r="AM708" s="584"/>
      <c r="AN708" s="719"/>
    </row>
    <row r="709" spans="1:52" s="604" customFormat="1" ht="12.75" customHeight="1">
      <c r="A709" s="584"/>
      <c r="B709" s="570"/>
      <c r="C709" s="968"/>
      <c r="D709" s="570"/>
      <c r="E709" s="2048"/>
      <c r="F709" s="2048"/>
      <c r="G709" s="2048"/>
      <c r="H709" s="2048"/>
      <c r="I709" s="2048"/>
      <c r="J709" s="2048"/>
      <c r="K709" s="2048"/>
      <c r="L709" s="2048"/>
      <c r="M709" s="2048"/>
      <c r="N709" s="2048"/>
      <c r="O709" s="2048"/>
      <c r="P709" s="2048"/>
      <c r="Q709" s="2048"/>
      <c r="R709" s="2048"/>
      <c r="S709" s="2048"/>
      <c r="T709" s="2048"/>
      <c r="U709" s="2048"/>
      <c r="V709" s="2048"/>
      <c r="W709" s="2048"/>
      <c r="X709" s="2048"/>
      <c r="Y709" s="2048"/>
      <c r="Z709" s="2048"/>
      <c r="AA709" s="2048"/>
      <c r="AB709" s="2048"/>
      <c r="AC709" s="570"/>
      <c r="AD709" s="570"/>
      <c r="AE709" s="570"/>
      <c r="AF709" s="570"/>
      <c r="AG709" s="570"/>
      <c r="AH709" s="570"/>
      <c r="AI709" s="570"/>
      <c r="AJ709" s="570"/>
      <c r="AK709" s="570"/>
      <c r="AL709" s="570"/>
      <c r="AM709" s="584"/>
      <c r="AN709" s="718"/>
      <c r="AP709" s="584" t="s">
        <v>599</v>
      </c>
      <c r="AQ709" s="707">
        <v>0</v>
      </c>
    </row>
    <row r="710" spans="1:52" s="604" customFormat="1" ht="13.95" customHeight="1">
      <c r="A710" s="584"/>
      <c r="B710" s="570"/>
      <c r="C710" s="968"/>
      <c r="D710" s="570"/>
      <c r="E710" s="2048"/>
      <c r="F710" s="2048"/>
      <c r="G710" s="2048"/>
      <c r="H710" s="2048"/>
      <c r="I710" s="2048"/>
      <c r="J710" s="2048"/>
      <c r="K710" s="2048"/>
      <c r="L710" s="2048"/>
      <c r="M710" s="2048"/>
      <c r="N710" s="2048"/>
      <c r="O710" s="2048"/>
      <c r="P710" s="2048"/>
      <c r="Q710" s="2048"/>
      <c r="R710" s="2048"/>
      <c r="S710" s="2048"/>
      <c r="T710" s="2048"/>
      <c r="U710" s="2048"/>
      <c r="V710" s="2048"/>
      <c r="W710" s="2048"/>
      <c r="X710" s="2048"/>
      <c r="Y710" s="2048"/>
      <c r="Z710" s="2048"/>
      <c r="AA710" s="2048"/>
      <c r="AB710" s="2048"/>
      <c r="AC710" s="570"/>
      <c r="AD710" s="570"/>
      <c r="AE710" s="570"/>
      <c r="AF710" s="570"/>
      <c r="AG710" s="570"/>
      <c r="AH710" s="570"/>
      <c r="AI710" s="570"/>
      <c r="AJ710" s="570"/>
      <c r="AK710" s="570"/>
      <c r="AL710" s="570"/>
      <c r="AM710" s="584"/>
      <c r="AN710" s="718"/>
      <c r="AP710" s="645" t="s">
        <v>696</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5" customHeight="1">
      <c r="A712" s="584"/>
      <c r="B712" s="570"/>
      <c r="C712" s="968"/>
      <c r="D712" s="570" t="s">
        <v>1511</v>
      </c>
      <c r="E712" s="971"/>
      <c r="F712" s="971"/>
      <c r="G712" s="971"/>
      <c r="H712" s="1958" t="s">
        <v>599</v>
      </c>
      <c r="I712" s="1958"/>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41">
        <f>VLOOKUP($H$712,$AP$709:$AQ$711,2,FALSE)</f>
        <v>0</v>
      </c>
      <c r="AK714" s="1943"/>
      <c r="AL714" s="629"/>
      <c r="AM714" s="584"/>
      <c r="AN714" s="718"/>
      <c r="AP714" s="1941"/>
      <c r="AQ714" s="194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34" t="s">
        <v>1886</v>
      </c>
      <c r="F718" s="1934"/>
      <c r="G718" s="1934"/>
      <c r="H718" s="1934"/>
      <c r="I718" s="1934"/>
      <c r="J718" s="1934"/>
      <c r="K718" s="1934"/>
      <c r="L718" s="1934"/>
      <c r="M718" s="1934"/>
      <c r="N718" s="1934"/>
      <c r="O718" s="1934"/>
      <c r="P718" s="1934"/>
      <c r="Q718" s="1934"/>
      <c r="R718" s="1934"/>
      <c r="S718" s="1934"/>
      <c r="T718" s="1934"/>
      <c r="U718" s="1934"/>
      <c r="V718" s="1934"/>
      <c r="W718" s="1934"/>
      <c r="X718" s="1934"/>
      <c r="Y718" s="1934"/>
      <c r="Z718" s="1934"/>
      <c r="AA718" s="1934"/>
      <c r="AB718" s="1934"/>
      <c r="AC718" s="570"/>
      <c r="AD718" s="570"/>
      <c r="AE718" s="570"/>
      <c r="AF718" s="2014" t="s">
        <v>1463</v>
      </c>
      <c r="AG718" s="2014"/>
      <c r="AH718" s="2014"/>
      <c r="AI718" s="2014"/>
      <c r="AJ718" s="2014"/>
      <c r="AK718" s="2014"/>
      <c r="AL718" s="2014"/>
      <c r="AM718" s="584"/>
      <c r="AN718" s="718"/>
      <c r="AT718" s="14"/>
      <c r="AU718" s="14"/>
      <c r="AV718" s="14"/>
      <c r="AW718" s="14"/>
      <c r="AX718" s="14"/>
      <c r="AY718" s="14"/>
      <c r="AZ718" s="14"/>
    </row>
    <row r="719" spans="1:52" s="604" customFormat="1">
      <c r="A719" s="584"/>
      <c r="B719" s="570"/>
      <c r="C719" s="968"/>
      <c r="D719" s="697"/>
      <c r="E719" s="1934"/>
      <c r="F719" s="1934"/>
      <c r="G719" s="1934"/>
      <c r="H719" s="1934"/>
      <c r="I719" s="1934"/>
      <c r="J719" s="1934"/>
      <c r="K719" s="1934"/>
      <c r="L719" s="1934"/>
      <c r="M719" s="1934"/>
      <c r="N719" s="1934"/>
      <c r="O719" s="1934"/>
      <c r="P719" s="1934"/>
      <c r="Q719" s="1934"/>
      <c r="R719" s="1934"/>
      <c r="S719" s="1934"/>
      <c r="T719" s="1934"/>
      <c r="U719" s="1934"/>
      <c r="V719" s="1934"/>
      <c r="W719" s="1934"/>
      <c r="X719" s="1934"/>
      <c r="Y719" s="1934"/>
      <c r="Z719" s="1934"/>
      <c r="AA719" s="1934"/>
      <c r="AB719" s="193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34" t="s">
        <v>1550</v>
      </c>
      <c r="F721" s="1934"/>
      <c r="G721" s="1934"/>
      <c r="H721" s="1934"/>
      <c r="I721" s="1934"/>
      <c r="J721" s="1934"/>
      <c r="K721" s="1934"/>
      <c r="L721" s="1934"/>
      <c r="M721" s="1934"/>
      <c r="N721" s="1934"/>
      <c r="O721" s="1934"/>
      <c r="P721" s="1934"/>
      <c r="Q721" s="1934"/>
      <c r="R721" s="1934"/>
      <c r="S721" s="1934"/>
      <c r="T721" s="1934"/>
      <c r="U721" s="1934"/>
      <c r="V721" s="1934"/>
      <c r="W721" s="1934"/>
      <c r="X721" s="1934"/>
      <c r="Y721" s="1934"/>
      <c r="Z721" s="1934"/>
      <c r="AA721" s="1934"/>
      <c r="AB721" s="1934"/>
      <c r="AC721" s="570"/>
      <c r="AD721" s="570"/>
      <c r="AE721" s="570"/>
      <c r="AF721" s="2014" t="s">
        <v>1519</v>
      </c>
      <c r="AG721" s="2014"/>
      <c r="AH721" s="2014"/>
      <c r="AI721" s="2014"/>
      <c r="AJ721" s="2014"/>
      <c r="AK721" s="2014"/>
      <c r="AL721" s="2014"/>
      <c r="AM721" s="584"/>
      <c r="AN721" s="718"/>
      <c r="AT721" s="14"/>
      <c r="AU721" s="14"/>
      <c r="AV721" s="14"/>
      <c r="AW721" s="14"/>
      <c r="AX721" s="14"/>
      <c r="AY721" s="14"/>
      <c r="AZ721" s="14"/>
    </row>
    <row r="722" spans="1:81" s="604" customFormat="1">
      <c r="A722" s="584"/>
      <c r="B722" s="570"/>
      <c r="C722" s="968"/>
      <c r="D722" s="570"/>
      <c r="E722" s="1934"/>
      <c r="F722" s="1934"/>
      <c r="G722" s="1934"/>
      <c r="H722" s="1934"/>
      <c r="I722" s="1934"/>
      <c r="J722" s="1934"/>
      <c r="K722" s="1934"/>
      <c r="L722" s="1934"/>
      <c r="M722" s="1934"/>
      <c r="N722" s="1934"/>
      <c r="O722" s="1934"/>
      <c r="P722" s="1934"/>
      <c r="Q722" s="1934"/>
      <c r="R722" s="1934"/>
      <c r="S722" s="1934"/>
      <c r="T722" s="1934"/>
      <c r="U722" s="1934"/>
      <c r="V722" s="1934"/>
      <c r="W722" s="1934"/>
      <c r="X722" s="1934"/>
      <c r="Y722" s="1934"/>
      <c r="Z722" s="1934"/>
      <c r="AA722" s="1934"/>
      <c r="AB722" s="193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58" t="s">
        <v>599</v>
      </c>
      <c r="I724" s="1958"/>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41">
        <f>VLOOKUP($H$724,$AO$655:$AP$657,2,FALSE)</f>
        <v>0</v>
      </c>
      <c r="AK726" s="194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34" t="s">
        <v>1553</v>
      </c>
      <c r="F730" s="1934"/>
      <c r="G730" s="1934"/>
      <c r="H730" s="1934"/>
      <c r="I730" s="1934"/>
      <c r="J730" s="1934"/>
      <c r="K730" s="1934"/>
      <c r="L730" s="1934"/>
      <c r="M730" s="1934"/>
      <c r="N730" s="1934"/>
      <c r="O730" s="1934"/>
      <c r="P730" s="1934"/>
      <c r="Q730" s="1934"/>
      <c r="R730" s="1934"/>
      <c r="S730" s="1934"/>
      <c r="T730" s="1934"/>
      <c r="U730" s="1934"/>
      <c r="V730" s="1934"/>
      <c r="W730" s="1934"/>
      <c r="X730" s="1934"/>
      <c r="Y730" s="1934"/>
      <c r="Z730" s="1934"/>
      <c r="AA730" s="1934"/>
      <c r="AB730" s="1934"/>
      <c r="AC730" s="570"/>
      <c r="AD730" s="570"/>
      <c r="AE730" s="570"/>
      <c r="AF730" s="2014" t="s">
        <v>1463</v>
      </c>
      <c r="AG730" s="2014"/>
      <c r="AH730" s="2014"/>
      <c r="AI730" s="2014"/>
      <c r="AJ730" s="2014"/>
      <c r="AK730" s="2014"/>
      <c r="AL730" s="2014"/>
      <c r="AM730" s="584"/>
      <c r="AN730" s="718"/>
      <c r="AT730" s="14"/>
      <c r="AU730" s="14"/>
      <c r="AV730" s="14"/>
      <c r="AW730" s="14"/>
      <c r="AX730" s="14"/>
      <c r="AY730" s="14"/>
      <c r="AZ730" s="14"/>
    </row>
    <row r="731" spans="1:81" s="604" customFormat="1">
      <c r="A731" s="584"/>
      <c r="B731" s="570"/>
      <c r="C731" s="966"/>
      <c r="D731" s="697"/>
      <c r="E731" s="1934"/>
      <c r="F731" s="1934"/>
      <c r="G731" s="1934"/>
      <c r="H731" s="1934"/>
      <c r="I731" s="1934"/>
      <c r="J731" s="1934"/>
      <c r="K731" s="1934"/>
      <c r="L731" s="1934"/>
      <c r="M731" s="1934"/>
      <c r="N731" s="1934"/>
      <c r="O731" s="1934"/>
      <c r="P731" s="1934"/>
      <c r="Q731" s="1934"/>
      <c r="R731" s="1934"/>
      <c r="S731" s="1934"/>
      <c r="T731" s="1934"/>
      <c r="U731" s="1934"/>
      <c r="V731" s="1934"/>
      <c r="W731" s="1934"/>
      <c r="X731" s="1934"/>
      <c r="Y731" s="1934"/>
      <c r="Z731" s="1934"/>
      <c r="AA731" s="1934"/>
      <c r="AB731" s="193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34"/>
      <c r="F732" s="1934"/>
      <c r="G732" s="1934"/>
      <c r="H732" s="1934"/>
      <c r="I732" s="1934"/>
      <c r="J732" s="1934"/>
      <c r="K732" s="1934"/>
      <c r="L732" s="1934"/>
      <c r="M732" s="1934"/>
      <c r="N732" s="1934"/>
      <c r="O732" s="1934"/>
      <c r="P732" s="1934"/>
      <c r="Q732" s="1934"/>
      <c r="R732" s="1934"/>
      <c r="S732" s="1934"/>
      <c r="T732" s="1934"/>
      <c r="U732" s="1934"/>
      <c r="V732" s="1934"/>
      <c r="W732" s="1934"/>
      <c r="X732" s="1934"/>
      <c r="Y732" s="1934"/>
      <c r="Z732" s="1934"/>
      <c r="AA732" s="1934"/>
      <c r="AB732" s="193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34"/>
      <c r="F733" s="1934"/>
      <c r="G733" s="1934"/>
      <c r="H733" s="1934"/>
      <c r="I733" s="1934"/>
      <c r="J733" s="1934"/>
      <c r="K733" s="1934"/>
      <c r="L733" s="1934"/>
      <c r="M733" s="1934"/>
      <c r="N733" s="1934"/>
      <c r="O733" s="1934"/>
      <c r="P733" s="1934"/>
      <c r="Q733" s="1934"/>
      <c r="R733" s="1934"/>
      <c r="S733" s="1934"/>
      <c r="T733" s="1934"/>
      <c r="U733" s="1934"/>
      <c r="V733" s="1934"/>
      <c r="W733" s="1934"/>
      <c r="X733" s="1934"/>
      <c r="Y733" s="1934"/>
      <c r="Z733" s="1934"/>
      <c r="AA733" s="1934"/>
      <c r="AB733" s="193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34" t="s">
        <v>1554</v>
      </c>
      <c r="F735" s="1934"/>
      <c r="G735" s="1934"/>
      <c r="H735" s="1934"/>
      <c r="I735" s="1934"/>
      <c r="J735" s="1934"/>
      <c r="K735" s="1934"/>
      <c r="L735" s="1934"/>
      <c r="M735" s="1934"/>
      <c r="N735" s="1934"/>
      <c r="O735" s="1934"/>
      <c r="P735" s="1934"/>
      <c r="Q735" s="1934"/>
      <c r="R735" s="1934"/>
      <c r="S735" s="1934"/>
      <c r="T735" s="1934"/>
      <c r="U735" s="1934"/>
      <c r="V735" s="1934"/>
      <c r="W735" s="1934"/>
      <c r="X735" s="1934"/>
      <c r="Y735" s="1934"/>
      <c r="Z735" s="1934"/>
      <c r="AA735" s="1934"/>
      <c r="AB735" s="609"/>
      <c r="AC735" s="570"/>
      <c r="AD735" s="570"/>
      <c r="AE735" s="570"/>
      <c r="AF735" s="2014" t="s">
        <v>1519</v>
      </c>
      <c r="AG735" s="2014"/>
      <c r="AH735" s="2014"/>
      <c r="AI735" s="2014"/>
      <c r="AJ735" s="2014"/>
      <c r="AK735" s="2014"/>
      <c r="AL735" s="2014"/>
      <c r="AM735" s="584"/>
      <c r="AN735" s="718"/>
      <c r="AO735" s="30"/>
      <c r="AP735" s="14"/>
    </row>
    <row r="736" spans="1:81" s="604" customFormat="1">
      <c r="A736" s="584"/>
      <c r="B736" s="570"/>
      <c r="C736" s="966"/>
      <c r="D736" s="697"/>
      <c r="E736" s="1934"/>
      <c r="F736" s="1934"/>
      <c r="G736" s="1934"/>
      <c r="H736" s="1934"/>
      <c r="I736" s="1934"/>
      <c r="J736" s="1934"/>
      <c r="K736" s="1934"/>
      <c r="L736" s="1934"/>
      <c r="M736" s="1934"/>
      <c r="N736" s="1934"/>
      <c r="O736" s="1934"/>
      <c r="P736" s="1934"/>
      <c r="Q736" s="1934"/>
      <c r="R736" s="1934"/>
      <c r="S736" s="1934"/>
      <c r="T736" s="1934"/>
      <c r="U736" s="1934"/>
      <c r="V736" s="1934"/>
      <c r="W736" s="1934"/>
      <c r="X736" s="1934"/>
      <c r="Y736" s="1934"/>
      <c r="Z736" s="1934"/>
      <c r="AA736" s="193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34"/>
      <c r="F737" s="1934"/>
      <c r="G737" s="1934"/>
      <c r="H737" s="1934"/>
      <c r="I737" s="1934"/>
      <c r="J737" s="1934"/>
      <c r="K737" s="1934"/>
      <c r="L737" s="1934"/>
      <c r="M737" s="1934"/>
      <c r="N737" s="1934"/>
      <c r="O737" s="1934"/>
      <c r="P737" s="1934"/>
      <c r="Q737" s="1934"/>
      <c r="R737" s="1934"/>
      <c r="S737" s="1934"/>
      <c r="T737" s="1934"/>
      <c r="U737" s="1934"/>
      <c r="V737" s="1934"/>
      <c r="W737" s="1934"/>
      <c r="X737" s="1934"/>
      <c r="Y737" s="1934"/>
      <c r="Z737" s="1934"/>
      <c r="AA737" s="193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34"/>
      <c r="F738" s="1934"/>
      <c r="G738" s="1934"/>
      <c r="H738" s="1934"/>
      <c r="I738" s="1934"/>
      <c r="J738" s="1934"/>
      <c r="K738" s="1934"/>
      <c r="L738" s="1934"/>
      <c r="M738" s="1934"/>
      <c r="N738" s="1934"/>
      <c r="O738" s="1934"/>
      <c r="P738" s="1934"/>
      <c r="Q738" s="1934"/>
      <c r="R738" s="1934"/>
      <c r="S738" s="1934"/>
      <c r="T738" s="1934"/>
      <c r="U738" s="1934"/>
      <c r="V738" s="1934"/>
      <c r="W738" s="1934"/>
      <c r="X738" s="1934"/>
      <c r="Y738" s="1934"/>
      <c r="Z738" s="1934"/>
      <c r="AA738" s="193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58" t="s">
        <v>599</v>
      </c>
      <c r="I740" s="1958"/>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41">
        <f>VLOOKUP($H$740,$AO$669:$AP$671,2,FALSE)</f>
        <v>0</v>
      </c>
      <c r="AK742" s="194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34" t="s">
        <v>1556</v>
      </c>
      <c r="F746" s="1934"/>
      <c r="G746" s="1934"/>
      <c r="H746" s="1934"/>
      <c r="I746" s="1934"/>
      <c r="J746" s="1934"/>
      <c r="K746" s="1934"/>
      <c r="L746" s="1934"/>
      <c r="M746" s="1934"/>
      <c r="N746" s="1934"/>
      <c r="O746" s="1934"/>
      <c r="P746" s="1934"/>
      <c r="Q746" s="1934"/>
      <c r="R746" s="1934"/>
      <c r="S746" s="1934"/>
      <c r="T746" s="1934"/>
      <c r="U746" s="1934"/>
      <c r="V746" s="1934"/>
      <c r="W746" s="1934"/>
      <c r="X746" s="1934"/>
      <c r="Y746" s="1934"/>
      <c r="Z746" s="1934"/>
      <c r="AA746" s="1934"/>
      <c r="AB746" s="1934"/>
      <c r="AC746" s="570"/>
      <c r="AD746" s="570"/>
      <c r="AE746" s="570"/>
      <c r="AF746" s="2014" t="s">
        <v>1519</v>
      </c>
      <c r="AG746" s="2014"/>
      <c r="AH746" s="2014"/>
      <c r="AI746" s="2014"/>
      <c r="AJ746" s="2014"/>
      <c r="AK746" s="2014"/>
      <c r="AL746" s="201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34"/>
      <c r="F747" s="1934"/>
      <c r="G747" s="1934"/>
      <c r="H747" s="1934"/>
      <c r="I747" s="1934"/>
      <c r="J747" s="1934"/>
      <c r="K747" s="1934"/>
      <c r="L747" s="1934"/>
      <c r="M747" s="1934"/>
      <c r="N747" s="1934"/>
      <c r="O747" s="1934"/>
      <c r="P747" s="1934"/>
      <c r="Q747" s="1934"/>
      <c r="R747" s="1934"/>
      <c r="S747" s="1934"/>
      <c r="T747" s="1934"/>
      <c r="U747" s="1934"/>
      <c r="V747" s="1934"/>
      <c r="W747" s="1934"/>
      <c r="X747" s="1934"/>
      <c r="Y747" s="1934"/>
      <c r="Z747" s="1934"/>
      <c r="AA747" s="1934"/>
      <c r="AB747" s="193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34" t="s">
        <v>1557</v>
      </c>
      <c r="F749" s="1934"/>
      <c r="G749" s="1934"/>
      <c r="H749" s="1934"/>
      <c r="I749" s="1934"/>
      <c r="J749" s="1934"/>
      <c r="K749" s="1934"/>
      <c r="L749" s="1934"/>
      <c r="M749" s="1934"/>
      <c r="N749" s="1934"/>
      <c r="O749" s="1934"/>
      <c r="P749" s="1934"/>
      <c r="Q749" s="1934"/>
      <c r="R749" s="1934"/>
      <c r="S749" s="1934"/>
      <c r="T749" s="1934"/>
      <c r="U749" s="1934"/>
      <c r="V749" s="1934"/>
      <c r="W749" s="1934"/>
      <c r="X749" s="1934"/>
      <c r="Y749" s="1934"/>
      <c r="Z749" s="1934"/>
      <c r="AA749" s="1934"/>
      <c r="AB749" s="1934"/>
      <c r="AC749" s="570"/>
      <c r="AD749" s="570"/>
      <c r="AE749" s="570"/>
      <c r="AF749" s="2014" t="s">
        <v>1536</v>
      </c>
      <c r="AG749" s="2014"/>
      <c r="AH749" s="2014"/>
      <c r="AI749" s="2014"/>
      <c r="AJ749" s="2014"/>
      <c r="AK749" s="2014"/>
      <c r="AL749" s="201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34"/>
      <c r="F750" s="1934"/>
      <c r="G750" s="1934"/>
      <c r="H750" s="1934"/>
      <c r="I750" s="1934"/>
      <c r="J750" s="1934"/>
      <c r="K750" s="1934"/>
      <c r="L750" s="1934"/>
      <c r="M750" s="1934"/>
      <c r="N750" s="1934"/>
      <c r="O750" s="1934"/>
      <c r="P750" s="1934"/>
      <c r="Q750" s="1934"/>
      <c r="R750" s="1934"/>
      <c r="S750" s="1934"/>
      <c r="T750" s="1934"/>
      <c r="U750" s="1934"/>
      <c r="V750" s="1934"/>
      <c r="W750" s="1934"/>
      <c r="X750" s="1934"/>
      <c r="Y750" s="1934"/>
      <c r="Z750" s="1934"/>
      <c r="AA750" s="1934"/>
      <c r="AB750" s="193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58" t="s">
        <v>517</v>
      </c>
      <c r="I752" s="1958"/>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41">
        <f>VLOOKUP($H$752,$AO$686:$AP$688,2,FALSE)</f>
        <v>1</v>
      </c>
      <c r="AK754" s="194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8" customHeight="1">
      <c r="A758" s="584"/>
      <c r="B758" s="650"/>
      <c r="C758" s="975"/>
      <c r="D758" s="697" t="s">
        <v>696</v>
      </c>
      <c r="E758" s="1934" t="s">
        <v>1882</v>
      </c>
      <c r="F758" s="1934"/>
      <c r="G758" s="1934"/>
      <c r="H758" s="1934"/>
      <c r="I758" s="1934"/>
      <c r="J758" s="1934"/>
      <c r="K758" s="1934"/>
      <c r="L758" s="1934"/>
      <c r="M758" s="1934"/>
      <c r="N758" s="1934"/>
      <c r="O758" s="1934"/>
      <c r="P758" s="1934"/>
      <c r="Q758" s="1934"/>
      <c r="R758" s="1934"/>
      <c r="S758" s="1934"/>
      <c r="T758" s="1934"/>
      <c r="U758" s="1934"/>
      <c r="V758" s="1934"/>
      <c r="W758" s="1934"/>
      <c r="X758" s="1934"/>
      <c r="Y758" s="1934"/>
      <c r="Z758" s="1934"/>
      <c r="AA758" s="1934"/>
      <c r="AB758" s="1934"/>
      <c r="AC758" s="1934"/>
      <c r="AD758" s="1934"/>
      <c r="AE758" s="570"/>
      <c r="AF758" s="2014" t="s">
        <v>1519</v>
      </c>
      <c r="AG758" s="2014"/>
      <c r="AH758" s="2014"/>
      <c r="AI758" s="2014"/>
      <c r="AJ758" s="2014"/>
      <c r="AK758" s="2014"/>
      <c r="AL758" s="2014"/>
      <c r="AM758" s="647"/>
      <c r="AN758" s="718"/>
      <c r="AO758" s="584" t="s">
        <v>599</v>
      </c>
      <c r="AP758" s="707">
        <v>0</v>
      </c>
    </row>
    <row r="759" spans="1:74" s="604" customFormat="1" ht="13.8" customHeight="1">
      <c r="A759" s="584"/>
      <c r="B759" s="650"/>
      <c r="C759" s="975"/>
      <c r="D759" s="697"/>
      <c r="E759" s="1934"/>
      <c r="F759" s="1934"/>
      <c r="G759" s="1934"/>
      <c r="H759" s="1934"/>
      <c r="I759" s="1934"/>
      <c r="J759" s="1934"/>
      <c r="K759" s="1934"/>
      <c r="L759" s="1934"/>
      <c r="M759" s="1934"/>
      <c r="N759" s="1934"/>
      <c r="O759" s="1934"/>
      <c r="P759" s="1934"/>
      <c r="Q759" s="1934"/>
      <c r="R759" s="1934"/>
      <c r="S759" s="1934"/>
      <c r="T759" s="1934"/>
      <c r="U759" s="1934"/>
      <c r="V759" s="1934"/>
      <c r="W759" s="1934"/>
      <c r="X759" s="1934"/>
      <c r="Y759" s="1934"/>
      <c r="Z759" s="1934"/>
      <c r="AA759" s="1934"/>
      <c r="AB759" s="1934"/>
      <c r="AC759" s="1934"/>
      <c r="AD759" s="1934"/>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34"/>
      <c r="F760" s="1934"/>
      <c r="G760" s="1934"/>
      <c r="H760" s="1934"/>
      <c r="I760" s="1934"/>
      <c r="J760" s="1934"/>
      <c r="K760" s="1934"/>
      <c r="L760" s="1934"/>
      <c r="M760" s="1934"/>
      <c r="N760" s="1934"/>
      <c r="O760" s="1934"/>
      <c r="P760" s="1934"/>
      <c r="Q760" s="1934"/>
      <c r="R760" s="1934"/>
      <c r="S760" s="1934"/>
      <c r="T760" s="1934"/>
      <c r="U760" s="1934"/>
      <c r="V760" s="1934"/>
      <c r="W760" s="1934"/>
      <c r="X760" s="1934"/>
      <c r="Y760" s="1934"/>
      <c r="Z760" s="1934"/>
      <c r="AA760" s="1934"/>
      <c r="AB760" s="1934"/>
      <c r="AC760" s="1934"/>
      <c r="AD760" s="1934"/>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45" customHeight="1">
      <c r="A761" s="584"/>
      <c r="B761" s="650"/>
      <c r="C761" s="975"/>
      <c r="D761" s="697"/>
      <c r="E761" s="1934"/>
      <c r="F761" s="1934"/>
      <c r="G761" s="1934"/>
      <c r="H761" s="1934"/>
      <c r="I761" s="1934"/>
      <c r="J761" s="1934"/>
      <c r="K761" s="1934"/>
      <c r="L761" s="1934"/>
      <c r="M761" s="1934"/>
      <c r="N761" s="1934"/>
      <c r="O761" s="1934"/>
      <c r="P761" s="1934"/>
      <c r="Q761" s="1934"/>
      <c r="R761" s="1934"/>
      <c r="S761" s="1934"/>
      <c r="T761" s="1934"/>
      <c r="U761" s="1934"/>
      <c r="V761" s="1934"/>
      <c r="W761" s="1934"/>
      <c r="X761" s="1934"/>
      <c r="Y761" s="1934"/>
      <c r="Z761" s="1934"/>
      <c r="AA761" s="1934"/>
      <c r="AB761" s="1934"/>
      <c r="AC761" s="1934"/>
      <c r="AD761" s="193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46" t="s">
        <v>1887</v>
      </c>
      <c r="F763" s="2046"/>
      <c r="G763" s="2046"/>
      <c r="H763" s="2046"/>
      <c r="I763" s="2046"/>
      <c r="J763" s="2046"/>
      <c r="K763" s="2046"/>
      <c r="L763" s="2046"/>
      <c r="M763" s="2046"/>
      <c r="N763" s="2046"/>
      <c r="O763" s="2046"/>
      <c r="P763" s="2046"/>
      <c r="Q763" s="2046"/>
      <c r="R763" s="2046"/>
      <c r="S763" s="2046"/>
      <c r="T763" s="2046"/>
      <c r="U763" s="2046"/>
      <c r="V763" s="2046"/>
      <c r="W763" s="2046"/>
      <c r="X763" s="2046"/>
      <c r="Y763" s="2046"/>
      <c r="Z763" s="2046"/>
      <c r="AA763" s="2046"/>
      <c r="AB763" s="2046"/>
      <c r="AC763" s="2046"/>
      <c r="AD763" s="2046"/>
      <c r="AE763" s="570"/>
      <c r="AF763" s="2014" t="s">
        <v>1463</v>
      </c>
      <c r="AG763" s="2014"/>
      <c r="AH763" s="2014"/>
      <c r="AI763" s="2014"/>
      <c r="AJ763" s="2014"/>
      <c r="AK763" s="2014"/>
      <c r="AL763" s="2014"/>
      <c r="AM763" s="647"/>
      <c r="AN763" s="631"/>
    </row>
    <row r="764" spans="1:74" s="584" customFormat="1" ht="12.75" customHeight="1">
      <c r="B764" s="650"/>
      <c r="C764" s="975"/>
      <c r="D764" s="697"/>
      <c r="E764" s="2046"/>
      <c r="F764" s="2046"/>
      <c r="G764" s="2046"/>
      <c r="H764" s="2046"/>
      <c r="I764" s="2046"/>
      <c r="J764" s="2046"/>
      <c r="K764" s="2046"/>
      <c r="L764" s="2046"/>
      <c r="M764" s="2046"/>
      <c r="N764" s="2046"/>
      <c r="O764" s="2046"/>
      <c r="P764" s="2046"/>
      <c r="Q764" s="2046"/>
      <c r="R764" s="2046"/>
      <c r="S764" s="2046"/>
      <c r="T764" s="2046"/>
      <c r="U764" s="2046"/>
      <c r="V764" s="2046"/>
      <c r="W764" s="2046"/>
      <c r="X764" s="2046"/>
      <c r="Y764" s="2046"/>
      <c r="Z764" s="2046"/>
      <c r="AA764" s="2046"/>
      <c r="AB764" s="2046"/>
      <c r="AC764" s="2046"/>
      <c r="AD764" s="2046"/>
      <c r="AE764" s="628"/>
      <c r="AF764" s="628"/>
      <c r="AG764" s="628"/>
      <c r="AH764" s="628"/>
      <c r="AI764" s="628"/>
      <c r="AJ764" s="628"/>
      <c r="AK764" s="628"/>
      <c r="AL764" s="628"/>
      <c r="AM764" s="647"/>
      <c r="AN764" s="631"/>
    </row>
    <row r="765" spans="1:74" s="584" customFormat="1" ht="12.75" customHeight="1">
      <c r="B765" s="650"/>
      <c r="C765" s="975"/>
      <c r="D765" s="697"/>
      <c r="E765" s="2046"/>
      <c r="F765" s="2046"/>
      <c r="G765" s="2046"/>
      <c r="H765" s="2046"/>
      <c r="I765" s="2046"/>
      <c r="J765" s="2046"/>
      <c r="K765" s="2046"/>
      <c r="L765" s="2046"/>
      <c r="M765" s="2046"/>
      <c r="N765" s="2046"/>
      <c r="O765" s="2046"/>
      <c r="P765" s="2046"/>
      <c r="Q765" s="2046"/>
      <c r="R765" s="2046"/>
      <c r="S765" s="2046"/>
      <c r="T765" s="2046"/>
      <c r="U765" s="2046"/>
      <c r="V765" s="2046"/>
      <c r="W765" s="2046"/>
      <c r="X765" s="2046"/>
      <c r="Y765" s="2046"/>
      <c r="Z765" s="2046"/>
      <c r="AA765" s="2046"/>
      <c r="AB765" s="2046"/>
      <c r="AC765" s="2046"/>
      <c r="AD765" s="2046"/>
      <c r="AE765" s="628"/>
      <c r="AF765" s="628"/>
      <c r="AG765" s="628"/>
      <c r="AH765" s="628"/>
      <c r="AI765" s="628"/>
      <c r="AJ765" s="628"/>
      <c r="AK765" s="628"/>
      <c r="AL765" s="628"/>
      <c r="AM765" s="647"/>
      <c r="AN765" s="631"/>
    </row>
    <row r="766" spans="1:74" s="584" customFormat="1" ht="12.75" customHeight="1">
      <c r="B766" s="650"/>
      <c r="C766" s="975"/>
      <c r="D766" s="697"/>
      <c r="E766" s="2046"/>
      <c r="F766" s="2046"/>
      <c r="G766" s="2046"/>
      <c r="H766" s="2046"/>
      <c r="I766" s="2046"/>
      <c r="J766" s="2046"/>
      <c r="K766" s="2046"/>
      <c r="L766" s="2046"/>
      <c r="M766" s="2046"/>
      <c r="N766" s="2046"/>
      <c r="O766" s="2046"/>
      <c r="P766" s="2046"/>
      <c r="Q766" s="2046"/>
      <c r="R766" s="2046"/>
      <c r="S766" s="2046"/>
      <c r="T766" s="2046"/>
      <c r="U766" s="2046"/>
      <c r="V766" s="2046"/>
      <c r="W766" s="2046"/>
      <c r="X766" s="2046"/>
      <c r="Y766" s="2046"/>
      <c r="Z766" s="2046"/>
      <c r="AA766" s="2046"/>
      <c r="AB766" s="2046"/>
      <c r="AC766" s="2046"/>
      <c r="AD766" s="204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58" t="s">
        <v>599</v>
      </c>
      <c r="I768" s="1958"/>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41">
        <f>VLOOKUP($H$768,$AO$758:$AP$760,2,FALSE)</f>
        <v>0</v>
      </c>
      <c r="AK770" s="194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8" customHeight="1">
      <c r="A774" s="584"/>
      <c r="B774" s="650"/>
      <c r="C774" s="975"/>
      <c r="D774" s="697" t="s">
        <v>696</v>
      </c>
      <c r="E774" s="1934" t="s">
        <v>2343</v>
      </c>
      <c r="F774" s="1934"/>
      <c r="G774" s="1934"/>
      <c r="H774" s="1934"/>
      <c r="I774" s="1934"/>
      <c r="J774" s="1934"/>
      <c r="K774" s="1934"/>
      <c r="L774" s="1934"/>
      <c r="M774" s="1934"/>
      <c r="N774" s="1934"/>
      <c r="O774" s="1934"/>
      <c r="P774" s="1934"/>
      <c r="Q774" s="1934"/>
      <c r="R774" s="1934"/>
      <c r="S774" s="1934"/>
      <c r="T774" s="1934"/>
      <c r="U774" s="1934"/>
      <c r="V774" s="1934"/>
      <c r="W774" s="1934"/>
      <c r="X774" s="1934"/>
      <c r="Y774" s="1934"/>
      <c r="Z774" s="1934"/>
      <c r="AA774" s="1934"/>
      <c r="AB774" s="1934"/>
      <c r="AC774" s="1934"/>
      <c r="AD774" s="1934"/>
      <c r="AE774" s="570"/>
      <c r="AF774" s="2014" t="s">
        <v>1463</v>
      </c>
      <c r="AG774" s="2014"/>
      <c r="AH774" s="2014"/>
      <c r="AI774" s="2014"/>
      <c r="AJ774" s="2014"/>
      <c r="AK774" s="2014"/>
      <c r="AL774" s="2014"/>
      <c r="AM774" s="647"/>
      <c r="AN774" s="718"/>
      <c r="AO774" s="645" t="s">
        <v>553</v>
      </c>
      <c r="AP774" s="584">
        <v>3</v>
      </c>
      <c r="AT774" s="708"/>
      <c r="AU774" s="708"/>
      <c r="AV774" s="708"/>
      <c r="AW774" s="708"/>
      <c r="AX774" s="708"/>
      <c r="AY774" s="708"/>
      <c r="AZ774" s="708"/>
    </row>
    <row r="775" spans="1:81" s="604" customFormat="1" ht="13.8" customHeight="1">
      <c r="A775" s="584"/>
      <c r="B775" s="650"/>
      <c r="C775" s="975"/>
      <c r="D775" s="697"/>
      <c r="E775" s="1934"/>
      <c r="F775" s="1934"/>
      <c r="G775" s="1934"/>
      <c r="H775" s="1934"/>
      <c r="I775" s="1934"/>
      <c r="J775" s="1934"/>
      <c r="K775" s="1934"/>
      <c r="L775" s="1934"/>
      <c r="M775" s="1934"/>
      <c r="N775" s="1934"/>
      <c r="O775" s="1934"/>
      <c r="P775" s="1934"/>
      <c r="Q775" s="1934"/>
      <c r="R775" s="1934"/>
      <c r="S775" s="1934"/>
      <c r="T775" s="1934"/>
      <c r="U775" s="1934"/>
      <c r="V775" s="1934"/>
      <c r="W775" s="1934"/>
      <c r="X775" s="1934"/>
      <c r="Y775" s="1934"/>
      <c r="Z775" s="1934"/>
      <c r="AA775" s="1934"/>
      <c r="AB775" s="1934"/>
      <c r="AC775" s="1934"/>
      <c r="AD775" s="193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34"/>
      <c r="F776" s="1934"/>
      <c r="G776" s="1934"/>
      <c r="H776" s="1934"/>
      <c r="I776" s="1934"/>
      <c r="J776" s="1934"/>
      <c r="K776" s="1934"/>
      <c r="L776" s="1934"/>
      <c r="M776" s="1934"/>
      <c r="N776" s="1934"/>
      <c r="O776" s="1934"/>
      <c r="P776" s="1934"/>
      <c r="Q776" s="1934"/>
      <c r="R776" s="1934"/>
      <c r="S776" s="1934"/>
      <c r="T776" s="1934"/>
      <c r="U776" s="1934"/>
      <c r="V776" s="1934"/>
      <c r="W776" s="1934"/>
      <c r="X776" s="1934"/>
      <c r="Y776" s="1934"/>
      <c r="Z776" s="1934"/>
      <c r="AA776" s="1934"/>
      <c r="AB776" s="1934"/>
      <c r="AC776" s="1934"/>
      <c r="AD776" s="193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34"/>
      <c r="F777" s="1934"/>
      <c r="G777" s="1934"/>
      <c r="H777" s="1934"/>
      <c r="I777" s="1934"/>
      <c r="J777" s="1934"/>
      <c r="K777" s="1934"/>
      <c r="L777" s="1934"/>
      <c r="M777" s="1934"/>
      <c r="N777" s="1934"/>
      <c r="O777" s="1934"/>
      <c r="P777" s="1934"/>
      <c r="Q777" s="1934"/>
      <c r="R777" s="1934"/>
      <c r="S777" s="1934"/>
      <c r="T777" s="1934"/>
      <c r="U777" s="1934"/>
      <c r="V777" s="1934"/>
      <c r="W777" s="1934"/>
      <c r="X777" s="1934"/>
      <c r="Y777" s="1934"/>
      <c r="Z777" s="1934"/>
      <c r="AA777" s="1934"/>
      <c r="AB777" s="1934"/>
      <c r="AC777" s="1934"/>
      <c r="AD777" s="193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58" t="s">
        <v>553</v>
      </c>
      <c r="I779" s="1958"/>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41">
        <f>VLOOKUP($H$779,$AO$773:$AP$774,2,FALSE)</f>
        <v>3</v>
      </c>
      <c r="AK781" s="194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41">
        <f>IF(($AJ$610+$AJ$629+$AJ$641+$AJ$676+$AJ$700+$AJ$714+$AJ$726+$AJ$742+$AJ$754+$AJ$770+AJ781)&gt;10,10,($AJ$610+$AJ$629+$AJ$641+$AJ$676+$AJ$700+$AJ$714+$AJ$726+$AJ$742+$AJ$754+$AJ$770+AJ781))</f>
        <v>10</v>
      </c>
      <c r="AL783" s="1942"/>
      <c r="AM783" s="194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05" t="s">
        <v>1680</v>
      </c>
      <c r="B786" s="2006"/>
      <c r="C786" s="2006"/>
      <c r="D786" s="2006"/>
      <c r="E786" s="2006"/>
      <c r="F786" s="2006"/>
      <c r="G786" s="2006"/>
      <c r="H786" s="2006"/>
      <c r="I786" s="2006"/>
      <c r="J786" s="2006"/>
      <c r="K786" s="2006"/>
      <c r="L786" s="2006"/>
      <c r="M786" s="2006"/>
      <c r="N786" s="2006"/>
      <c r="O786" s="2006"/>
      <c r="P786" s="2006"/>
      <c r="Q786" s="2006"/>
      <c r="R786" s="2006"/>
      <c r="S786" s="2006"/>
      <c r="T786" s="2006"/>
      <c r="U786" s="2006"/>
      <c r="V786" s="2006"/>
      <c r="W786" s="2006"/>
      <c r="X786" s="2006"/>
      <c r="Y786" s="2006"/>
      <c r="Z786" s="2006"/>
      <c r="AA786" s="2006"/>
      <c r="AB786" s="2006"/>
      <c r="AC786" s="2006"/>
      <c r="AD786" s="2006"/>
      <c r="AE786" s="2006"/>
      <c r="AF786" s="2006"/>
      <c r="AG786" s="2006"/>
      <c r="AH786" s="2006"/>
      <c r="AI786" s="2006"/>
      <c r="AJ786" s="2006"/>
      <c r="AK786" s="2006"/>
      <c r="AL786" s="2006"/>
      <c r="AM786" s="2006"/>
    </row>
    <row r="787" spans="1:43">
      <c r="A787" s="2007"/>
      <c r="B787" s="2007"/>
      <c r="C787" s="2007"/>
      <c r="D787" s="2007"/>
      <c r="E787" s="2007"/>
      <c r="F787" s="2007"/>
      <c r="G787" s="2007"/>
      <c r="H787" s="2007"/>
      <c r="I787" s="2007"/>
      <c r="J787" s="2007"/>
      <c r="K787" s="2007"/>
      <c r="L787" s="2007"/>
      <c r="M787" s="2007"/>
      <c r="N787" s="2007"/>
      <c r="O787" s="2007"/>
      <c r="P787" s="2007"/>
      <c r="Q787" s="2007"/>
      <c r="R787" s="2007"/>
      <c r="S787" s="2007"/>
      <c r="T787" s="2007"/>
      <c r="U787" s="2007"/>
      <c r="V787" s="2007"/>
      <c r="W787" s="2007"/>
      <c r="X787" s="2007"/>
      <c r="Y787" s="2007"/>
      <c r="Z787" s="2007"/>
      <c r="AA787" s="2007"/>
      <c r="AB787" s="2007"/>
      <c r="AC787" s="2007"/>
      <c r="AD787" s="2007"/>
      <c r="AE787" s="2007"/>
      <c r="AF787" s="2007"/>
      <c r="AG787" s="2007"/>
      <c r="AH787" s="2007"/>
      <c r="AI787" s="2007"/>
      <c r="AJ787" s="2007"/>
      <c r="AK787" s="2007"/>
      <c r="AL787" s="2007"/>
      <c r="AM787" s="200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44"/>
      <c r="B789" s="1944"/>
      <c r="C789" s="1944"/>
      <c r="D789" s="1944"/>
      <c r="E789" s="1944"/>
      <c r="F789" s="1944"/>
      <c r="G789" s="1944"/>
      <c r="H789" s="1944"/>
      <c r="I789" s="1944"/>
      <c r="J789" s="1944"/>
      <c r="K789" s="1944"/>
      <c r="L789" s="1944"/>
      <c r="M789" s="1944"/>
      <c r="N789" s="1944"/>
      <c r="O789" s="1944"/>
      <c r="P789" s="1944"/>
      <c r="Q789" s="1944"/>
      <c r="R789" s="1944"/>
      <c r="S789" s="1944"/>
      <c r="T789" s="1944"/>
      <c r="U789" s="1944"/>
      <c r="V789" s="1944"/>
      <c r="W789" s="1944"/>
      <c r="X789" s="1944"/>
      <c r="Y789" s="1944"/>
      <c r="Z789" s="1944"/>
      <c r="AA789" s="1944"/>
      <c r="AB789" s="1944"/>
      <c r="AC789" s="1944"/>
      <c r="AD789" s="1944"/>
      <c r="AE789" s="1944"/>
      <c r="AF789" s="1944"/>
      <c r="AG789" s="1944"/>
      <c r="AH789" s="1944"/>
      <c r="AI789" s="1944"/>
      <c r="AJ789" s="1944"/>
      <c r="AK789" s="1944"/>
      <c r="AL789" s="1944"/>
      <c r="AM789" s="1944"/>
      <c r="AP789" s="850"/>
      <c r="AQ789" s="850"/>
    </row>
    <row r="790" spans="1:43">
      <c r="A790" s="1944"/>
      <c r="B790" s="1944"/>
      <c r="C790" s="1944"/>
      <c r="D790" s="1944"/>
      <c r="E790" s="1944"/>
      <c r="F790" s="1944"/>
      <c r="G790" s="1944"/>
      <c r="H790" s="1944"/>
      <c r="I790" s="1944"/>
      <c r="J790" s="1944"/>
      <c r="K790" s="1944"/>
      <c r="L790" s="1944"/>
      <c r="M790" s="1944"/>
      <c r="N790" s="1944"/>
      <c r="O790" s="1944"/>
      <c r="P790" s="1944"/>
      <c r="Q790" s="1944"/>
      <c r="R790" s="1944"/>
      <c r="S790" s="1944"/>
      <c r="T790" s="1944"/>
      <c r="U790" s="1944"/>
      <c r="V790" s="1944"/>
      <c r="W790" s="1944"/>
      <c r="X790" s="1944"/>
      <c r="Y790" s="1944"/>
      <c r="Z790" s="1944"/>
      <c r="AA790" s="1944"/>
      <c r="AB790" s="1944"/>
      <c r="AC790" s="1944"/>
      <c r="AD790" s="1944"/>
      <c r="AE790" s="1944"/>
      <c r="AF790" s="1944"/>
      <c r="AG790" s="1944"/>
      <c r="AH790" s="1944"/>
      <c r="AI790" s="1944"/>
      <c r="AJ790" s="1944"/>
      <c r="AK790" s="1944"/>
      <c r="AL790" s="1944"/>
      <c r="AM790" s="1944"/>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08" t="s">
        <v>1681</v>
      </c>
      <c r="U791" s="2009"/>
      <c r="V791" s="2009"/>
      <c r="W791" s="2009"/>
      <c r="X791" s="2009"/>
      <c r="Y791" s="2010"/>
      <c r="Z791" s="2008" t="s">
        <v>1682</v>
      </c>
      <c r="AA791" s="2009"/>
      <c r="AB791" s="2009"/>
      <c r="AC791" s="2009"/>
      <c r="AD791" s="2009"/>
      <c r="AE791" s="2010"/>
      <c r="AF791" s="2008" t="s">
        <v>1683</v>
      </c>
      <c r="AG791" s="2009"/>
      <c r="AH791" s="2009"/>
      <c r="AI791" s="2009"/>
      <c r="AJ791" s="2009"/>
      <c r="AK791" s="201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11"/>
      <c r="U792" s="2012"/>
      <c r="V792" s="2012"/>
      <c r="W792" s="2012"/>
      <c r="X792" s="2012"/>
      <c r="Y792" s="2013"/>
      <c r="Z792" s="2011"/>
      <c r="AA792" s="2012"/>
      <c r="AB792" s="2012"/>
      <c r="AC792" s="2012"/>
      <c r="AD792" s="2012"/>
      <c r="AE792" s="2013"/>
      <c r="AF792" s="2011"/>
      <c r="AG792" s="2012"/>
      <c r="AH792" s="2012"/>
      <c r="AI792" s="2012"/>
      <c r="AJ792" s="2012"/>
      <c r="AK792" s="2013"/>
      <c r="AL792" s="852"/>
      <c r="AM792" s="630"/>
      <c r="AO792" s="850"/>
      <c r="AP792" s="850"/>
      <c r="AQ792" s="850"/>
    </row>
    <row r="793" spans="1:43">
      <c r="A793" s="853" t="s">
        <v>766</v>
      </c>
      <c r="B793" s="1965" t="s">
        <v>1415</v>
      </c>
      <c r="C793" s="1965"/>
      <c r="D793" s="1965"/>
      <c r="E793" s="1965"/>
      <c r="F793" s="1965"/>
      <c r="G793" s="1965"/>
      <c r="H793" s="1965"/>
      <c r="I793" s="1965"/>
      <c r="J793" s="1965"/>
      <c r="K793" s="1965"/>
      <c r="L793" s="1965"/>
      <c r="M793" s="1965"/>
      <c r="N793" s="1965"/>
      <c r="O793" s="1965"/>
      <c r="P793" s="1965"/>
      <c r="Q793" s="1965"/>
      <c r="R793" s="1965"/>
      <c r="S793" s="1966"/>
      <c r="T793" s="1993">
        <f>AK56</f>
        <v>0</v>
      </c>
      <c r="U793" s="1969"/>
      <c r="V793" s="1969"/>
      <c r="W793" s="1969"/>
      <c r="X793" s="1969"/>
      <c r="Y793" s="1970"/>
      <c r="Z793" s="1968">
        <v>20</v>
      </c>
      <c r="AA793" s="1969"/>
      <c r="AB793" s="1969"/>
      <c r="AC793" s="1969"/>
      <c r="AD793" s="1969"/>
      <c r="AE793" s="1970"/>
      <c r="AF793" s="1954">
        <f>IF(T793&gt;Z793,Z793,T793)</f>
        <v>0</v>
      </c>
      <c r="AG793" s="1954"/>
      <c r="AH793" s="1954"/>
      <c r="AI793" s="1954"/>
      <c r="AJ793" s="1954"/>
      <c r="AK793" s="1954"/>
      <c r="AL793" s="852"/>
      <c r="AM793" s="630"/>
      <c r="AO793" s="850"/>
      <c r="AP793" s="850"/>
      <c r="AQ793" s="850"/>
    </row>
    <row r="794" spans="1:43">
      <c r="A794" s="853" t="s">
        <v>1653</v>
      </c>
      <c r="B794" s="1965" t="s">
        <v>1424</v>
      </c>
      <c r="C794" s="1965"/>
      <c r="D794" s="1965"/>
      <c r="E794" s="1965"/>
      <c r="F794" s="1965"/>
      <c r="G794" s="1965"/>
      <c r="H794" s="1965"/>
      <c r="I794" s="1965"/>
      <c r="J794" s="1965"/>
      <c r="K794" s="1965"/>
      <c r="L794" s="1965"/>
      <c r="M794" s="1965"/>
      <c r="N794" s="1965"/>
      <c r="O794" s="1965"/>
      <c r="P794" s="1965"/>
      <c r="Q794" s="1965"/>
      <c r="R794" s="1965"/>
      <c r="S794" s="1966"/>
      <c r="T794" s="1993">
        <f>AK78</f>
        <v>10</v>
      </c>
      <c r="U794" s="1969"/>
      <c r="V794" s="1969"/>
      <c r="W794" s="1969"/>
      <c r="X794" s="1969"/>
      <c r="Y794" s="1970"/>
      <c r="Z794" s="1968">
        <v>10</v>
      </c>
      <c r="AA794" s="1969"/>
      <c r="AB794" s="1969"/>
      <c r="AC794" s="1969"/>
      <c r="AD794" s="1969"/>
      <c r="AE794" s="1970"/>
      <c r="AF794" s="1954">
        <f>IF(T794&gt;Z794,Z794,T794)</f>
        <v>10</v>
      </c>
      <c r="AG794" s="1954"/>
      <c r="AH794" s="1954"/>
      <c r="AI794" s="1954"/>
      <c r="AJ794" s="1954"/>
      <c r="AK794" s="1954"/>
      <c r="AL794" s="852"/>
      <c r="AM794" s="630"/>
      <c r="AO794" s="850"/>
      <c r="AP794" s="850"/>
      <c r="AQ794" s="850"/>
    </row>
    <row r="795" spans="1:43">
      <c r="A795" s="853" t="s">
        <v>1662</v>
      </c>
      <c r="B795" s="1965" t="s">
        <v>1434</v>
      </c>
      <c r="C795" s="1965"/>
      <c r="D795" s="1965"/>
      <c r="E795" s="1965"/>
      <c r="F795" s="1965"/>
      <c r="G795" s="1965"/>
      <c r="H795" s="1965"/>
      <c r="I795" s="1965"/>
      <c r="J795" s="1965"/>
      <c r="K795" s="1965"/>
      <c r="L795" s="1965"/>
      <c r="M795" s="1965"/>
      <c r="N795" s="1965"/>
      <c r="O795" s="1965"/>
      <c r="P795" s="1965"/>
      <c r="Q795" s="1965"/>
      <c r="R795" s="1965"/>
      <c r="S795" s="1966"/>
      <c r="T795" s="1993">
        <f ca="1">AK103</f>
        <v>20</v>
      </c>
      <c r="U795" s="1969"/>
      <c r="V795" s="1969"/>
      <c r="W795" s="1969"/>
      <c r="X795" s="1969"/>
      <c r="Y795" s="1970"/>
      <c r="Z795" s="1968">
        <v>20</v>
      </c>
      <c r="AA795" s="1969"/>
      <c r="AB795" s="1969"/>
      <c r="AC795" s="1969"/>
      <c r="AD795" s="1969"/>
      <c r="AE795" s="1970"/>
      <c r="AF795" s="1954">
        <f ca="1">IF(T795&gt;Z795,Z795,T795)</f>
        <v>20</v>
      </c>
      <c r="AG795" s="1954"/>
      <c r="AH795" s="1954"/>
      <c r="AI795" s="1954"/>
      <c r="AJ795" s="1954"/>
      <c r="AK795" s="1954"/>
      <c r="AL795" s="852"/>
      <c r="AM795" s="630"/>
      <c r="AO795" s="850"/>
      <c r="AP795" s="850"/>
      <c r="AQ795" s="850"/>
    </row>
    <row r="796" spans="1:43">
      <c r="A796" s="853" t="s">
        <v>1684</v>
      </c>
      <c r="B796" s="1965" t="s">
        <v>1444</v>
      </c>
      <c r="C796" s="1965"/>
      <c r="D796" s="1965"/>
      <c r="E796" s="1965"/>
      <c r="F796" s="1965"/>
      <c r="G796" s="1965"/>
      <c r="H796" s="1965"/>
      <c r="I796" s="1965"/>
      <c r="J796" s="1965"/>
      <c r="K796" s="1965"/>
      <c r="L796" s="1965"/>
      <c r="M796" s="1965"/>
      <c r="N796" s="1965"/>
      <c r="O796" s="1965"/>
      <c r="P796" s="1965"/>
      <c r="Q796" s="1965"/>
      <c r="R796" s="1965"/>
      <c r="S796" s="1966"/>
      <c r="T796" s="1993">
        <f>AK137</f>
        <v>10</v>
      </c>
      <c r="U796" s="1969"/>
      <c r="V796" s="1969"/>
      <c r="W796" s="1969"/>
      <c r="X796" s="1969"/>
      <c r="Y796" s="1970"/>
      <c r="Z796" s="1968">
        <v>10</v>
      </c>
      <c r="AA796" s="1969"/>
      <c r="AB796" s="1969"/>
      <c r="AC796" s="1969"/>
      <c r="AD796" s="1969"/>
      <c r="AE796" s="1970"/>
      <c r="AF796" s="1954">
        <f>IF(T796&gt;Z796,Z796,T796)</f>
        <v>10</v>
      </c>
      <c r="AG796" s="1954"/>
      <c r="AH796" s="1954"/>
      <c r="AI796" s="1954"/>
      <c r="AJ796" s="1954"/>
      <c r="AK796" s="1954"/>
      <c r="AL796" s="852"/>
      <c r="AM796" s="630"/>
      <c r="AO796" s="850"/>
      <c r="AP796" s="850"/>
      <c r="AQ796" s="850"/>
    </row>
    <row r="797" spans="1:43">
      <c r="A797" s="854" t="s">
        <v>1685</v>
      </c>
      <c r="B797" s="1965" t="s">
        <v>1686</v>
      </c>
      <c r="C797" s="1965"/>
      <c r="D797" s="1965"/>
      <c r="E797" s="1965"/>
      <c r="F797" s="1965"/>
      <c r="G797" s="1965"/>
      <c r="H797" s="1965"/>
      <c r="I797" s="1965"/>
      <c r="J797" s="1965"/>
      <c r="K797" s="1965"/>
      <c r="L797" s="1965"/>
      <c r="M797" s="1965"/>
      <c r="N797" s="1965"/>
      <c r="O797" s="1965"/>
      <c r="P797" s="1965"/>
      <c r="Q797" s="1965"/>
      <c r="R797" s="1965"/>
      <c r="S797" s="1966"/>
      <c r="T797" s="1967">
        <f>SUM(T798:Y799)</f>
        <v>10</v>
      </c>
      <c r="U797" s="1967"/>
      <c r="V797" s="1967"/>
      <c r="W797" s="1967"/>
      <c r="X797" s="1967"/>
      <c r="Y797" s="1967"/>
      <c r="Z797" s="1954">
        <v>10</v>
      </c>
      <c r="AA797" s="1954"/>
      <c r="AB797" s="1954"/>
      <c r="AC797" s="1954"/>
      <c r="AD797" s="1954"/>
      <c r="AE797" s="1954"/>
      <c r="AF797" s="1954">
        <f>IF(T797&gt;Z797,Z797,T797)</f>
        <v>10</v>
      </c>
      <c r="AG797" s="1954"/>
      <c r="AH797" s="1954"/>
      <c r="AI797" s="1954"/>
      <c r="AJ797" s="1954"/>
      <c r="AK797" s="1954"/>
      <c r="AL797" s="852"/>
      <c r="AM797" s="630"/>
    </row>
    <row r="798" spans="1:43">
      <c r="A798" s="569"/>
      <c r="B798" s="635"/>
      <c r="C798" s="1971" t="s">
        <v>1687</v>
      </c>
      <c r="D798" s="1971"/>
      <c r="E798" s="1971"/>
      <c r="F798" s="1971"/>
      <c r="G798" s="1971"/>
      <c r="H798" s="1971"/>
      <c r="I798" s="1971"/>
      <c r="J798" s="1971"/>
      <c r="K798" s="1971"/>
      <c r="L798" s="1971"/>
      <c r="M798" s="1971"/>
      <c r="N798" s="1971"/>
      <c r="O798" s="1971"/>
      <c r="P798" s="1971"/>
      <c r="Q798" s="1971"/>
      <c r="R798" s="1971"/>
      <c r="S798" s="1972"/>
      <c r="T798" s="1973">
        <f>AJ155</f>
        <v>7</v>
      </c>
      <c r="U798" s="1973"/>
      <c r="V798" s="1973"/>
      <c r="W798" s="1973"/>
      <c r="X798" s="1973"/>
      <c r="Y798" s="1973"/>
      <c r="Z798" s="1974">
        <v>7</v>
      </c>
      <c r="AA798" s="1974"/>
      <c r="AB798" s="1974"/>
      <c r="AC798" s="1974"/>
      <c r="AD798" s="1974"/>
      <c r="AE798" s="1974"/>
      <c r="AF798" s="1975"/>
      <c r="AG798" s="1975"/>
      <c r="AH798" s="1975"/>
      <c r="AI798" s="1975"/>
      <c r="AJ798" s="1975"/>
      <c r="AK798" s="1975"/>
      <c r="AL798" s="852"/>
      <c r="AM798" s="630"/>
    </row>
    <row r="799" spans="1:43">
      <c r="A799" s="634"/>
      <c r="B799" s="635"/>
      <c r="C799" s="1971" t="s">
        <v>1688</v>
      </c>
      <c r="D799" s="1971"/>
      <c r="E799" s="1971"/>
      <c r="F799" s="1971"/>
      <c r="G799" s="1971"/>
      <c r="H799" s="1971"/>
      <c r="I799" s="1971"/>
      <c r="J799" s="1971"/>
      <c r="K799" s="1971"/>
      <c r="L799" s="1971"/>
      <c r="M799" s="1971"/>
      <c r="N799" s="1971"/>
      <c r="O799" s="1971"/>
      <c r="P799" s="1971"/>
      <c r="Q799" s="1971"/>
      <c r="R799" s="1971"/>
      <c r="S799" s="1972"/>
      <c r="T799" s="1973">
        <f>AJ169</f>
        <v>3</v>
      </c>
      <c r="U799" s="1973"/>
      <c r="V799" s="1973"/>
      <c r="W799" s="1973"/>
      <c r="X799" s="1973"/>
      <c r="Y799" s="1973"/>
      <c r="Z799" s="1974">
        <v>3</v>
      </c>
      <c r="AA799" s="1974"/>
      <c r="AB799" s="1974"/>
      <c r="AC799" s="1974"/>
      <c r="AD799" s="1974"/>
      <c r="AE799" s="1974"/>
      <c r="AF799" s="1975"/>
      <c r="AG799" s="1975"/>
      <c r="AH799" s="1975"/>
      <c r="AI799" s="1975"/>
      <c r="AJ799" s="1975"/>
      <c r="AK799" s="1975"/>
      <c r="AL799" s="852"/>
      <c r="AM799" s="630"/>
      <c r="AO799" s="584"/>
    </row>
    <row r="800" spans="1:43">
      <c r="A800" s="854" t="s">
        <v>1472</v>
      </c>
      <c r="B800" s="1965" t="s">
        <v>1689</v>
      </c>
      <c r="C800" s="1965"/>
      <c r="D800" s="1965"/>
      <c r="E800" s="1965"/>
      <c r="F800" s="1965"/>
      <c r="G800" s="1965"/>
      <c r="H800" s="1965"/>
      <c r="I800" s="1965"/>
      <c r="J800" s="1965"/>
      <c r="K800" s="1965"/>
      <c r="L800" s="1965"/>
      <c r="M800" s="1965"/>
      <c r="N800" s="1965"/>
      <c r="O800" s="1965"/>
      <c r="P800" s="1965"/>
      <c r="Q800" s="1965"/>
      <c r="R800" s="1965"/>
      <c r="S800" s="1966"/>
      <c r="T800" s="1967">
        <f>AK180</f>
        <v>10</v>
      </c>
      <c r="U800" s="1967"/>
      <c r="V800" s="1967"/>
      <c r="W800" s="1967"/>
      <c r="X800" s="1967"/>
      <c r="Y800" s="1967"/>
      <c r="Z800" s="1954">
        <v>10</v>
      </c>
      <c r="AA800" s="1954"/>
      <c r="AB800" s="1954"/>
      <c r="AC800" s="1954"/>
      <c r="AD800" s="1954"/>
      <c r="AE800" s="1954"/>
      <c r="AF800" s="1954">
        <f>IF(T800&gt;Z800,Z800,T800)</f>
        <v>10</v>
      </c>
      <c r="AG800" s="1954"/>
      <c r="AH800" s="1954"/>
      <c r="AI800" s="1954"/>
      <c r="AJ800" s="1954"/>
      <c r="AK800" s="1954"/>
      <c r="AL800" s="852"/>
      <c r="AM800" s="630"/>
    </row>
    <row r="801" spans="1:81">
      <c r="A801" s="853" t="s">
        <v>1481</v>
      </c>
      <c r="B801" s="1965" t="s">
        <v>1482</v>
      </c>
      <c r="C801" s="1965"/>
      <c r="D801" s="1965"/>
      <c r="E801" s="1965"/>
      <c r="F801" s="1965"/>
      <c r="G801" s="1965"/>
      <c r="H801" s="1965"/>
      <c r="I801" s="1965"/>
      <c r="J801" s="1965"/>
      <c r="K801" s="1965"/>
      <c r="L801" s="1965"/>
      <c r="M801" s="1965"/>
      <c r="N801" s="1965"/>
      <c r="O801" s="1965"/>
      <c r="P801" s="1965"/>
      <c r="Q801" s="1965"/>
      <c r="R801" s="1965"/>
      <c r="S801" s="1966"/>
      <c r="T801" s="1967">
        <f>AK262</f>
        <v>8</v>
      </c>
      <c r="U801" s="1967"/>
      <c r="V801" s="1967"/>
      <c r="W801" s="1967"/>
      <c r="X801" s="1967"/>
      <c r="Y801" s="1967"/>
      <c r="Z801" s="1968">
        <v>8</v>
      </c>
      <c r="AA801" s="1969"/>
      <c r="AB801" s="1969"/>
      <c r="AC801" s="1969"/>
      <c r="AD801" s="1969"/>
      <c r="AE801" s="1970"/>
      <c r="AF801" s="1954">
        <f>IF(T801&gt;Z801,Z801,T801)</f>
        <v>8</v>
      </c>
      <c r="AG801" s="1954"/>
      <c r="AH801" s="1954"/>
      <c r="AI801" s="1954"/>
      <c r="AJ801" s="1954"/>
      <c r="AK801" s="1954"/>
      <c r="AL801" s="852"/>
      <c r="AM801" s="630"/>
    </row>
    <row r="802" spans="1:81" s="568" customFormat="1" hidden="1">
      <c r="A802" s="854" t="s">
        <v>597</v>
      </c>
      <c r="B802" s="1965" t="s">
        <v>1690</v>
      </c>
      <c r="C802" s="1965"/>
      <c r="D802" s="1965"/>
      <c r="E802" s="1965"/>
      <c r="F802" s="1965"/>
      <c r="G802" s="1965"/>
      <c r="H802" s="1965"/>
      <c r="I802" s="1965"/>
      <c r="J802" s="1965"/>
      <c r="K802" s="1965"/>
      <c r="L802" s="1965"/>
      <c r="M802" s="1965"/>
      <c r="N802" s="1965"/>
      <c r="O802" s="1965"/>
      <c r="P802" s="1965"/>
      <c r="Q802" s="1965"/>
      <c r="R802" s="1965"/>
      <c r="S802" s="1966"/>
      <c r="T802" s="1967">
        <f>IF(AK524&gt;5,5,AK524)</f>
        <v>0</v>
      </c>
      <c r="U802" s="1967"/>
      <c r="V802" s="1967"/>
      <c r="W802" s="1967"/>
      <c r="X802" s="1967"/>
      <c r="Y802" s="1967"/>
      <c r="Z802" s="1954">
        <v>5</v>
      </c>
      <c r="AA802" s="1954"/>
      <c r="AB802" s="1954"/>
      <c r="AC802" s="1954"/>
      <c r="AD802" s="1954"/>
      <c r="AE802" s="1954"/>
      <c r="AF802" s="1954">
        <f>IF(T802&gt;Z802,5,T802)</f>
        <v>0</v>
      </c>
      <c r="AG802" s="1954"/>
      <c r="AH802" s="1954"/>
      <c r="AI802" s="1954"/>
      <c r="AJ802" s="1954"/>
      <c r="AK802" s="195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65" t="s">
        <v>1691</v>
      </c>
      <c r="C803" s="1965"/>
      <c r="D803" s="1965"/>
      <c r="E803" s="1965"/>
      <c r="F803" s="1965"/>
      <c r="G803" s="1965"/>
      <c r="H803" s="1965"/>
      <c r="I803" s="1965"/>
      <c r="J803" s="1965"/>
      <c r="K803" s="1965"/>
      <c r="L803" s="1965"/>
      <c r="M803" s="1965"/>
      <c r="N803" s="1965"/>
      <c r="O803" s="1965"/>
      <c r="P803" s="1965"/>
      <c r="Q803" s="1965"/>
      <c r="R803" s="1965"/>
      <c r="S803" s="1966"/>
      <c r="T803" s="1967">
        <f>AK274</f>
        <v>10</v>
      </c>
      <c r="U803" s="1967"/>
      <c r="V803" s="1967"/>
      <c r="W803" s="1967"/>
      <c r="X803" s="1967"/>
      <c r="Y803" s="1967"/>
      <c r="Z803" s="1954">
        <v>10</v>
      </c>
      <c r="AA803" s="1954"/>
      <c r="AB803" s="1954"/>
      <c r="AC803" s="1954"/>
      <c r="AD803" s="1954"/>
      <c r="AE803" s="1954"/>
      <c r="AF803" s="1976">
        <f>IF(T803&gt;Z803,Z803,T803)</f>
        <v>10</v>
      </c>
      <c r="AG803" s="1977"/>
      <c r="AH803" s="1977"/>
      <c r="AI803" s="1977"/>
      <c r="AJ803" s="1977"/>
      <c r="AK803" s="197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65" t="s">
        <v>1492</v>
      </c>
      <c r="C804" s="1965"/>
      <c r="D804" s="1965"/>
      <c r="E804" s="1965"/>
      <c r="F804" s="1965"/>
      <c r="G804" s="1965"/>
      <c r="H804" s="1965"/>
      <c r="I804" s="1965"/>
      <c r="J804" s="1965"/>
      <c r="K804" s="1965"/>
      <c r="L804" s="1965"/>
      <c r="M804" s="1965"/>
      <c r="N804" s="1965"/>
      <c r="O804" s="1965"/>
      <c r="P804" s="1965"/>
      <c r="Q804" s="1965"/>
      <c r="R804" s="1965"/>
      <c r="S804" s="1966"/>
      <c r="T804" s="1967">
        <f>AK327</f>
        <v>10</v>
      </c>
      <c r="U804" s="1967"/>
      <c r="V804" s="1967"/>
      <c r="W804" s="1967"/>
      <c r="X804" s="1967"/>
      <c r="Y804" s="1967"/>
      <c r="Z804" s="1976">
        <v>10</v>
      </c>
      <c r="AA804" s="1977"/>
      <c r="AB804" s="1977"/>
      <c r="AC804" s="1977"/>
      <c r="AD804" s="1977"/>
      <c r="AE804" s="1978"/>
      <c r="AF804" s="1976">
        <f>IF(T804&gt;Z804,Z804,T804)</f>
        <v>10</v>
      </c>
      <c r="AG804" s="1977"/>
      <c r="AH804" s="1977"/>
      <c r="AI804" s="1977"/>
      <c r="AJ804" s="1977"/>
      <c r="AK804" s="197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73">
        <f>AK327</f>
        <v>10</v>
      </c>
      <c r="U805" s="1973"/>
      <c r="V805" s="1973"/>
      <c r="W805" s="1973"/>
      <c r="X805" s="1973"/>
      <c r="Y805" s="1973"/>
      <c r="Z805" s="1941">
        <v>20</v>
      </c>
      <c r="AA805" s="1942"/>
      <c r="AB805" s="1942"/>
      <c r="AC805" s="1942"/>
      <c r="AD805" s="1942"/>
      <c r="AE805" s="1943"/>
      <c r="AF805" s="1975"/>
      <c r="AG805" s="1975"/>
      <c r="AH805" s="1975"/>
      <c r="AI805" s="1975"/>
      <c r="AJ805" s="1975"/>
      <c r="AK805" s="1975"/>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65" t="s">
        <v>856</v>
      </c>
      <c r="C806" s="1965"/>
      <c r="D806" s="1965"/>
      <c r="E806" s="1965"/>
      <c r="F806" s="1965"/>
      <c r="G806" s="1965"/>
      <c r="H806" s="1965"/>
      <c r="I806" s="1965"/>
      <c r="J806" s="1965"/>
      <c r="K806" s="1965"/>
      <c r="L806" s="1965"/>
      <c r="M806" s="1965"/>
      <c r="N806" s="1965"/>
      <c r="O806" s="1965"/>
      <c r="P806" s="1965"/>
      <c r="Q806" s="1965"/>
      <c r="R806" s="1965"/>
      <c r="S806" s="1966"/>
      <c r="T806" s="1967">
        <f>AK458</f>
        <v>12</v>
      </c>
      <c r="U806" s="1967"/>
      <c r="V806" s="1967"/>
      <c r="W806" s="1967"/>
      <c r="X806" s="1967"/>
      <c r="Y806" s="1967"/>
      <c r="Z806" s="1976">
        <v>10</v>
      </c>
      <c r="AA806" s="1977"/>
      <c r="AB806" s="1977"/>
      <c r="AC806" s="1977"/>
      <c r="AD806" s="1977"/>
      <c r="AE806" s="1978"/>
      <c r="AF806" s="1954">
        <f>IF(T806&gt;Z806,Z806,T806)</f>
        <v>10</v>
      </c>
      <c r="AG806" s="1954"/>
      <c r="AH806" s="1954"/>
      <c r="AI806" s="1954"/>
      <c r="AJ806" s="1954"/>
      <c r="AK806" s="195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65" t="s">
        <v>1671</v>
      </c>
      <c r="C807" s="1965"/>
      <c r="D807" s="1965"/>
      <c r="E807" s="1965"/>
      <c r="F807" s="1965"/>
      <c r="G807" s="1965"/>
      <c r="H807" s="1965"/>
      <c r="I807" s="1965"/>
      <c r="J807" s="1965"/>
      <c r="K807" s="1965"/>
      <c r="L807" s="1965"/>
      <c r="M807" s="1965"/>
      <c r="N807" s="1965"/>
      <c r="O807" s="1965"/>
      <c r="P807" s="1965"/>
      <c r="Q807" s="1965"/>
      <c r="R807" s="1965"/>
      <c r="S807" s="1966"/>
      <c r="T807" s="1967">
        <f>AK548</f>
        <v>12</v>
      </c>
      <c r="U807" s="1967"/>
      <c r="V807" s="1967"/>
      <c r="W807" s="1967"/>
      <c r="X807" s="1967"/>
      <c r="Y807" s="1967"/>
      <c r="Z807" s="1976">
        <v>12</v>
      </c>
      <c r="AA807" s="1977"/>
      <c r="AB807" s="1977"/>
      <c r="AC807" s="1977"/>
      <c r="AD807" s="1977"/>
      <c r="AE807" s="1978"/>
      <c r="AF807" s="1954">
        <f>IF(T807&gt;Z807,Z807,T807)</f>
        <v>12</v>
      </c>
      <c r="AG807" s="1954"/>
      <c r="AH807" s="1954"/>
      <c r="AI807" s="1954"/>
      <c r="AJ807" s="1954"/>
      <c r="AK807" s="195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2331</v>
      </c>
      <c r="B808" s="1965" t="s">
        <v>1693</v>
      </c>
      <c r="C808" s="1965"/>
      <c r="D808" s="1965"/>
      <c r="E808" s="1965"/>
      <c r="F808" s="1965"/>
      <c r="G808" s="1965"/>
      <c r="H808" s="1965"/>
      <c r="I808" s="1965"/>
      <c r="J808" s="1965"/>
      <c r="K808" s="1965"/>
      <c r="L808" s="1965"/>
      <c r="M808" s="1965"/>
      <c r="N808" s="1965"/>
      <c r="O808" s="1965"/>
      <c r="P808" s="1965"/>
      <c r="Q808" s="1965"/>
      <c r="R808" s="1965"/>
      <c r="S808" s="1966"/>
      <c r="T808" s="1967">
        <f>AK783</f>
        <v>10</v>
      </c>
      <c r="U808" s="1967"/>
      <c r="V808" s="1967"/>
      <c r="W808" s="1967"/>
      <c r="X808" s="1967"/>
      <c r="Y808" s="1967"/>
      <c r="Z808" s="1976">
        <v>10</v>
      </c>
      <c r="AA808" s="1977"/>
      <c r="AB808" s="1977"/>
      <c r="AC808" s="1977"/>
      <c r="AD808" s="1977"/>
      <c r="AE808" s="1978"/>
      <c r="AF808" s="1954">
        <f>IF(T808&gt;Z808,Z808,T808)</f>
        <v>10</v>
      </c>
      <c r="AG808" s="1954"/>
      <c r="AH808" s="1954"/>
      <c r="AI808" s="1954"/>
      <c r="AJ808" s="1954"/>
      <c r="AK808" s="195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79" t="s">
        <v>1694</v>
      </c>
      <c r="B809" s="1965"/>
      <c r="C809" s="1965"/>
      <c r="D809" s="1965"/>
      <c r="E809" s="1965"/>
      <c r="F809" s="1965"/>
      <c r="G809" s="1965"/>
      <c r="H809" s="1965"/>
      <c r="I809" s="1965"/>
      <c r="J809" s="1965"/>
      <c r="K809" s="1965"/>
      <c r="L809" s="1965"/>
      <c r="M809" s="1965"/>
      <c r="N809" s="1965"/>
      <c r="O809" s="1965"/>
      <c r="P809" s="1965"/>
      <c r="Q809" s="1965"/>
      <c r="R809" s="1965"/>
      <c r="S809" s="1966"/>
      <c r="T809" s="1980"/>
      <c r="U809" s="1980"/>
      <c r="V809" s="1980"/>
      <c r="W809" s="1980"/>
      <c r="X809" s="1980"/>
      <c r="Y809" s="1980"/>
      <c r="Z809" s="1974" t="s">
        <v>1695</v>
      </c>
      <c r="AA809" s="1974"/>
      <c r="AB809" s="1974"/>
      <c r="AC809" s="1974"/>
      <c r="AD809" s="1974"/>
      <c r="AE809" s="1974"/>
      <c r="AF809" s="1976">
        <f>IF(T809&gt;0,T809,0)</f>
        <v>0</v>
      </c>
      <c r="AG809" s="1977"/>
      <c r="AH809" s="1977"/>
      <c r="AI809" s="1977"/>
      <c r="AJ809" s="1977"/>
      <c r="AK809" s="197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1981" t="s">
        <v>1696</v>
      </c>
      <c r="B810" s="1982"/>
      <c r="C810" s="1982"/>
      <c r="D810" s="1982"/>
      <c r="E810" s="1982"/>
      <c r="F810" s="1982"/>
      <c r="G810" s="1982"/>
      <c r="H810" s="1982"/>
      <c r="I810" s="1982"/>
      <c r="J810" s="1982"/>
      <c r="K810" s="1982"/>
      <c r="L810" s="1982"/>
      <c r="M810" s="1982"/>
      <c r="N810" s="1982"/>
      <c r="O810" s="1982"/>
      <c r="P810" s="1982"/>
      <c r="Q810" s="1982"/>
      <c r="R810" s="1982"/>
      <c r="S810" s="1982"/>
      <c r="T810" s="1982"/>
      <c r="U810" s="1982"/>
      <c r="V810" s="1982"/>
      <c r="W810" s="1982"/>
      <c r="X810" s="1982"/>
      <c r="Y810" s="1982"/>
      <c r="Z810" s="1982"/>
      <c r="AA810" s="1982"/>
      <c r="AB810" s="1982"/>
      <c r="AC810" s="1982"/>
      <c r="AD810" s="1982"/>
      <c r="AE810" s="1983"/>
      <c r="AF810" s="1987">
        <f ca="1">SUM(AF793:AK808)-AF809</f>
        <v>120</v>
      </c>
      <c r="AG810" s="1988"/>
      <c r="AH810" s="1988"/>
      <c r="AI810" s="1988"/>
      <c r="AJ810" s="1988"/>
      <c r="AK810" s="1989"/>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1984"/>
      <c r="B811" s="1985"/>
      <c r="C811" s="1985"/>
      <c r="D811" s="1985"/>
      <c r="E811" s="1985"/>
      <c r="F811" s="1985"/>
      <c r="G811" s="1985"/>
      <c r="H811" s="1985"/>
      <c r="I811" s="1985"/>
      <c r="J811" s="1985"/>
      <c r="K811" s="1985"/>
      <c r="L811" s="1985"/>
      <c r="M811" s="1985"/>
      <c r="N811" s="1985"/>
      <c r="O811" s="1985"/>
      <c r="P811" s="1985"/>
      <c r="Q811" s="1985"/>
      <c r="R811" s="1985"/>
      <c r="S811" s="1985"/>
      <c r="T811" s="1985"/>
      <c r="U811" s="1985"/>
      <c r="V811" s="1985"/>
      <c r="W811" s="1985"/>
      <c r="X811" s="1985"/>
      <c r="Y811" s="1985"/>
      <c r="Z811" s="1985"/>
      <c r="AA811" s="1985"/>
      <c r="AB811" s="1985"/>
      <c r="AC811" s="1985"/>
      <c r="AD811" s="1985"/>
      <c r="AE811" s="1986"/>
      <c r="AF811" s="1990"/>
      <c r="AG811" s="1991"/>
      <c r="AH811" s="1991"/>
      <c r="AI811" s="1991"/>
      <c r="AJ811" s="1991"/>
      <c r="AK811" s="1992"/>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V31" sqref="V31"/>
    </sheetView>
  </sheetViews>
  <sheetFormatPr defaultColWidth="9.109375" defaultRowHeight="13.8"/>
  <cols>
    <col min="1" max="1" width="2.44140625" style="1079" customWidth="1"/>
    <col min="2" max="9" width="14.77734375" style="1079" customWidth="1"/>
    <col min="10" max="10" width="2.109375" style="1079" customWidth="1"/>
    <col min="11" max="11" width="11.77734375" style="1080" customWidth="1"/>
    <col min="12" max="12" width="10.77734375" style="1079" customWidth="1"/>
    <col min="13" max="13" width="10.44140625" style="1079" customWidth="1"/>
    <col min="14" max="14" width="10.77734375" style="1079" customWidth="1"/>
    <col min="15" max="16384" width="9.109375" style="1079"/>
  </cols>
  <sheetData>
    <row r="1" spans="1:13" ht="30" customHeight="1">
      <c r="A1" s="2167" t="s">
        <v>1697</v>
      </c>
      <c r="B1" s="2167"/>
      <c r="C1" s="2167"/>
      <c r="D1" s="2167"/>
      <c r="E1" s="2167"/>
      <c r="F1" s="2167"/>
      <c r="G1" s="2167"/>
      <c r="H1" s="2167"/>
      <c r="I1" s="2167"/>
      <c r="J1" s="2167"/>
    </row>
    <row r="2" spans="1:13" ht="15" customHeight="1" thickBot="1">
      <c r="A2" s="1081"/>
      <c r="B2" s="1081"/>
      <c r="I2" s="1082"/>
      <c r="K2" s="1083"/>
    </row>
    <row r="3" spans="1:13" s="1086" customFormat="1" ht="19.95" customHeight="1">
      <c r="A3" s="1140"/>
      <c r="B3" s="1141"/>
      <c r="C3" s="1142"/>
      <c r="D3" s="1147"/>
      <c r="E3" s="1142"/>
      <c r="F3" s="1143" t="s">
        <v>2296</v>
      </c>
      <c r="G3" s="1142"/>
      <c r="H3" s="1144">
        <f>E16</f>
        <v>38977416</v>
      </c>
      <c r="I3" s="1145"/>
    </row>
    <row r="4" spans="1:13" s="1086" customFormat="1" ht="19.95" customHeight="1">
      <c r="B4" s="1134"/>
      <c r="D4" s="1148"/>
      <c r="F4" s="1132" t="s">
        <v>2298</v>
      </c>
      <c r="G4" s="1131" t="s">
        <v>2297</v>
      </c>
      <c r="H4" s="1133">
        <f>I16</f>
        <v>56847595.277777776</v>
      </c>
      <c r="I4" s="1135"/>
      <c r="K4" s="1090"/>
    </row>
    <row r="5" spans="1:13" s="1086" customFormat="1" ht="19.95" customHeight="1" thickBot="1">
      <c r="B5" s="1136"/>
      <c r="C5" s="1137"/>
      <c r="D5" s="1149"/>
      <c r="E5" s="1138"/>
      <c r="F5" s="1149" t="s">
        <v>2238</v>
      </c>
      <c r="G5" s="1150"/>
      <c r="H5" s="1146">
        <f>H3/H4</f>
        <v>0.68564757769510465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8" t="s">
        <v>2236</v>
      </c>
      <c r="C8" s="2169"/>
      <c r="D8" s="2169"/>
      <c r="E8" s="2170"/>
      <c r="G8" s="2171" t="s">
        <v>2237</v>
      </c>
      <c r="H8" s="2172"/>
      <c r="I8" s="2173"/>
      <c r="K8" s="1092"/>
    </row>
    <row r="9" spans="1:13" ht="15" customHeight="1">
      <c r="A9" s="1081"/>
      <c r="B9" s="2162" t="s">
        <v>2275</v>
      </c>
      <c r="C9" s="2162"/>
      <c r="D9" s="2162"/>
      <c r="E9" s="1094">
        <f>G31</f>
        <v>8675000</v>
      </c>
      <c r="G9" s="2165" t="s">
        <v>2273</v>
      </c>
      <c r="H9" s="2165"/>
      <c r="I9" s="1095">
        <f>Application!AM554</f>
        <v>35462141</v>
      </c>
      <c r="K9" s="1096"/>
      <c r="M9" s="1097"/>
    </row>
    <row r="10" spans="1:13" ht="15" customHeight="1" thickBot="1">
      <c r="A10" s="1081"/>
      <c r="B10" s="2162" t="s">
        <v>2276</v>
      </c>
      <c r="C10" s="2162"/>
      <c r="D10" s="2162"/>
      <c r="E10" s="1095">
        <f>G40</f>
        <v>13673916.000000002</v>
      </c>
      <c r="G10" s="2165" t="s">
        <v>2239</v>
      </c>
      <c r="H10" s="2165"/>
      <c r="I10" s="1182">
        <f>'Basis &amp; Credits'!AB77</f>
        <v>20584139</v>
      </c>
      <c r="M10" s="1097"/>
    </row>
    <row r="11" spans="1:13" ht="15" customHeight="1">
      <c r="A11" s="1098"/>
      <c r="B11" s="2162" t="s">
        <v>2277</v>
      </c>
      <c r="C11" s="2162"/>
      <c r="D11" s="2162"/>
      <c r="E11" s="1095">
        <f>G49</f>
        <v>0</v>
      </c>
      <c r="G11" s="2165" t="s">
        <v>2288</v>
      </c>
      <c r="H11" s="2165"/>
      <c r="I11" s="1181">
        <f>I9+I10</f>
        <v>56046280</v>
      </c>
      <c r="M11" s="1097"/>
    </row>
    <row r="12" spans="1:13" ht="15" customHeight="1">
      <c r="A12" s="1084"/>
      <c r="B12" s="2162" t="s">
        <v>2278</v>
      </c>
      <c r="C12" s="2162"/>
      <c r="D12" s="2162"/>
      <c r="E12" s="1095">
        <f>G58</f>
        <v>840000</v>
      </c>
      <c r="G12" s="1183" t="s">
        <v>2313</v>
      </c>
      <c r="H12" s="1184"/>
      <c r="M12" s="1097"/>
    </row>
    <row r="13" spans="1:13" ht="15" customHeight="1">
      <c r="A13" s="1081"/>
      <c r="B13" s="2162" t="s">
        <v>2279</v>
      </c>
      <c r="C13" s="2162"/>
      <c r="D13" s="2162"/>
      <c r="E13" s="1100">
        <f>G83</f>
        <v>10583500</v>
      </c>
      <c r="G13" s="2166" t="s">
        <v>139</v>
      </c>
      <c r="H13" s="2166"/>
      <c r="I13" s="1099">
        <f>15%*(Application!AJ993&gt;0)</f>
        <v>0</v>
      </c>
      <c r="M13" s="1097"/>
    </row>
    <row r="14" spans="1:13" ht="15" customHeight="1">
      <c r="A14" s="1081"/>
      <c r="B14" s="2162" t="s">
        <v>2280</v>
      </c>
      <c r="C14" s="2162"/>
      <c r="D14" s="2162"/>
      <c r="E14" s="1095">
        <f>IF(G96&gt;G106,G96,0)</f>
        <v>5205000</v>
      </c>
      <c r="G14" s="1179" t="s">
        <v>2289</v>
      </c>
      <c r="H14" s="1179"/>
      <c r="I14" s="1099">
        <f>IF(Application!AJ1031&gt;0,10%,IF(Application!AJ1035&gt;0,5%,0))</f>
        <v>0</v>
      </c>
      <c r="M14" s="1097"/>
    </row>
    <row r="15" spans="1:13" ht="15" customHeight="1" thickBot="1">
      <c r="A15" s="1081"/>
      <c r="B15" s="2163" t="s">
        <v>2299</v>
      </c>
      <c r="C15" s="2163"/>
      <c r="D15" s="2163"/>
      <c r="E15" s="1151">
        <f>IF(E14&gt;0,0,G106)</f>
        <v>0</v>
      </c>
      <c r="G15" s="2160" t="s">
        <v>2290</v>
      </c>
      <c r="H15" s="2161"/>
      <c r="I15" s="1153">
        <f>G114</f>
        <v>-1.4297385620915032E-2</v>
      </c>
      <c r="M15" s="1097"/>
    </row>
    <row r="16" spans="1:13" ht="15" customHeight="1">
      <c r="A16" s="1081"/>
      <c r="B16" s="2164" t="s">
        <v>2235</v>
      </c>
      <c r="C16" s="2164"/>
      <c r="D16" s="2164"/>
      <c r="E16" s="1152">
        <f>SUM(E9:E15)</f>
        <v>38977416</v>
      </c>
      <c r="G16" s="1180" t="s">
        <v>2274</v>
      </c>
      <c r="H16" s="1180"/>
      <c r="I16" s="1154">
        <f>I11-((I11*I13)+(I11*I14)+(I11*I15))</f>
        <v>56847595.277777776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139</v>
      </c>
      <c r="O18" s="1124" t="s">
        <v>590</v>
      </c>
      <c r="P18" s="1079">
        <f>MATCH(Application!T189,Application!BV490:BV547,0)</f>
        <v>34</v>
      </c>
      <c r="S18" s="1101">
        <f>SUM(Cdlac[Population])</f>
        <v>0</v>
      </c>
    </row>
    <row r="19" spans="1:20" ht="15" customHeight="1">
      <c r="A19" s="1081"/>
      <c r="B19" s="1081"/>
      <c r="I19" s="1107"/>
      <c r="L19" s="1079" t="s">
        <v>2231</v>
      </c>
      <c r="M19" s="1079" t="s">
        <v>2230</v>
      </c>
      <c r="N19" s="1079" t="s">
        <v>2244</v>
      </c>
      <c r="O19" s="1079" t="s">
        <v>2245</v>
      </c>
      <c r="P19" s="1079" t="s">
        <v>2232</v>
      </c>
      <c r="Q19" s="1079" t="s">
        <v>2233</v>
      </c>
      <c r="R19" s="1079" t="s">
        <v>2246</v>
      </c>
      <c r="S19" s="1079" t="s">
        <v>2252</v>
      </c>
      <c r="T19" s="1079" t="s">
        <v>386</v>
      </c>
    </row>
    <row r="20" spans="1:20" ht="15" customHeight="1">
      <c r="A20" s="1084"/>
      <c r="C20" s="2158" t="s">
        <v>2292</v>
      </c>
      <c r="D20" s="2158" t="s">
        <v>2293</v>
      </c>
      <c r="E20" s="2158" t="s">
        <v>2294</v>
      </c>
      <c r="F20" s="2158" t="s">
        <v>2295</v>
      </c>
      <c r="G20" s="2158" t="s">
        <v>2291</v>
      </c>
      <c r="H20" s="1108"/>
      <c r="I20" s="1107"/>
      <c r="L20" s="1079">
        <f>IFERROR(MIN(4,MATCH(Application!B718,UnitSizes,0)-1),"")</f>
        <v>1</v>
      </c>
      <c r="M20" s="1101">
        <f>Application!G718</f>
        <v>14</v>
      </c>
      <c r="N20" s="1109">
        <f>Application!AC718</f>
        <v>0.3</v>
      </c>
      <c r="O20" s="1109">
        <f>IF(Cdlac[[#This Row],[Quantity]]&gt;0,IF(Cdlac[[#This Row],[Federal]],30%,IF($G$36,40%,Cdlac[[#This Row],[iAMI]])),"")</f>
        <v>0.3</v>
      </c>
      <c r="P20" s="1101" cm="1">
        <f t="array" ref="P20">IF(Cdlac[[#This Row],[Quantity]]&gt;0,INDEX(TcacRents,$P$18,Cdlac[[#This Row],[Bedrooms]]+1)*Cdlac[[#This Row],[AMI]],"")</f>
        <v>603</v>
      </c>
      <c r="Q20" s="1101" cm="1">
        <f t="array" ref="Q20">IF(Cdlac[[#This Row],[Quantity]]&gt;0,INDEX(HudFmrs,$P$18,Cdlac[[#This Row],[Bedrooms]]+1),"")</f>
        <v>1400</v>
      </c>
      <c r="R20" s="1101">
        <f>IF(Cdlac[[#This Row],[Quantity]]&gt;0,MAX(0,Cdlac[[#This Row],[Fair Market Rent]]-Cdlac[[#This Row],[Restricted Rent]]),"")</f>
        <v>797</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59"/>
      <c r="D21" s="2159"/>
      <c r="E21" s="2159"/>
      <c r="F21" s="2159"/>
      <c r="G21" s="2159"/>
      <c r="H21" s="1108"/>
      <c r="I21" s="1107"/>
      <c r="L21" s="1079">
        <f>IFERROR(MIN(4,MATCH(Application!B719,UnitSizes,0)-1),"")</f>
        <v>1</v>
      </c>
      <c r="M21" s="1101">
        <f>Application!G719</f>
        <v>8</v>
      </c>
      <c r="N21" s="1109">
        <f>Application!AC719</f>
        <v>0.6</v>
      </c>
      <c r="O21" s="1109">
        <f>IF(Cdlac[[#This Row],[Quantity]]&gt;0,IF(Cdlac[[#This Row],[Federal]],30%,IF($G$36,40%,Cdlac[[#This Row],[iAMI]])),"")</f>
        <v>0.6</v>
      </c>
      <c r="P21" s="1101" cm="1">
        <f t="array" ref="P21">IF(Cdlac[[#This Row],[Quantity]]&gt;0,INDEX(TcacRents,$P$18,Cdlac[[#This Row],[Bedrooms]]+1)*Cdlac[[#This Row],[AMI]],"")</f>
        <v>1206</v>
      </c>
      <c r="Q21" s="1101" cm="1">
        <f t="array" ref="Q21">IF(Cdlac[[#This Row],[Quantity]]&gt;0,INDEX(HudFmrs,$P$18,Cdlac[[#This Row],[Bedrooms]]+1),"")</f>
        <v>1400</v>
      </c>
      <c r="R21" s="1101">
        <f>IF(Cdlac[[#This Row],[Quantity]]&gt;0,MAX(0,Cdlac[[#This Row],[Fair Market Rent]]-Cdlac[[#This Row],[Restricted Rent]]),"")</f>
        <v>194</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20</v>
      </c>
      <c r="N22" s="1109">
        <f>Application!AC720</f>
        <v>0.7</v>
      </c>
      <c r="O22" s="1109">
        <f>IF(Cdlac[[#This Row],[Quantity]]&gt;0,IF(Cdlac[[#This Row],[Federal]],30%,IF($G$36,40%,Cdlac[[#This Row],[iAMI]])),"")</f>
        <v>0.7</v>
      </c>
      <c r="P22" s="1101" cm="1">
        <f t="array" ref="P22">IF(Cdlac[[#This Row],[Quantity]]&gt;0,INDEX(TcacRents,$P$18,Cdlac[[#This Row],[Bedrooms]]+1)*Cdlac[[#This Row],[AMI]],"")</f>
        <v>1407</v>
      </c>
      <c r="Q22" s="1101" cm="1">
        <f t="array" ref="Q22">IF(Cdlac[[#This Row],[Quantity]]&gt;0,INDEX(HudFmrs,$P$18,Cdlac[[#This Row],[Bedrooms]]+1),"")</f>
        <v>1400</v>
      </c>
      <c r="R22" s="1101">
        <f>IF(Cdlac[[#This Row],[Quantity]]&gt;0,MAX(0,Cdlac[[#This Row],[Fair Market Rent]]-Cdlac[[#This Row],[Restricted Rent]]),"")</f>
        <v>0</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42</v>
      </c>
      <c r="F23" s="1110">
        <f>E23</f>
        <v>42</v>
      </c>
      <c r="G23" s="1110">
        <f>D23*F23</f>
        <v>42</v>
      </c>
      <c r="L23" s="1079">
        <f>IFERROR(MIN(4,MATCH(Application!B721,UnitSizes,0)-1),"")</f>
        <v>2</v>
      </c>
      <c r="M23" s="1101">
        <f>Application!G721</f>
        <v>10</v>
      </c>
      <c r="N23" s="1109">
        <f>Application!AC721</f>
        <v>0.3</v>
      </c>
      <c r="O23" s="1109">
        <f>IF(Cdlac[[#This Row],[Quantity]]&gt;0,IF(Cdlac[[#This Row],[Federal]],30%,IF($G$36,40%,Cdlac[[#This Row],[iAMI]])),"")</f>
        <v>0.3</v>
      </c>
      <c r="P23" s="1101" cm="1">
        <f t="array" ref="P23">IF(Cdlac[[#This Row],[Quantity]]&gt;0,INDEX(TcacRents,$P$18,Cdlac[[#This Row],[Bedrooms]]+1)*Cdlac[[#This Row],[AMI]],"")</f>
        <v>723.6</v>
      </c>
      <c r="Q23" s="1101" cm="1">
        <f t="array" ref="Q23">IF(Cdlac[[#This Row],[Quantity]]&gt;0,INDEX(HudFmrs,$P$18,Cdlac[[#This Row],[Bedrooms]]+1),"")</f>
        <v>1756</v>
      </c>
      <c r="R23" s="1101">
        <f>IF(Cdlac[[#This Row],[Quantity]]&gt;0,MAX(0,Cdlac[[#This Row],[Fair Market Rent]]-Cdlac[[#This Row],[Restricted Rent]]),"")</f>
        <v>1032.4000000000001</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48</v>
      </c>
      <c r="F24" s="1113">
        <f>SUM(E24:E26)-SUM(F25:F26)</f>
        <v>56</v>
      </c>
      <c r="G24" s="1110">
        <f>D24*F24</f>
        <v>70</v>
      </c>
      <c r="H24" s="1112"/>
      <c r="I24" s="1112"/>
      <c r="L24" s="1079">
        <f>IFERROR(MIN(4,MATCH(Application!B722,UnitSizes,0)-1),"")</f>
        <v>2</v>
      </c>
      <c r="M24" s="1101">
        <f>Application!G722</f>
        <v>4</v>
      </c>
      <c r="N24" s="1109">
        <f>Application!AC722</f>
        <v>0.3</v>
      </c>
      <c r="O24" s="1109">
        <f>IF(Cdlac[[#This Row],[Quantity]]&gt;0,IF(Cdlac[[#This Row],[Federal]],30%,IF($G$36,40%,Cdlac[[#This Row],[iAMI]])),"")</f>
        <v>0.3</v>
      </c>
      <c r="P24" s="1101" cm="1">
        <f t="array" ref="P24">IF(Cdlac[[#This Row],[Quantity]]&gt;0,INDEX(TcacRents,$P$18,Cdlac[[#This Row],[Bedrooms]]+1)*Cdlac[[#This Row],[AMI]],"")</f>
        <v>723.6</v>
      </c>
      <c r="Q24" s="1101" cm="1">
        <f t="array" ref="Q24">IF(Cdlac[[#This Row],[Quantity]]&gt;0,INDEX(HudFmrs,$P$18,Cdlac[[#This Row],[Bedrooms]]+1),"")</f>
        <v>1756</v>
      </c>
      <c r="R24" s="1101">
        <f>IF(Cdlac[[#This Row],[Quantity]]&gt;0,MAX(0,Cdlac[[#This Row],[Fair Market Rent]]-Cdlac[[#This Row],[Restricted Rent]]),"")</f>
        <v>1032.4000000000001</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49</v>
      </c>
      <c r="F25" s="1113">
        <f>MIN(E25,ROUNDDOWN(E27*30%,0))</f>
        <v>41</v>
      </c>
      <c r="G25" s="1110">
        <f>D25*F25</f>
        <v>61.5</v>
      </c>
      <c r="H25" s="1112"/>
      <c r="I25" s="1112"/>
      <c r="L25" s="1079">
        <f>IFERROR(MIN(4,MATCH(Application!B723,UnitSizes,0)-1),"")</f>
        <v>2</v>
      </c>
      <c r="M25" s="1101">
        <f>Application!G723</f>
        <v>8</v>
      </c>
      <c r="N25" s="1109">
        <f>Application!AC723</f>
        <v>0.6</v>
      </c>
      <c r="O25" s="1109">
        <f>IF(Cdlac[[#This Row],[Quantity]]&gt;0,IF(Cdlac[[#This Row],[Federal]],30%,IF($G$36,40%,Cdlac[[#This Row],[iAMI]])),"")</f>
        <v>0.6</v>
      </c>
      <c r="P25" s="1101" cm="1">
        <f t="array" ref="P25">IF(Cdlac[[#This Row],[Quantity]]&gt;0,INDEX(TcacRents,$P$18,Cdlac[[#This Row],[Bedrooms]]+1)*Cdlac[[#This Row],[AMI]],"")</f>
        <v>1447.2</v>
      </c>
      <c r="Q25" s="1101" cm="1">
        <f t="array" ref="Q25">IF(Cdlac[[#This Row],[Quantity]]&gt;0,INDEX(HudFmrs,$P$18,Cdlac[[#This Row],[Bedrooms]]+1),"")</f>
        <v>1756</v>
      </c>
      <c r="R25" s="1101">
        <f>IF(Cdlac[[#This Row],[Quantity]]&gt;0,MAX(0,Cdlac[[#This Row],[Fair Market Rent]]-Cdlac[[#This Row],[Restricted Rent]]),"")</f>
        <v>308.79999999999995</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26</v>
      </c>
      <c r="N26" s="1109">
        <f>Application!AC724</f>
        <v>0.7</v>
      </c>
      <c r="O26" s="1109">
        <f>IF(Cdlac[[#This Row],[Quantity]]&gt;0,IF(Cdlac[[#This Row],[Federal]],30%,IF($G$36,40%,Cdlac[[#This Row],[iAMI]])),"")</f>
        <v>0.7</v>
      </c>
      <c r="P26" s="1101" cm="1">
        <f t="array" ref="P26">IF(Cdlac[[#This Row],[Quantity]]&gt;0,INDEX(TcacRents,$P$18,Cdlac[[#This Row],[Bedrooms]]+1)*Cdlac[[#This Row],[AMI]],"")</f>
        <v>1688.3999999999999</v>
      </c>
      <c r="Q26" s="1101" cm="1">
        <f t="array" ref="Q26">IF(Cdlac[[#This Row],[Quantity]]&gt;0,INDEX(HudFmrs,$P$18,Cdlac[[#This Row],[Bedrooms]]+1),"")</f>
        <v>1756</v>
      </c>
      <c r="R26" s="1101">
        <f>IF(Cdlac[[#This Row],[Quantity]]&gt;0,MAX(0,Cdlac[[#This Row],[Fair Market Rent]]-Cdlac[[#This Row],[Restricted Rent]]),"")</f>
        <v>67.600000000000136</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74" t="s">
        <v>1698</v>
      </c>
      <c r="D27" s="2175"/>
      <c r="E27" s="1129">
        <f>SUM(E22:E26)</f>
        <v>139</v>
      </c>
      <c r="F27" s="1129">
        <f>SUM(F22:F26)</f>
        <v>139</v>
      </c>
      <c r="G27" s="1130">
        <f>SUMPRODUCT(D22:D26,F22:F26)</f>
        <v>173.5</v>
      </c>
      <c r="H27" s="1112"/>
      <c r="I27" s="1112"/>
      <c r="L27" s="1079">
        <f>IFERROR(MIN(4,MATCH(Application!B725,UnitSizes,0)-1),"")</f>
        <v>3</v>
      </c>
      <c r="M27" s="1101">
        <f>Application!G725</f>
        <v>10</v>
      </c>
      <c r="N27" s="1109">
        <f>Application!AC725</f>
        <v>0.3</v>
      </c>
      <c r="O27" s="1109">
        <f>IF(Cdlac[[#This Row],[Quantity]]&gt;0,IF(Cdlac[[#This Row],[Federal]],30%,IF($G$36,40%,Cdlac[[#This Row],[iAMI]])),"")</f>
        <v>0.3</v>
      </c>
      <c r="P27" s="1101" cm="1">
        <f t="array" ref="P27">IF(Cdlac[[#This Row],[Quantity]]&gt;0,INDEX(TcacRents,$P$18,Cdlac[[#This Row],[Bedrooms]]+1)*Cdlac[[#This Row],[AMI]],"")</f>
        <v>835.8</v>
      </c>
      <c r="Q27" s="1101" cm="1">
        <f t="array" ref="Q27">IF(Cdlac[[#This Row],[Quantity]]&gt;0,INDEX(HudFmrs,$P$18,Cdlac[[#This Row],[Bedrooms]]+1),"")</f>
        <v>2496</v>
      </c>
      <c r="R27" s="1101">
        <f>IF(Cdlac[[#This Row],[Quantity]]&gt;0,MAX(0,Cdlac[[#This Row],[Fair Market Rent]]-Cdlac[[#This Row],[Restricted Rent]]),"")</f>
        <v>1660.2</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4</v>
      </c>
      <c r="N28" s="1109">
        <f>Application!AC726</f>
        <v>0.3</v>
      </c>
      <c r="O28" s="1109">
        <f>IF(Cdlac[[#This Row],[Quantity]]&gt;0,IF(Cdlac[[#This Row],[Federal]],30%,IF($G$36,40%,Cdlac[[#This Row],[iAMI]])),"")</f>
        <v>0.3</v>
      </c>
      <c r="P28" s="1101" cm="1">
        <f t="array" ref="P28">IF(Cdlac[[#This Row],[Quantity]]&gt;0,INDEX(TcacRents,$P$18,Cdlac[[#This Row],[Bedrooms]]+1)*Cdlac[[#This Row],[AMI]],"")</f>
        <v>835.8</v>
      </c>
      <c r="Q28" s="1101" cm="1">
        <f t="array" ref="Q28">IF(Cdlac[[#This Row],[Quantity]]&gt;0,INDEX(HudFmrs,$P$18,Cdlac[[#This Row],[Bedrooms]]+1),"")</f>
        <v>2496</v>
      </c>
      <c r="R28" s="1101">
        <f>IF(Cdlac[[#This Row],[Quantity]]&gt;0,MAX(0,Cdlac[[#This Row],[Fair Market Rent]]-Cdlac[[#This Row],[Restricted Rent]]),"")</f>
        <v>1660.2</v>
      </c>
      <c r="S28" s="1079">
        <f>IF(Cdlac[[#This Row],[Quantity]]&gt;0,AND(Application!AK726&lt;&gt;"N/A",Application!AK726&lt;&gt;"")*Cdlac[[#This Row],[Quantity]],"")</f>
        <v>0</v>
      </c>
      <c r="T28" s="1079" t="b">
        <f>AND('Subsidy Contract Calculation'!F12&gt;0,'Subsidy Contract Calculation'!C12="Federal",Cdlac[[#This Row],[Quantity]]&gt;0)</f>
        <v>1</v>
      </c>
    </row>
    <row r="29" spans="1:20" ht="15" customHeight="1">
      <c r="A29" s="1112"/>
      <c r="E29" s="1159" t="s">
        <v>2291</v>
      </c>
      <c r="G29" s="1156">
        <f>G27</f>
        <v>173.5</v>
      </c>
      <c r="H29" s="1112"/>
      <c r="I29" s="1112"/>
      <c r="L29" s="1079">
        <f>IFERROR(MIN(4,MATCH(Application!B727,UnitSizes,0)-1),"")</f>
        <v>3</v>
      </c>
      <c r="M29" s="1101">
        <f>Application!G727</f>
        <v>8</v>
      </c>
      <c r="N29" s="1109">
        <f>Application!AC727</f>
        <v>0.6</v>
      </c>
      <c r="O29" s="1109">
        <f>IF(Cdlac[[#This Row],[Quantity]]&gt;0,IF(Cdlac[[#This Row],[Federal]],30%,IF($G$36,40%,Cdlac[[#This Row],[iAMI]])),"")</f>
        <v>0.6</v>
      </c>
      <c r="P29" s="1101" cm="1">
        <f t="array" ref="P29">IF(Cdlac[[#This Row],[Quantity]]&gt;0,INDEX(TcacRents,$P$18,Cdlac[[#This Row],[Bedrooms]]+1)*Cdlac[[#This Row],[AMI]],"")</f>
        <v>1671.6</v>
      </c>
      <c r="Q29" s="1101" cm="1">
        <f t="array" ref="Q29">IF(Cdlac[[#This Row],[Quantity]]&gt;0,INDEX(HudFmrs,$P$18,Cdlac[[#This Row],[Bedrooms]]+1),"")</f>
        <v>2496</v>
      </c>
      <c r="R29" s="1101">
        <f>IF(Cdlac[[#This Row],[Quantity]]&gt;0,MAX(0,Cdlac[[#This Row],[Fair Market Rent]]-Cdlac[[#This Row],[Restricted Rent]]),"")</f>
        <v>824.40000000000009</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2243</v>
      </c>
      <c r="F30" s="1155" t="s">
        <v>2300</v>
      </c>
      <c r="G30" s="1157">
        <v>50000</v>
      </c>
      <c r="H30" s="1112"/>
      <c r="I30" s="1112"/>
      <c r="L30" s="1079">
        <f>IFERROR(MIN(4,MATCH(Application!B728,UnitSizes,0)-1),"")</f>
        <v>3</v>
      </c>
      <c r="M30" s="1101">
        <f>Application!G728</f>
        <v>27</v>
      </c>
      <c r="N30" s="1109">
        <f>Application!AC728</f>
        <v>0.7</v>
      </c>
      <c r="O30" s="1109">
        <f>IF(Cdlac[[#This Row],[Quantity]]&gt;0,IF(Cdlac[[#This Row],[Federal]],30%,IF($G$36,40%,Cdlac[[#This Row],[iAMI]])),"")</f>
        <v>0.7</v>
      </c>
      <c r="P30" s="1101" cm="1">
        <f t="array" ref="P30">IF(Cdlac[[#This Row],[Quantity]]&gt;0,INDEX(TcacRents,$P$18,Cdlac[[#This Row],[Bedrooms]]+1)*Cdlac[[#This Row],[AMI]],"")</f>
        <v>1950.1999999999998</v>
      </c>
      <c r="Q30" s="1101" cm="1">
        <f t="array" ref="Q30">IF(Cdlac[[#This Row],[Quantity]]&gt;0,INDEX(HudFmrs,$P$18,Cdlac[[#This Row],[Bedrooms]]+1),"")</f>
        <v>2496</v>
      </c>
      <c r="R30" s="1101">
        <f>IF(Cdlac[[#This Row],[Quantity]]&gt;0,MAX(0,Cdlac[[#This Row],[Fair Market Rent]]-Cdlac[[#This Row],[Restricted Rent]]),"")</f>
        <v>545.80000000000018</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2284</v>
      </c>
      <c r="F31" s="1081"/>
      <c r="G31" s="1161">
        <f>G30*G29</f>
        <v>8675000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2311</v>
      </c>
      <c r="G35" s="1162" cm="1">
        <f t="array" ref="G35">SUMPRODUCT(Cdlac[Quantity],Cdlac[iAMI],IF(Cdlac[Federal],0,1))/SUMIFS(Cdlac[Quantity],Cdlac[Federal],FALSE)</f>
        <v>0.57786259541984719</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2306</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2247</v>
      </c>
      <c r="G38" s="1116">
        <f>SUMPRODUCT(Cdlac[Quantity],Cdlac[Delta])</f>
        <v>75966.200000000012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2312</v>
      </c>
      <c r="F39" s="1155" t="s">
        <v>2300</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2240</v>
      </c>
      <c r="F40" s="1081"/>
      <c r="G40" s="1165">
        <f>G38*G39</f>
        <v>13673916.000000002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2301</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2302</v>
      </c>
      <c r="G45" s="1167">
        <f>ROUNDDOWN(E27*50%,0)</f>
        <v>69</v>
      </c>
    </row>
    <row r="46" spans="2:20" ht="15" customHeight="1">
      <c r="E46" s="1159"/>
      <c r="G46" s="1167"/>
    </row>
    <row r="47" spans="2:20" ht="15" customHeight="1">
      <c r="E47" s="1159" t="s">
        <v>2253</v>
      </c>
      <c r="G47" s="1156">
        <f>MIN(G44:G45)</f>
        <v>0</v>
      </c>
    </row>
    <row r="48" spans="2:20" ht="15" customHeight="1">
      <c r="E48" s="1159" t="s">
        <v>2243</v>
      </c>
      <c r="F48" s="1155" t="s">
        <v>2300</v>
      </c>
      <c r="G48" s="1166">
        <v>10000</v>
      </c>
    </row>
    <row r="49" spans="2:14" ht="15" customHeight="1">
      <c r="E49" s="1160" t="s">
        <v>2283</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2303</v>
      </c>
      <c r="G53" s="1117">
        <f>SUMIFS(Cdlac[Quantity],Cdlac[iAMI],"&lt;=30%")</f>
        <v>42</v>
      </c>
    </row>
    <row r="54" spans="2:14" ht="15" customHeight="1">
      <c r="E54" s="1159" t="s">
        <v>2302</v>
      </c>
      <c r="G54" s="1117">
        <f>ROUNDDOWN(E27*50%,0)</f>
        <v>69</v>
      </c>
    </row>
    <row r="55" spans="2:14" ht="15" customHeight="1">
      <c r="E55" s="1159"/>
      <c r="G55" s="1117"/>
    </row>
    <row r="56" spans="2:14" ht="15" customHeight="1">
      <c r="E56" s="1159" t="s">
        <v>2253</v>
      </c>
      <c r="G56" s="1156">
        <f>MIN(G53:G54)</f>
        <v>42</v>
      </c>
    </row>
    <row r="57" spans="2:14" ht="15" customHeight="1">
      <c r="E57" s="1159" t="s">
        <v>2243</v>
      </c>
      <c r="F57" s="1155" t="s">
        <v>2300</v>
      </c>
      <c r="G57" s="1166">
        <v>20000</v>
      </c>
    </row>
    <row r="58" spans="2:14" ht="15" customHeight="1">
      <c r="E58" s="1160" t="s">
        <v>2282</v>
      </c>
      <c r="F58" s="1081"/>
      <c r="G58" s="1165">
        <f>G56*G57</f>
        <v>840000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2256</v>
      </c>
      <c r="G62" s="1156">
        <f>VLOOKUP('Points System'!$H$595,'Points System'!$AO$575:$AP$580,2,FALSE)</f>
        <v>7</v>
      </c>
      <c r="L62" s="1169" t="str">
        <f>'Points System'!H627</f>
        <v>(i)</v>
      </c>
      <c r="M62" s="2176" t="s">
        <v>1516</v>
      </c>
      <c r="N62" s="2177"/>
    </row>
    <row r="63" spans="2:14" ht="15" customHeight="1">
      <c r="E63" s="1124" t="s">
        <v>2243</v>
      </c>
      <c r="F63" s="1155" t="s">
        <v>2300</v>
      </c>
      <c r="G63" s="1114">
        <v>4000</v>
      </c>
      <c r="L63" s="1170" t="str">
        <f>'Points System'!H639</f>
        <v>N/A</v>
      </c>
      <c r="M63" s="2178" t="s">
        <v>2257</v>
      </c>
      <c r="N63" s="2179"/>
    </row>
    <row r="64" spans="2:14" ht="15" customHeight="1">
      <c r="E64" s="1124" t="s">
        <v>2304</v>
      </c>
      <c r="F64" s="1155" t="s">
        <v>2300</v>
      </c>
      <c r="G64" s="1168">
        <f>G27</f>
        <v>173.5</v>
      </c>
      <c r="L64" s="1170" t="str">
        <f>'Points System'!H674</f>
        <v>(ii)</v>
      </c>
      <c r="M64" s="2178" t="s">
        <v>2258</v>
      </c>
      <c r="N64" s="2179"/>
    </row>
    <row r="65" spans="2:14" ht="15" customHeight="1">
      <c r="E65" s="1160" t="s">
        <v>2262</v>
      </c>
      <c r="F65" s="1081"/>
      <c r="G65" s="1165">
        <f>G62*G63*G64</f>
        <v>4858000</v>
      </c>
      <c r="L65" s="1170" t="str">
        <f>IF(OR('Points System'!H698="(ii)",'Points System'!H698="(i)"),"(i)","N/A")</f>
        <v>(i)</v>
      </c>
      <c r="M65" s="2178" t="s">
        <v>2259</v>
      </c>
      <c r="N65" s="2179"/>
    </row>
    <row r="66" spans="2:14" ht="15" customHeight="1">
      <c r="C66" s="1115"/>
      <c r="G66" s="1156"/>
      <c r="L66" s="1171" t="str">
        <f>'Points System'!H712</f>
        <v>N/A</v>
      </c>
      <c r="M66" s="2178" t="s">
        <v>1542</v>
      </c>
      <c r="N66" s="2179"/>
    </row>
    <row r="67" spans="2:14" ht="15" customHeight="1">
      <c r="E67" s="1124" t="s">
        <v>2305</v>
      </c>
      <c r="G67" s="1168">
        <f>COUNTIFS(L62:L69,"(i)")</f>
        <v>2</v>
      </c>
      <c r="L67" s="1170" t="str">
        <f>'Points System'!H724</f>
        <v>N/A</v>
      </c>
      <c r="M67" s="2178" t="s">
        <v>2260</v>
      </c>
      <c r="N67" s="2179"/>
    </row>
    <row r="68" spans="2:14" ht="15" customHeight="1">
      <c r="E68" s="1124" t="s">
        <v>2243</v>
      </c>
      <c r="F68" s="1155" t="s">
        <v>2300</v>
      </c>
      <c r="G68" s="1166">
        <v>4000</v>
      </c>
      <c r="L68" s="1170" t="str">
        <f>'Points System'!H740</f>
        <v>N/A</v>
      </c>
      <c r="M68" s="2178" t="s">
        <v>2261</v>
      </c>
      <c r="N68" s="2179"/>
    </row>
    <row r="69" spans="2:14" ht="15" customHeight="1" thickBot="1">
      <c r="E69" s="1160" t="s">
        <v>2263</v>
      </c>
      <c r="F69" s="1081"/>
      <c r="G69" s="1165">
        <f>G64*G67*G68</f>
        <v>1388000</v>
      </c>
      <c r="L69" s="1172" t="str">
        <f>'Points System'!H752</f>
        <v>(ii)</v>
      </c>
      <c r="M69" s="2184" t="s">
        <v>1545</v>
      </c>
      <c r="N69" s="2185"/>
    </row>
    <row r="70" spans="2:14" ht="15" customHeight="1"/>
    <row r="71" spans="2:14" ht="15" customHeight="1">
      <c r="C71" s="1118" t="s">
        <v>2265</v>
      </c>
    </row>
    <row r="72" spans="2:14" ht="15" customHeight="1">
      <c r="C72" s="1115" t="s">
        <v>2266</v>
      </c>
      <c r="G72" s="1078"/>
    </row>
    <row r="73" spans="2:14" ht="15" customHeight="1">
      <c r="C73" s="1115" t="s">
        <v>2267</v>
      </c>
      <c r="G73" s="1078"/>
    </row>
    <row r="74" spans="2:14" ht="15" customHeight="1">
      <c r="C74" s="1115" t="s">
        <v>2491</v>
      </c>
      <c r="G74" s="1078" t="s">
        <v>553</v>
      </c>
    </row>
    <row r="75" spans="2:14" ht="15" customHeight="1">
      <c r="C75" s="1115" t="s">
        <v>2492</v>
      </c>
      <c r="G75" s="1078"/>
    </row>
    <row r="76" spans="2:14" ht="15" customHeight="1"/>
    <row r="77" spans="2:14" ht="15" customHeight="1">
      <c r="B77" s="1116"/>
      <c r="C77" s="1115"/>
      <c r="E77" s="1124" t="s">
        <v>2307</v>
      </c>
      <c r="G77" s="1117" t="b">
        <f>COUNTIFS(G72:G75,"Yes")&gt;=1</f>
        <v>1</v>
      </c>
    </row>
    <row r="78" spans="2:14" ht="15" customHeight="1">
      <c r="E78" s="1115"/>
    </row>
    <row r="79" spans="2:14" ht="15" customHeight="1">
      <c r="E79" s="1124" t="s">
        <v>2304</v>
      </c>
      <c r="F79" s="1155" t="s">
        <v>2300</v>
      </c>
      <c r="G79" s="1156">
        <f>G27</f>
        <v>173.5</v>
      </c>
    </row>
    <row r="80" spans="2:14" ht="15" customHeight="1">
      <c r="E80" s="1124" t="s">
        <v>2243</v>
      </c>
      <c r="F80" s="1155" t="s">
        <v>2300</v>
      </c>
      <c r="G80" s="1166">
        <v>25000</v>
      </c>
    </row>
    <row r="81" spans="2:14" ht="15" customHeight="1">
      <c r="E81" s="1160" t="s">
        <v>2264</v>
      </c>
      <c r="F81" s="1081"/>
      <c r="G81" s="1165">
        <f>G77*G80*G64</f>
        <v>4337500</v>
      </c>
    </row>
    <row r="82" spans="2:14" ht="15" customHeight="1">
      <c r="C82" s="1115"/>
      <c r="E82" s="1115"/>
    </row>
    <row r="83" spans="2:14" ht="15" customHeight="1">
      <c r="E83" s="1160" t="s">
        <v>2241</v>
      </c>
      <c r="G83" s="1165">
        <f>G81+G69+G65</f>
        <v>10583500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2286</v>
      </c>
      <c r="G87" s="1078" t="s">
        <v>553</v>
      </c>
      <c r="L87" s="2186" t="s">
        <v>2270</v>
      </c>
      <c r="M87" s="2187"/>
      <c r="N87" s="1173">
        <v>30000</v>
      </c>
    </row>
    <row r="88" spans="2:14" ht="15" customHeight="1">
      <c r="C88" s="1115" t="s">
        <v>2287</v>
      </c>
      <c r="G88" s="1119" t="str">
        <f>IF(Application!D211="Large Family","Yes","No")</f>
        <v>Yes</v>
      </c>
      <c r="L88" s="2180" t="s">
        <v>2234</v>
      </c>
      <c r="M88" s="2181"/>
      <c r="N88" s="1174">
        <v>20000</v>
      </c>
    </row>
    <row r="89" spans="2:14" ht="15" customHeight="1" thickBot="1">
      <c r="C89" s="1115" t="s">
        <v>2268</v>
      </c>
      <c r="G89" s="1078" t="s">
        <v>677</v>
      </c>
      <c r="L89" s="2182" t="s">
        <v>2271</v>
      </c>
      <c r="M89" s="2183"/>
      <c r="N89" s="1175">
        <v>10000</v>
      </c>
    </row>
    <row r="90" spans="2:14" ht="15" customHeight="1">
      <c r="C90" s="1115" t="s">
        <v>2269</v>
      </c>
      <c r="G90" s="1079" t="str">
        <f>Application!T193</f>
        <v>Highest Resource</v>
      </c>
    </row>
    <row r="91" spans="2:14" ht="15" customHeight="1">
      <c r="C91" s="1115"/>
    </row>
    <row r="92" spans="2:14" ht="15" customHeight="1">
      <c r="E92" s="1124" t="s">
        <v>2307</v>
      </c>
      <c r="G92" s="1117" t="b">
        <f>AND(COUNTIFS(G88:G89,"Yes")&gt;=1,G87="Yes")</f>
        <v>1</v>
      </c>
    </row>
    <row r="93" spans="2:14" ht="15" customHeight="1">
      <c r="E93" s="1124"/>
      <c r="G93" s="1117"/>
    </row>
    <row r="94" spans="2:14" ht="15" customHeight="1">
      <c r="E94" s="1124" t="s">
        <v>2243</v>
      </c>
      <c r="G94" s="1116">
        <f>IFERROR(INDEX(N87:N89,MATCH(LEFT(G90,17),L87:L89,0)),0)</f>
        <v>30000</v>
      </c>
    </row>
    <row r="95" spans="2:14" ht="15" customHeight="1">
      <c r="E95" s="1124" t="str">
        <f>E64</f>
        <v>Bedroom-Adjusted Low-Income Units</v>
      </c>
      <c r="F95" s="1155" t="s">
        <v>2300</v>
      </c>
      <c r="G95" s="1156">
        <f>G27</f>
        <v>173.5</v>
      </c>
    </row>
    <row r="96" spans="2:14" ht="15" customHeight="1">
      <c r="D96" s="1081"/>
      <c r="E96" s="1160" t="s">
        <v>2242</v>
      </c>
      <c r="F96" s="1081"/>
      <c r="G96" s="1165">
        <f>G95*G94*G92</f>
        <v>5205000</v>
      </c>
    </row>
    <row r="97" spans="2:9" ht="15" customHeight="1"/>
    <row r="98" spans="2:9" ht="15" customHeight="1">
      <c r="B98" s="1104" t="s">
        <v>2255</v>
      </c>
      <c r="C98" s="1105"/>
      <c r="D98" s="1105"/>
      <c r="E98" s="1105"/>
      <c r="F98" s="1105"/>
      <c r="G98" s="1105"/>
      <c r="H98" s="1105"/>
      <c r="I98" s="1106"/>
    </row>
    <row r="99" spans="2:9" ht="15" customHeight="1"/>
    <row r="100" spans="2:9" ht="15" customHeight="1">
      <c r="F100" s="1158" t="s">
        <v>2281</v>
      </c>
      <c r="G100" s="1078" t="s">
        <v>677</v>
      </c>
    </row>
    <row r="101" spans="2:9" ht="15" customHeight="1">
      <c r="F101" s="1158"/>
    </row>
    <row r="102" spans="2:9" ht="15" customHeight="1">
      <c r="E102" s="1124" t="s">
        <v>2307</v>
      </c>
      <c r="G102" s="1117" t="b">
        <f>G100="Yes"</f>
        <v>0</v>
      </c>
    </row>
    <row r="103" spans="2:9" ht="15" customHeight="1"/>
    <row r="104" spans="2:9" ht="15" customHeight="1">
      <c r="E104" s="1124" t="str">
        <f>E64</f>
        <v>Bedroom-Adjusted Low-Income Units</v>
      </c>
      <c r="G104" s="1156">
        <f>G27</f>
        <v>173.5</v>
      </c>
    </row>
    <row r="105" spans="2:9" ht="15" customHeight="1">
      <c r="E105" s="1124" t="s">
        <v>2243</v>
      </c>
      <c r="F105" s="1155" t="s">
        <v>2300</v>
      </c>
      <c r="G105" s="1085">
        <v>20000</v>
      </c>
    </row>
    <row r="106" spans="2:9" ht="15" customHeight="1">
      <c r="E106" s="1160" t="s">
        <v>2272</v>
      </c>
      <c r="F106" s="1081"/>
      <c r="G106" s="1165">
        <f>G102*G105*G104</f>
        <v>0</v>
      </c>
    </row>
    <row r="107" spans="2:9" ht="15" customHeight="1"/>
    <row r="108" spans="2:9" ht="15" customHeight="1">
      <c r="B108" s="1104" t="s">
        <v>2309</v>
      </c>
      <c r="C108" s="1105"/>
      <c r="D108" s="1105"/>
      <c r="E108" s="1105"/>
      <c r="F108" s="1105"/>
      <c r="G108" s="1105"/>
      <c r="H108" s="1105"/>
      <c r="I108" s="1106"/>
    </row>
    <row r="109" spans="2:9" ht="15" customHeight="1"/>
    <row r="110" spans="2:9" ht="15" customHeight="1">
      <c r="E110" s="1124" t="s">
        <v>590</v>
      </c>
      <c r="G110" s="1079" t="str">
        <f>IF(Application!T189="","",Application!T189)</f>
        <v>Sacramento</v>
      </c>
    </row>
    <row r="111" spans="2:9" ht="15" customHeight="1">
      <c r="E111" s="1124"/>
      <c r="G111" s="1116"/>
    </row>
    <row r="112" spans="2:9" ht="15" customHeight="1">
      <c r="E112" s="1124" t="str">
        <f>"2-Bedroom "&amp;G110&amp;" County Basis Limit"</f>
        <v>2-Bedroom Sacramento County Basis Limit</v>
      </c>
      <c r="G112" s="1116">
        <f>Application!R987</f>
        <v>461600</v>
      </c>
    </row>
    <row r="113" spans="4:9" ht="15" customHeight="1">
      <c r="E113" s="1124" t="s">
        <v>2308</v>
      </c>
      <c r="G113" s="1116">
        <f>MEDIAN((Application!BR806:BR863))</f>
        <v>489600</v>
      </c>
    </row>
    <row r="114" spans="4:9" ht="15" customHeight="1">
      <c r="D114" s="1081"/>
      <c r="E114" s="1160" t="s">
        <v>2310</v>
      </c>
      <c r="F114" s="1176"/>
      <c r="G114" s="1177">
        <f>((G112-G113)/G113)*0.25</f>
        <v>-1.4297385620915032E-2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Gregory Nestler</cp:lastModifiedBy>
  <cp:lastPrinted>2022-06-02T00:41:49Z</cp:lastPrinted>
  <dcterms:created xsi:type="dcterms:W3CDTF">2007-12-27T18:26:28Z</dcterms:created>
  <dcterms:modified xsi:type="dcterms:W3CDTF">2024-04-22T17:57:22Z</dcterms:modified>
</cp:coreProperties>
</file>