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Turk Street/Development/6 Financing/6.3 CDLAC/6.3.1 Application/2024 Apr - R1/Working/"/>
    </mc:Choice>
  </mc:AlternateContent>
  <xr:revisionPtr revIDLastSave="242" documentId="13_ncr:1_{1A28F330-3BDB-A34C-9A77-D693C97ED7CB}" xr6:coauthVersionLast="47" xr6:coauthVersionMax="47" xr10:uidLastSave="{0D850B1B-59D5-4928-95D3-DF4DDD2107B0}"/>
  <bookViews>
    <workbookView xWindow="-120" yWindow="-120"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9" i="3" l="1"/>
  <c r="AE54" i="7"/>
  <c r="AG54" i="7"/>
  <c r="E29" i="4"/>
  <c r="E30" i="4"/>
  <c r="H29" i="4"/>
  <c r="H10" i="4"/>
  <c r="AC893" i="3"/>
  <c r="AC890" i="3"/>
  <c r="AF627" i="3"/>
  <c r="AA946" i="3"/>
  <c r="AA918" i="3"/>
  <c r="AA917" i="3"/>
  <c r="T627" i="3"/>
  <c r="Q627" i="3"/>
  <c r="G53" i="7"/>
  <c r="S13" i="4"/>
  <c r="S99" i="4"/>
  <c r="S91" i="4"/>
  <c r="S92" i="4"/>
  <c r="S93" i="4"/>
  <c r="S94" i="4"/>
  <c r="S89" i="4"/>
  <c r="S86" i="4"/>
  <c r="S85" i="4"/>
  <c r="S84" i="4"/>
  <c r="S80" i="4"/>
  <c r="S79" i="4"/>
  <c r="S69" i="4"/>
  <c r="S47" i="4"/>
  <c r="S50" i="4"/>
  <c r="S51" i="4"/>
  <c r="S52" i="4"/>
  <c r="S43" i="4"/>
  <c r="S41" i="4"/>
  <c r="S40" i="4"/>
  <c r="S33" i="4"/>
  <c r="S35" i="4"/>
  <c r="S32" i="4"/>
  <c r="S31" i="4"/>
  <c r="E14" i="4"/>
  <c r="E13" i="4"/>
  <c r="E6" i="4"/>
  <c r="E99" i="4"/>
  <c r="E85" i="4"/>
  <c r="E86" i="4"/>
  <c r="E88" i="4"/>
  <c r="E89" i="4"/>
  <c r="E90" i="4"/>
  <c r="E91" i="4"/>
  <c r="E92" i="4"/>
  <c r="E93" i="4"/>
  <c r="E94" i="4"/>
  <c r="E84" i="4"/>
  <c r="E83" i="4"/>
  <c r="E80" i="4"/>
  <c r="E79" i="4"/>
  <c r="E75" i="4"/>
  <c r="E74" i="4"/>
  <c r="E69" i="4"/>
  <c r="E65" i="4"/>
  <c r="E61" i="4"/>
  <c r="E58" i="4"/>
  <c r="E56" i="4"/>
  <c r="E49" i="4"/>
  <c r="E50" i="4"/>
  <c r="E51" i="4"/>
  <c r="E52" i="4"/>
  <c r="E48" i="4"/>
  <c r="E46" i="4"/>
  <c r="E45" i="4"/>
  <c r="E43" i="4"/>
  <c r="E41" i="4"/>
  <c r="E40" i="4"/>
  <c r="E32" i="4"/>
  <c r="E33" i="4"/>
  <c r="E35" i="4"/>
  <c r="E37" i="4"/>
  <c r="E31" i="4"/>
  <c r="E4" i="4"/>
  <c r="F30" i="4"/>
  <c r="J99" i="4"/>
  <c r="I30" i="4"/>
  <c r="G30" i="4"/>
  <c r="C91" i="4"/>
  <c r="C30" i="4"/>
  <c r="C56" i="4"/>
  <c r="C65" i="4"/>
  <c r="C46" i="4"/>
  <c r="C49" i="4"/>
  <c r="C69" i="4"/>
  <c r="C45" i="4"/>
  <c r="C84" i="4"/>
  <c r="C32" i="4"/>
  <c r="C33" i="4" s="1"/>
  <c r="C6" i="4"/>
  <c r="AO640" i="3"/>
  <c r="AO632" i="3"/>
  <c r="AO631" i="3"/>
  <c r="AO630" i="3"/>
  <c r="AO629"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2" i="3"/>
  <c r="AH727"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9" i="11" s="1"/>
  <c r="C32" i="11"/>
  <c r="C33" i="11"/>
  <c r="C34" i="11"/>
  <c r="D34" i="11" s="1"/>
  <c r="C35" i="11"/>
  <c r="C36" i="11"/>
  <c r="C37" i="11"/>
  <c r="C38" i="11"/>
  <c r="B31" i="11"/>
  <c r="B32" i="11"/>
  <c r="B33" i="11"/>
  <c r="B34" i="11"/>
  <c r="B39" i="11" s="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R91" i="4"/>
  <c r="R84" i="4"/>
  <c r="B59" i="4"/>
  <c r="C80" i="11"/>
  <c r="C81" i="11"/>
  <c r="D81"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R77" i="4" s="1"/>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S30" i="4" s="1"/>
  <c r="R29" i="4"/>
  <c r="S29" i="4" s="1"/>
  <c r="E29" i="13" s="1"/>
  <c r="R27" i="4"/>
  <c r="R25" i="4"/>
  <c r="R23" i="4"/>
  <c r="R22" i="4"/>
  <c r="R21" i="4"/>
  <c r="R20" i="4"/>
  <c r="R19" i="4"/>
  <c r="R18" i="4"/>
  <c r="R17" i="4"/>
  <c r="R15" i="4"/>
  <c r="R14" i="4"/>
  <c r="R13" i="4"/>
  <c r="R9" i="4"/>
  <c r="R7" i="4"/>
  <c r="R6" i="4"/>
  <c r="R5" i="4"/>
  <c r="R4" i="4"/>
  <c r="B5" i="11"/>
  <c r="D5" i="11" s="1"/>
  <c r="C5" i="11"/>
  <c r="B6" i="11"/>
  <c r="C6" i="11"/>
  <c r="B7" i="11"/>
  <c r="C7" i="11"/>
  <c r="C8" i="11"/>
  <c r="B8" i="11"/>
  <c r="B10" i="11"/>
  <c r="B11" i="11"/>
  <c r="C10" i="11"/>
  <c r="C11" i="11"/>
  <c r="D11" i="11" s="1"/>
  <c r="B14" i="11"/>
  <c r="C14" i="11"/>
  <c r="D14" i="11" s="1"/>
  <c r="B15" i="11"/>
  <c r="C15" i="11"/>
  <c r="B16" i="11"/>
  <c r="C16" i="11"/>
  <c r="B18" i="11"/>
  <c r="C18" i="11"/>
  <c r="B19" i="11"/>
  <c r="C19" i="11"/>
  <c r="B20" i="11"/>
  <c r="C20" i="11"/>
  <c r="B21" i="11"/>
  <c r="C21" i="11"/>
  <c r="B22" i="11"/>
  <c r="C22" i="11"/>
  <c r="B23" i="11"/>
  <c r="C23" i="11"/>
  <c r="B24" i="11"/>
  <c r="B28" i="11"/>
  <c r="C28" i="11"/>
  <c r="B30" i="11"/>
  <c r="D30" i="11" s="1"/>
  <c r="C30" i="11"/>
  <c r="D33" i="11"/>
  <c r="B41" i="11"/>
  <c r="B43" i="11" s="1"/>
  <c r="C41" i="11"/>
  <c r="C42" i="11"/>
  <c r="C43" i="11" s="1"/>
  <c r="B42" i="11"/>
  <c r="B44" i="11"/>
  <c r="C44" i="11"/>
  <c r="B46" i="11"/>
  <c r="C46" i="11"/>
  <c r="B47" i="11"/>
  <c r="C47" i="11"/>
  <c r="B48" i="11"/>
  <c r="B49" i="11"/>
  <c r="B50" i="11"/>
  <c r="B51" i="11"/>
  <c r="D51" i="11"/>
  <c r="B52" i="11"/>
  <c r="B53" i="11"/>
  <c r="C48" i="11"/>
  <c r="C49" i="11"/>
  <c r="D49" i="11" s="1"/>
  <c r="C50" i="11"/>
  <c r="C51" i="11"/>
  <c r="C52" i="11"/>
  <c r="C53" i="11"/>
  <c r="B57" i="11"/>
  <c r="C57" i="11"/>
  <c r="B58" i="11"/>
  <c r="C58" i="11"/>
  <c r="B59" i="11"/>
  <c r="C59" i="11"/>
  <c r="B60" i="11"/>
  <c r="C60" i="11"/>
  <c r="B61" i="11"/>
  <c r="C61" i="11"/>
  <c r="B62" i="11"/>
  <c r="B63" i="11" s="1"/>
  <c r="C62" i="11"/>
  <c r="B66" i="11"/>
  <c r="B71" i="11" s="1"/>
  <c r="C66" i="11"/>
  <c r="B73" i="11"/>
  <c r="C73" i="11"/>
  <c r="B74" i="11"/>
  <c r="C74" i="11"/>
  <c r="B75" i="11"/>
  <c r="C75" i="11"/>
  <c r="D75" i="11" s="1"/>
  <c r="B76" i="11"/>
  <c r="B78" i="11" s="1"/>
  <c r="C76" i="11"/>
  <c r="B77" i="11"/>
  <c r="C77" i="11"/>
  <c r="B84" i="11"/>
  <c r="C84" i="11"/>
  <c r="B100" i="11"/>
  <c r="B105" i="11" s="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4" s="1"/>
  <c r="C54" i="4"/>
  <c r="B54" i="4" s="1"/>
  <c r="C62" i="4"/>
  <c r="B62" i="13" s="1"/>
  <c r="C77" i="4"/>
  <c r="B77" i="13"/>
  <c r="C96" i="4"/>
  <c r="B96" i="13"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Q63" i="4" s="1"/>
  <c r="Q97" i="4" s="1"/>
  <c r="Q105" i="4" s="1"/>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50" i="11"/>
  <c r="I63" i="13"/>
  <c r="I97" i="13"/>
  <c r="I105" i="13"/>
  <c r="I107" i="13"/>
  <c r="B81" i="13"/>
  <c r="D53" i="11"/>
  <c r="J63" i="13"/>
  <c r="J97" i="13"/>
  <c r="J105" i="13"/>
  <c r="J107" i="13"/>
  <c r="L12" i="4"/>
  <c r="D48" i="11"/>
  <c r="D93" i="11"/>
  <c r="D70" i="11"/>
  <c r="D80" i="11"/>
  <c r="I12" i="4"/>
  <c r="G12" i="4"/>
  <c r="D46" i="11"/>
  <c r="D6" i="11"/>
  <c r="L63" i="4"/>
  <c r="L97" i="4"/>
  <c r="L105" i="4"/>
  <c r="Q12" i="4"/>
  <c r="O63" i="4"/>
  <c r="O97" i="4"/>
  <c r="O105" i="4"/>
  <c r="D18" i="11"/>
  <c r="D10" i="11"/>
  <c r="D36" i="11"/>
  <c r="G63" i="13"/>
  <c r="G97" i="13"/>
  <c r="G105" i="13"/>
  <c r="G107" i="13"/>
  <c r="D61" i="11"/>
  <c r="D20" i="11"/>
  <c r="D8" i="11"/>
  <c r="D85" i="11"/>
  <c r="D102" i="11"/>
  <c r="K12" i="4"/>
  <c r="C12" i="13"/>
  <c r="D63" i="4"/>
  <c r="D97" i="4"/>
  <c r="D105" i="4"/>
  <c r="D7" i="11"/>
  <c r="J12" i="4"/>
  <c r="D22" i="11"/>
  <c r="O12" i="4"/>
  <c r="I63" i="4"/>
  <c r="I97" i="4" s="1"/>
  <c r="I105" i="4" s="1"/>
  <c r="D95" i="11"/>
  <c r="D25" i="11"/>
  <c r="B82" i="11"/>
  <c r="B11" i="13"/>
  <c r="D12" i="4"/>
  <c r="H12" i="4"/>
  <c r="C82" i="11"/>
  <c r="D82" i="11" s="1"/>
  <c r="D23" i="11"/>
  <c r="D19" i="11"/>
  <c r="D89" i="11"/>
  <c r="D73" i="11"/>
  <c r="D44" i="11"/>
  <c r="D35" i="11"/>
  <c r="D32" i="11"/>
  <c r="D15" i="11"/>
  <c r="D63" i="13"/>
  <c r="D97" i="13"/>
  <c r="D105" i="13"/>
  <c r="D87" i="11"/>
  <c r="N63" i="4"/>
  <c r="N97" i="4"/>
  <c r="N105" i="4"/>
  <c r="N12" i="4"/>
  <c r="H63" i="4"/>
  <c r="H97" i="4" s="1"/>
  <c r="H105" i="4" s="1"/>
  <c r="F12" i="4"/>
  <c r="D60" i="11"/>
  <c r="M12" i="4"/>
  <c r="R8" i="4"/>
  <c r="D84" i="11"/>
  <c r="D74" i="11"/>
  <c r="D59" i="11"/>
  <c r="D38" i="11"/>
  <c r="R42" i="4"/>
  <c r="P63" i="4"/>
  <c r="P97" i="4"/>
  <c r="P105" i="4"/>
  <c r="C9" i="11"/>
  <c r="D12" i="13"/>
  <c r="D58" i="11"/>
  <c r="D62" i="11"/>
  <c r="D24" i="11"/>
  <c r="D101" i="11"/>
  <c r="D90" i="11"/>
  <c r="R62" i="4"/>
  <c r="C63" i="13"/>
  <c r="C97" i="13"/>
  <c r="C105" i="13"/>
  <c r="D28" i="11"/>
  <c r="D103" i="11"/>
  <c r="D88" i="11"/>
  <c r="C78" i="11"/>
  <c r="D21" i="11"/>
  <c r="D16" i="11"/>
  <c r="B12" i="11"/>
  <c r="R26" i="4"/>
  <c r="D86" i="11"/>
  <c r="F63" i="13"/>
  <c r="F97" i="13"/>
  <c r="F105" i="13"/>
  <c r="F107" i="13"/>
  <c r="AD199" i="20"/>
  <c r="D77" i="11"/>
  <c r="D47" i="11"/>
  <c r="C71" i="11"/>
  <c r="M63" i="4"/>
  <c r="M97" i="4"/>
  <c r="M105" i="4"/>
  <c r="R104" i="4"/>
  <c r="G63" i="4"/>
  <c r="G97" i="4"/>
  <c r="G105" i="4" s="1"/>
  <c r="D91" i="11"/>
  <c r="J63" i="4"/>
  <c r="J97" i="4"/>
  <c r="J105" i="4"/>
  <c r="C12" i="11"/>
  <c r="D12" i="11" s="1"/>
  <c r="D104" i="11"/>
  <c r="T63" i="4"/>
  <c r="T97" i="4"/>
  <c r="H63" i="13"/>
  <c r="T105" i="4"/>
  <c r="H97" i="13"/>
  <c r="D96" i="11"/>
  <c r="T107" i="4"/>
  <c r="H105" i="13"/>
  <c r="H107" i="13"/>
  <c r="AD11" i="15"/>
  <c r="AZ846" i="3"/>
  <c r="C63" i="11" l="1"/>
  <c r="R54" i="4"/>
  <c r="R11" i="4"/>
  <c r="R12" i="4" s="1"/>
  <c r="K53" i="7"/>
  <c r="I58" i="7"/>
  <c r="G58" i="7"/>
  <c r="S63" i="4"/>
  <c r="S97" i="4" s="1"/>
  <c r="E38" i="13"/>
  <c r="R38" i="4"/>
  <c r="E63" i="4"/>
  <c r="E97" i="4" s="1"/>
  <c r="E105" i="4" s="1"/>
  <c r="D57" i="11"/>
  <c r="D66" i="11"/>
  <c r="D63" i="11"/>
  <c r="C55" i="11"/>
  <c r="B55" i="11"/>
  <c r="B64" i="11" s="1"/>
  <c r="D52" i="11"/>
  <c r="B62" i="4"/>
  <c r="B63" i="4" s="1"/>
  <c r="B54" i="13"/>
  <c r="B96" i="4"/>
  <c r="D71" i="11"/>
  <c r="B97" i="11"/>
  <c r="D78" i="11"/>
  <c r="D76" i="11"/>
  <c r="D100" i="11"/>
  <c r="C97" i="11"/>
  <c r="D94" i="11"/>
  <c r="D43" i="11"/>
  <c r="D41" i="11"/>
  <c r="D42" i="11"/>
  <c r="B42" i="13"/>
  <c r="B38" i="13"/>
  <c r="D39" i="11"/>
  <c r="D31" i="11"/>
  <c r="C13" i="11"/>
  <c r="C12" i="4"/>
  <c r="B12" i="13" s="1"/>
  <c r="B9" i="11"/>
  <c r="B13" i="11" s="1"/>
  <c r="B8" i="4"/>
  <c r="AH728" i="3"/>
  <c r="G67" i="21"/>
  <c r="AH735" i="3"/>
  <c r="AH734" i="3"/>
  <c r="AH733" i="3"/>
  <c r="AH731" i="3"/>
  <c r="AH730" i="3"/>
  <c r="AH729" i="3"/>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P24" i="21" a="1"/>
  <c r="P24" i="21" s="1"/>
  <c r="O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R29" i="21"/>
  <c r="S38" i="21"/>
  <c r="S29" i="21"/>
  <c r="S20" i="21"/>
  <c r="P38" i="21" a="1"/>
  <c r="P38" i="21" s="1"/>
  <c r="P29" i="21" a="1"/>
  <c r="P29"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24" i="21"/>
  <c r="T25" i="21"/>
  <c r="O43" i="21"/>
  <c r="Q24" i="21" a="1"/>
  <c r="Q24" i="21" s="1"/>
  <c r="E25" i="21"/>
  <c r="J40" i="8"/>
  <c r="Z809" i="3" s="1"/>
  <c r="G53" i="21"/>
  <c r="E24" i="21"/>
  <c r="E22" i="21"/>
  <c r="F22" i="21" s="1"/>
  <c r="G40" i="8"/>
  <c r="I15" i="7"/>
  <c r="E26" i="21"/>
  <c r="E23" i="21"/>
  <c r="F23" i="21" s="1"/>
  <c r="G23" i="21" s="1"/>
  <c r="R63" i="4" l="1"/>
  <c r="R97" i="4" s="1"/>
  <c r="R105" i="4" s="1"/>
  <c r="K58" i="7"/>
  <c r="M53" i="7"/>
  <c r="E63" i="13"/>
  <c r="E97" i="13"/>
  <c r="S105" i="4"/>
  <c r="E105" i="13" s="1"/>
  <c r="D55" i="11"/>
  <c r="D97" i="11"/>
  <c r="B98" i="11"/>
  <c r="B106" i="11" s="1"/>
  <c r="C97" i="4"/>
  <c r="C105" i="4" s="1"/>
  <c r="AC455" i="3" s="1"/>
  <c r="N187" i="27"/>
  <c r="N193" i="27" s="1"/>
  <c r="B12" i="4"/>
  <c r="D13" i="11"/>
  <c r="D9" i="11"/>
  <c r="AY1004" i="3"/>
  <c r="DX635" i="3"/>
  <c r="BH702" i="3"/>
  <c r="BH701" i="3"/>
  <c r="BI701" i="3" s="1"/>
  <c r="BU669" i="3"/>
  <c r="BU677" i="3"/>
  <c r="BV677" i="3" s="1"/>
  <c r="BU685" i="3"/>
  <c r="BU693" i="3"/>
  <c r="BU702" i="3"/>
  <c r="BV702" i="3" s="1"/>
  <c r="BU670" i="3"/>
  <c r="BV670" i="3" s="1"/>
  <c r="BU678" i="3"/>
  <c r="BV678" i="3" s="1"/>
  <c r="BU686" i="3"/>
  <c r="BV686" i="3" s="1"/>
  <c r="BU694" i="3"/>
  <c r="BU668" i="3"/>
  <c r="BV668" i="3" s="1"/>
  <c r="BU671" i="3"/>
  <c r="BU679" i="3"/>
  <c r="BV679" i="3" s="1"/>
  <c r="BU687" i="3"/>
  <c r="BV687" i="3" s="1"/>
  <c r="BU695" i="3"/>
  <c r="BV695" i="3" s="1"/>
  <c r="BU681" i="3"/>
  <c r="BV681" i="3" s="1"/>
  <c r="BU689" i="3"/>
  <c r="BU698" i="3"/>
  <c r="BU684" i="3"/>
  <c r="BU700" i="3"/>
  <c r="BU672" i="3"/>
  <c r="BV672" i="3" s="1"/>
  <c r="BU680" i="3"/>
  <c r="BV680" i="3" s="1"/>
  <c r="BU688" i="3"/>
  <c r="BV688" i="3" s="1"/>
  <c r="BU696" i="3"/>
  <c r="BV696" i="3" s="1"/>
  <c r="BU673" i="3"/>
  <c r="BU697" i="3"/>
  <c r="BU674" i="3"/>
  <c r="BV674" i="3" s="1"/>
  <c r="BU682" i="3"/>
  <c r="BU690" i="3"/>
  <c r="BV690" i="3" s="1"/>
  <c r="BU676" i="3"/>
  <c r="BV676" i="3" s="1"/>
  <c r="BU692" i="3"/>
  <c r="BV692" i="3" s="1"/>
  <c r="BU675" i="3"/>
  <c r="BV675" i="3" s="1"/>
  <c r="BU683" i="3"/>
  <c r="BU691" i="3"/>
  <c r="BU699" i="3"/>
  <c r="BV699" i="3" s="1"/>
  <c r="BH674" i="3"/>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BI702" i="3"/>
  <c r="BV691" i="3"/>
  <c r="AX683" i="20"/>
  <c r="AY684" i="20" s="1"/>
  <c r="I14" i="21"/>
  <c r="BV698" i="3"/>
  <c r="BV694" i="3"/>
  <c r="BV700" i="3"/>
  <c r="BV693"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6" i="21" s="1"/>
  <c r="P36" i="21" s="1" a="1"/>
  <c r="P36" i="21" s="1"/>
  <c r="R36" i="21" s="1"/>
  <c r="DX649" i="3"/>
  <c r="DX640" i="3"/>
  <c r="DX642" i="3"/>
  <c r="DX641" i="3"/>
  <c r="DX656" i="3"/>
  <c r="DX652" i="3"/>
  <c r="DX647" i="3"/>
  <c r="DX655" i="3"/>
  <c r="DX644" i="3"/>
  <c r="DX654" i="3"/>
  <c r="DX648" i="3"/>
  <c r="CM633" i="3"/>
  <c r="DX651" i="3"/>
  <c r="DX638" i="3"/>
  <c r="DX650" i="3"/>
  <c r="DX643" i="3"/>
  <c r="EH653" i="3"/>
  <c r="BV684" i="3"/>
  <c r="BV685" i="3"/>
  <c r="BV669"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74" i="3"/>
  <c r="BI686" i="3"/>
  <c r="EH637" i="3"/>
  <c r="DR657" i="3"/>
  <c r="EM632" i="3"/>
  <c r="EM635" i="3"/>
  <c r="BI676" i="3"/>
  <c r="EM643" i="3"/>
  <c r="E6" i="7"/>
  <c r="K15" i="7"/>
  <c r="I22" i="7"/>
  <c r="I35" i="7" s="1"/>
  <c r="E27" i="21"/>
  <c r="G22" i="21"/>
  <c r="M58" i="7" l="1"/>
  <c r="O53" i="7"/>
  <c r="S107" i="4"/>
  <c r="AF540" i="20" s="1"/>
  <c r="AC456" i="3"/>
  <c r="B97" i="13"/>
  <c r="B105" i="4"/>
  <c r="AC454" i="3" s="1"/>
  <c r="F457" i="3" s="1"/>
  <c r="AG258" i="20"/>
  <c r="B105" i="13"/>
  <c r="O37" i="21"/>
  <c r="P37" i="21" s="1" a="1"/>
  <c r="P37" i="21" s="1"/>
  <c r="R37" i="21" s="1"/>
  <c r="O33" i="21"/>
  <c r="P33" i="21" s="1" a="1"/>
  <c r="P33" i="21" s="1"/>
  <c r="R33" i="21" s="1"/>
  <c r="O35" i="21"/>
  <c r="P35" i="21" s="1" a="1"/>
  <c r="P35" i="21" s="1"/>
  <c r="R35" i="21" s="1"/>
  <c r="O30" i="21"/>
  <c r="P30" i="21" s="1" a="1"/>
  <c r="P30" i="21" s="1"/>
  <c r="R30" i="21" s="1"/>
  <c r="O32" i="21"/>
  <c r="P32" i="21" s="1" a="1"/>
  <c r="P32" i="21" s="1"/>
  <c r="R32" i="21" s="1"/>
  <c r="O31" i="21"/>
  <c r="P31" i="21" s="1" a="1"/>
  <c r="P31" i="21" s="1"/>
  <c r="R31" i="21" s="1"/>
  <c r="O25" i="21"/>
  <c r="P25" i="21" s="1" a="1"/>
  <c r="P25" i="21" s="1"/>
  <c r="R25" i="21" s="1"/>
  <c r="O28" i="21"/>
  <c r="P28" i="21" s="1" a="1"/>
  <c r="P28" i="21" s="1"/>
  <c r="R28" i="21" s="1"/>
  <c r="O27" i="21"/>
  <c r="P27" i="21" s="1" a="1"/>
  <c r="P27" i="21" s="1"/>
  <c r="R27" i="21" s="1"/>
  <c r="O26" i="21"/>
  <c r="P26" i="21" s="1" a="1"/>
  <c r="P26" i="21" s="1"/>
  <c r="R26"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7" i="13" l="1"/>
  <c r="O58" i="7"/>
  <c r="Q53" i="7"/>
  <c r="T11" i="15"/>
  <c r="T23" i="15" s="1"/>
  <c r="T26" i="15" s="1"/>
  <c r="T28" i="15" s="1"/>
  <c r="Y11" i="15"/>
  <c r="Y23" i="15" s="1"/>
  <c r="Y26" i="15" s="1"/>
  <c r="Y28" i="15" s="1"/>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N194" i="27" l="1"/>
  <c r="Q58" i="7"/>
  <c r="S53" i="7"/>
  <c r="T29" i="15"/>
  <c r="Y64" i="15"/>
  <c r="Y68" i="15" s="1"/>
  <c r="B1059" i="3"/>
  <c r="AJ1048" i="3"/>
  <c r="AP542" i="20" s="1"/>
  <c r="AP539" i="20"/>
  <c r="K4" i="7"/>
  <c r="M4" i="7" s="1"/>
  <c r="E45" i="7"/>
  <c r="E48" i="7" s="1"/>
  <c r="G45" i="7"/>
  <c r="G49" i="7"/>
  <c r="K6" i="7"/>
  <c r="I7" i="7"/>
  <c r="I11" i="7" s="1"/>
  <c r="I37" i="7" s="1"/>
  <c r="G24" i="21"/>
  <c r="F27" i="21"/>
  <c r="G27" i="21"/>
  <c r="O22" i="7"/>
  <c r="O35" i="7" s="1"/>
  <c r="Q15" i="7"/>
  <c r="O9" i="7"/>
  <c r="Q8" i="7"/>
  <c r="S58" i="7" l="1"/>
  <c r="U53" i="7"/>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P546" i="20"/>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E58" i="7" s="1"/>
  <c r="AC60" i="7"/>
  <c r="AC48" i="7"/>
  <c r="AC47" i="7"/>
  <c r="AA66" i="7"/>
  <c r="AA67" i="7"/>
  <c r="AA62" i="7"/>
  <c r="AA70" i="7" l="1"/>
  <c r="AA72" i="7" s="1"/>
  <c r="AC66" i="7"/>
  <c r="AC62" i="7"/>
  <c r="AC67" i="7"/>
  <c r="AE47" i="7"/>
  <c r="AE60" i="7"/>
  <c r="AE48" i="7"/>
  <c r="AG49" i="7"/>
  <c r="AG45" i="7"/>
  <c r="AG58" i="7" s="1"/>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<sst xmlns="http://schemas.openxmlformats.org/spreadsheetml/2006/main" count="5337" uniqueCount="2785">
  <si>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</si>
  <si>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</si>
  <si>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</si>
  <si>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</si>
  <si>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</si>
  <si>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</si>
  <si>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</si>
  <si>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</si>
  <si>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</si>
  <si>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</si>
  <si>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</si>
  <si>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</si>
  <si>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</si>
  <si>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</si>
  <si>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</si>
  <si>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</si>
  <si>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</si>
  <si>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</si>
  <si>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</si>
  <si>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</si>
  <si>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</si>
  <si>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</si>
  <si>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</si>
  <si>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</si>
  <si>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</si>
  <si>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</si>
  <si>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</si>
  <si>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</si>
  <si>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</si>
  <si>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</si>
  <si>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</si>
  <si>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</si>
  <si>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</si>
  <si>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</si>
  <si>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</si>
  <si>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</si>
  <si>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</si>
  <si>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</si>
  <si>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</si>
  <si>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</si>
  <si>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</si>
  <si>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</si>
  <si>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</si>
  <si>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</si>
  <si>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</si>
  <si>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</si>
  <si>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</si>
  <si>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</si>
  <si>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</si>
  <si>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</si>
  <si>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</si>
  <si>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</si>
  <si>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</si>
  <si>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</si>
  <si>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</si>
  <si>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</si>
  <si>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</si>
  <si>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</si>
  <si>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</si>
  <si>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</si>
  <si>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</si>
  <si>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</si>
  <si>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</si>
  <si>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</si>
  <si>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</si>
  <si>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</si>
  <si>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</si>
  <si>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</si>
  <si>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</si>
  <si>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</si>
  <si>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</si>
  <si>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</si>
  <si>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</si>
  <si>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</si>
  <si>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</si>
  <si>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</si>
  <si>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</si>
  <si>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</si>
  <si>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</si>
  <si>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</si>
  <si>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</si>
  <si>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</si>
  <si>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</si>
  <si>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</si>
  <si>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</si>
  <si>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</si>
  <si>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</si>
  <si>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</si>
  <si>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</si>
  <si>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</si>
  <si>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</si>
  <si>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</si>
  <si>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</si>
  <si>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</si>
  <si>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</si>
  <si>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</si>
  <si>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</si>
  <si>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</si>
  <si>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</si>
  <si>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</si>
  <si>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</si>
  <si>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</si>
  <si>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</si>
  <si>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</si>
  <si>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</si>
  <si>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</si>
  <si>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</si>
  <si>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</si>
  <si>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</si>
  <si>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</si>
  <si>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</si>
  <si>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</si>
  <si>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</si>
  <si>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</si>
  <si>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</si>
  <si>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</si>
  <si>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</si>
  <si>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</si>
  <si>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</si>
  <si>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</si>
  <si>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</si>
  <si>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</si>
  <si>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</si>
  <si>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</si>
  <si>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</si>
  <si>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</si>
  <si>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</si>
  <si>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</si>
  <si>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</si>
  <si>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</si>
  <si>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</si>
  <si>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</si>
  <si>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</si>
  <si>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</si>
  <si>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</si>
  <si>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</si>
  <si>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</si>
  <si>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</si>
  <si>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</si>
  <si>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</si>
  <si>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</si>
  <si>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</si>
  <si>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</si>
  <si>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</si>
  <si>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</si>
  <si>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</si>
  <si>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</si>
  <si>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</si>
  <si>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</si>
  <si>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</si>
  <si>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</si>
  <si>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</si>
  <si>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</si>
  <si>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</si>
  <si>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</si>
  <si>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</si>
  <si>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</si>
  <si>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</si>
  <si>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</si>
  <si>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</si>
  <si>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</si>
  <si>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</si>
  <si>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</si>
  <si>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</si>
  <si>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</si>
  <si>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</si>
  <si>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</si>
  <si>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</si>
  <si>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</si>
  <si>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</si>
  <si>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</si>
  <si>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</si>
  <si>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</si>
  <si>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</si>
  <si>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</si>
  <si>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</si>
  <si>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</si>
  <si>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</si>
  <si>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</si>
  <si>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</si>
  <si>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</si>
  <si>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</si>
  <si>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</si>
  <si>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</si>
  <si>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</si>
  <si>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</si>
  <si>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</si>
  <si>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</si>
  <si>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</si>
  <si>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</si>
  <si>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</si>
  <si>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</si>
  <si>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</si>
  <si>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</si>
  <si>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</si>
  <si>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</si>
  <si>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</si>
  <si>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</si>
  <si>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</si>
  <si>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</si>
  <si>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</si>
  <si>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</si>
  <si>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</si>
  <si>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</si>
  <si>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</si>
  <si>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</si>
  <si>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</si>
  <si>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</si>
  <si>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</si>
  <si>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</si>
  <si>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</si>
  <si>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</si>
  <si>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</si>
  <si>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</si>
  <si>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</si>
  <si>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</si>
  <si>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</si>
  <si>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</si>
  <si>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</si>
  <si>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</si>
  <si>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</si>
  <si>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</si>
  <si>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</si>
  <si>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</si>
  <si>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</si>
  <si>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</si>
  <si>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</si>
  <si>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</si>
  <si>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</si>
  <si>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</si>
  <si>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</si>
  <si>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</si>
  <si>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</si>
  <si>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</si>
  <si>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</si>
  <si>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</si>
  <si>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</si>
  <si>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</si>
  <si>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</si>
  <si>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</si>
  <si>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</si>
  <si>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</si>
  <si>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</si>
  <si>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</si>
  <si>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</si>
  <si>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</si>
  <si>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</si>
  <si>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</si>
  <si>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</si>
  <si>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</si>
  <si>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</si>
  <si>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</si>
  <si>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</si>
  <si>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</si>
  <si>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</si>
  <si>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</si>
  <si>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</si>
  <si>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</si>
  <si>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</si>
  <si>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</si>
  <si>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</si>
  <si>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</si>
  <si>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</si>
  <si>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</si>
  <si>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</si>
  <si>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</si>
  <si>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</si>
  <si>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</si>
  <si>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</si>
  <si>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</si>
  <si>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</si>
  <si>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</si>
  <si>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</si>
  <si>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</si>
  <si>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</si>
  <si>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</si>
  <si>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</si>
  <si>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</si>
  <si>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</si>
  <si>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</si>
  <si>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</si>
  <si>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</si>
  <si>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</si>
  <si>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</si>
  <si>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</si>
  <si>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</si>
  <si>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</si>
  <si>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</si>
  <si>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</si>
  <si>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</si>
  <si>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</si>
  <si>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</si>
  <si>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</si>
  <si>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</si>
  <si>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</si>
  <si>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</si>
  <si>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</si>
  <si>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</si>
  <si>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</si>
  <si>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</si>
  <si>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</si>
  <si>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</si>
  <si>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</si>
  <si>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</si>
  <si>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</si>
  <si>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</si>
  <si>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</si>
  <si>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</si>
  <si>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</si>
  <si>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</si>
  <si>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</si>
  <si>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</si>
  <si>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</si>
  <si>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</si>
  <si>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</si>
  <si>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</si>
  <si>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</si>
  <si>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</si>
  <si>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</si>
  <si>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</si>
  <si>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</si>
  <si>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</si>
  <si>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</si>
  <si>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</si>
  <si>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</si>
  <si>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</si>
  <si>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</si>
  <si>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</si>
  <si>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</si>
  <si>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</si>
  <si>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</si>
  <si>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</si>
  <si>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</si>
  <si>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</si>
  <si>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</si>
  <si>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</si>
  <si>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</si>
  <si>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</si>
  <si>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</si>
  <si>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</si>
  <si>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</si>
  <si>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</si>
  <si>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</si>
  <si>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</si>
  <si>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</si>
  <si>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</si>
  <si>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</si>
  <si>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</si>
  <si>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</si>
  <si>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</si>
  <si>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</si>
  <si>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</si>
  <si>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</si>
  <si>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</si>
  <si>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</si>
  <si>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</si>
  <si>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</si>
  <si>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</si>
  <si>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</si>
  <si>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</si>
  <si>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</si>
  <si>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</si>
  <si>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</si>
  <si>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</si>
  <si>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</si>
  <si>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</si>
  <si>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</si>
  <si>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</si>
  <si>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</si>
  <si>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</si>
  <si>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</si>
  <si>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</si>
  <si>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</si>
  <si>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</si>
  <si>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</si>
  <si>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</si>
  <si>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</si>
  <si>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</si>
  <si>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</si>
  <si>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</si>
  <si>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</si>
  <si>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</si>
  <si>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</si>
  <si>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</si>
  <si>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</si>
  <si>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</si>
  <si>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</si>
  <si>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</si>
  <si>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</si>
  <si>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</si>
  <si>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</si>
  <si>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</si>
  <si>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</si>
  <si>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</si>
  <si>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</si>
  <si>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</si>
  <si>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</si>
  <si>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</si>
  <si>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</si>
  <si>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</si>
  <si>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</si>
  <si>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</si>
  <si>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</si>
  <si>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</si>
  <si>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</si>
  <si>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</si>
  <si>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</si>
  <si>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</si>
  <si>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</si>
  <si>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</si>
  <si>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</si>
  <si>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</si>
  <si>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</si>
  <si>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</si>
  <si>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</si>
  <si>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</si>
  <si>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</si>
  <si>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</si>
  <si>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</si>
  <si>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</si>
  <si>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</si>
  <si>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</si>
  <si>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</si>
  <si>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</si>
  <si>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</si>
  <si>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</si>
  <si>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</si>
  <si>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</si>
  <si>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</si>
  <si>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</si>
  <si>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</si>
  <si>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</si>
  <si>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</si>
  <si>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</si>
  <si>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</si>
  <si>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</si>
  <si>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</si>
  <si>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</si>
  <si>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</si>
  <si>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</si>
  <si>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</si>
  <si>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</si>
  <si>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</si>
  <si>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</si>
  <si>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</si>
  <si>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</si>
  <si>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</si>
  <si>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</si>
  <si>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</si>
  <si>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</si>
  <si>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</si>
  <si>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</si>
  <si>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</si>
  <si>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</si>
  <si>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</si>
  <si>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</si>
  <si>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</si>
  <si>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</si>
  <si>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</si>
  <si>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</si>
  <si>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</si>
  <si>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</si>
  <si>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</si>
  <si>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</si>
  <si>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</si>
  <si>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</si>
  <si>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</si>
  <si>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</si>
  <si>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</si>
  <si>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</si>
  <si>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</si>
  <si>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</si>
  <si>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</si>
  <si>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</si>
  <si>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</si>
  <si>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</si>
  <si>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</si>
  <si>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</si>
  <si>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</si>
  <si>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</si>
  <si>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</si>
  <si>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</si>
  <si>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</si>
  <si>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</si>
  <si>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</si>
  <si>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</si>
  <si>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</si>
  <si>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</si>
  <si>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</si>
  <si>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</si>
  <si>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</si>
  <si>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</si>
  <si>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</si>
  <si>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</si>
  <si>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</si>
  <si>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</si>
  <si>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</si>
  <si>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</si>
  <si>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</si>
  <si>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</si>
  <si>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</si>
  <si>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</si>
  <si>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</si>
  <si>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</si>
  <si>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</si>
  <si>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</si>
  <si>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</si>
  <si>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</si>
  <si>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</si>
  <si>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</si>
  <si>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</si>
  <si>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</si>
  <si>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</si>
  <si>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</si>
  <si>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</si>
  <si>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</si>
  <si>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</si>
  <si>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</si>
  <si>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</si>
  <si>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</si>
  <si>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</si>
  <si>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</si>
  <si>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</si>
  <si>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</si>
  <si>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</si>
  <si>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</si>
  <si>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</si>
  <si>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</si>
  <si>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</si>
  <si>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</si>
  <si>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</si>
  <si>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</si>
  <si>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</si>
  <si>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</si>
  <si>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</si>
  <si>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</si>
  <si>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</si>
  <si>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</si>
  <si>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</si>
  <si>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</si>
  <si>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</si>
  <si>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</si>
  <si>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</si>
  <si>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</si>
  <si>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</si>
  <si>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</si>
  <si>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</si>
  <si>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</si>
  <si>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</si>
  <si>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</si>
  <si>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</si>
  <si>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</si>
  <si>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</si>
  <si>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</si>
  <si>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</si>
  <si>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</si>
  <si>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</si>
  <si>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</si>
  <si>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</si>
  <si>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</si>
  <si>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</si>
  <si>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</si>
  <si>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</si>
  <si>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</si>
  <si>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</si>
  <si>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</si>
  <si>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</si>
  <si>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</si>
  <si>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</si>
  <si>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</si>
  <si>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</si>
  <si>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</si>
  <si>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</si>
  <si>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</si>
  <si>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</si>
  <si>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</si>
  <si>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</si>
  <si>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</si>
  <si>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</si>
  <si>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</si>
  <si>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</si>
  <si>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</si>
  <si>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</si>
  <si>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</si>
  <si>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</si>
  <si>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</si>
  <si>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</si>
  <si>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</si>
  <si>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</si>
  <si>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</si>
  <si>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</si>
  <si>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</si>
  <si>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</si>
  <si>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</si>
  <si>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</si>
  <si>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</si>
  <si>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</si>
  <si>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</si>
  <si>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</si>
  <si>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</si>
  <si>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</si>
  <si>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</si>
  <si>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</si>
  <si>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</si>
  <si>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</si>
  <si>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</si>
  <si>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</si>
  <si>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</si>
  <si>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</si>
  <si>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</si>
  <si>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</si>
  <si>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</si>
  <si>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</si>
  <si>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</si>
  <si>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</si>
  <si>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</si>
  <si>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</si>
  <si>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</si>
  <si>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</si>
  <si>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</si>
  <si>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</si>
  <si>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</si>
  <si>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</si>
  <si>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</si>
  <si>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</si>
  <si>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</si>
  <si>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</si>
  <si>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</si>
  <si>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</si>
  <si>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</si>
  <si>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</si>
  <si>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</si>
  <si>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</si>
  <si>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</si>
  <si>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</si>
  <si>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</si>
  <si>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</si>
  <si>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</si>
  <si>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</si>
  <si>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</si>
  <si>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</si>
  <si>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</si>
  <si>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</si>
  <si>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</si>
  <si>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</si>
  <si>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</si>
  <si>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</si>
  <si>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</si>
  <si>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</si>
  <si>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</si>
  <si>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</si>
  <si>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</si>
  <si>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</si>
  <si>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</si>
  <si>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</si>
  <si>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</si>
  <si>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</si>
  <si>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</si>
  <si>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</si>
  <si>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</si>
  <si>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</si>
  <si>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</si>
  <si>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</si>
  <si>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</si>
  <si>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</si>
  <si>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</si>
  <si>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</si>
  <si>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</si>
  <si>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</si>
  <si>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</si>
  <si>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</si>
  <si>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</si>
  <si>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</si>
  <si>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</si>
  <si>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</si>
  <si>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</si>
  <si>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</si>
  <si>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</si>
  <si>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</si>
  <si>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</si>
  <si>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</si>
  <si>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</si>
  <si>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</si>
  <si>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</si>
  <si>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</si>
  <si>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</si>
  <si>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</si>
  <si>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</si>
  <si>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</si>
  <si>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</si>
  <si>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</si>
  <si>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</si>
  <si>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</si>
  <si>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</si>
  <si>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</si>
  <si>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</si>
  <si>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</si>
  <si>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</si>
  <si>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</si>
  <si>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</si>
  <si>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</si>
  <si>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</si>
  <si>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</si>
  <si>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</si>
  <si>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</si>
  <si>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</si>
  <si>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</si>
  <si>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</si>
  <si>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</si>
  <si>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</si>
  <si>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</si>
  <si>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</si>
  <si>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</si>
  <si>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</si>
  <si>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</si>
  <si>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</si>
  <si>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</si>
  <si>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</si>
  <si>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</si>
  <si>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</si>
  <si>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</si>
  <si>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</si>
  <si>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</si>
  <si>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</si>
  <si>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</si>
  <si>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</si>
  <si>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</si>
  <si>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</si>
  <si>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</si>
  <si>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</si>
  <si>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</si>
  <si>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</si>
  <si>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</si>
  <si>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</si>
  <si>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</si>
  <si>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</si>
  <si>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</si>
  <si>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</si>
  <si>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</si>
  <si>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</si>
  <si>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</si>
  <si>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</si>
  <si>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</si>
  <si>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</si>
  <si>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</si>
  <si>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</si>
  <si>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</si>
  <si>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</si>
  <si>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</si>
  <si>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</si>
  <si>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</si>
  <si>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</si>
  <si>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</si>
  <si>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</si>
  <si>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</si>
  <si>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</si>
  <si>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</si>
  <si>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</si>
  <si>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</si>
  <si>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</si>
  <si>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</si>
  <si>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</si>
  <si>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</si>
  <si>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</si>
  <si>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</si>
  <si>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</si>
  <si>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</si>
  <si>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</si>
  <si>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</si>
  <si>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</si>
  <si>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</si>
  <si>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</si>
  <si>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</si>
  <si>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</si>
  <si>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</si>
  <si>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</si>
  <si>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</si>
  <si>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</si>
  <si>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</si>
  <si>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</si>
  <si>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</si>
  <si>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</si>
  <si>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</si>
  <si>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</si>
  <si>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</si>
  <si>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</si>
  <si>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</si>
  <si>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</si>
  <si>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</si>
  <si>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</si>
  <si>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</si>
  <si>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</si>
  <si>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</si>
  <si>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</si>
  <si>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</si>
  <si>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</si>
  <si>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</si>
  <si>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</si>
  <si>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</si>
  <si>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</si>
  <si>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</si>
  <si>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</si>
  <si>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</si>
  <si>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</si>
  <si>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</si>
  <si>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</si>
  <si>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</si>
  <si>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</si>
  <si>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</si>
  <si>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</si>
  <si>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</si>
  <si>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</si>
  <si>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</si>
  <si>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</si>
  <si>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</si>
  <si>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</si>
  <si>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</si>
  <si>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</si>
  <si>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</si>
  <si>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</si>
  <si>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</si>
  <si>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</si>
  <si>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</si>
  <si>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</si>
  <si>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</si>
  <si>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</si>
  <si>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</si>
  <si>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</si>
  <si>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</si>
  <si>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</si>
  <si>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</si>
  <si>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</si>
  <si>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</si>
  <si>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</si>
  <si>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</si>
  <si>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</si>
  <si>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</si>
  <si>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</si>
  <si>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</si>
  <si>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</si>
  <si>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</si>
  <si>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</si>
  <si>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</si>
  <si>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</si>
  <si>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</si>
  <si>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</si>
  <si>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</si>
  <si>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</si>
  <si>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</si>
  <si>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</si>
  <si>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</si>
  <si>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</si>
  <si>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</si>
  <si>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</si>
  <si>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</si>
  <si>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</si>
  <si>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</si>
  <si>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</si>
  <si>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</si>
  <si>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</si>
  <si>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</si>
  <si>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</si>
  <si>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</si>
  <si>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</si>
  <si>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</si>
  <si>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</si>
  <si>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</si>
  <si>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</si>
  <si>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</si>
  <si>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</si>
  <si>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</si>
  <si>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</si>
  <si>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</si>
  <si>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</si>
  <si>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</si>
  <si>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</si>
  <si>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</si>
  <si>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</si>
  <si>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</si>
  <si>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</si>
  <si>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</si>
  <si>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</si>
  <si>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</si>
  <si>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</si>
  <si>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</si>
  <si>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</si>
  <si>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</si>
  <si>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</si>
  <si>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</si>
  <si>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</si>
  <si>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</si>
  <si>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</si>
  <si>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</si>
  <si>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</si>
  <si>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</si>
  <si>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</si>
  <si>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</si>
  <si>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</si>
  <si>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</si>
  <si>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</si>
  <si>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</si>
  <si>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</si>
  <si>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</si>
  <si>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</si>
  <si>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</si>
  <si>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</si>
  <si>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</si>
  <si>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</si>
  <si>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</si>
  <si>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</si>
  <si>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</si>
  <si>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</si>
  <si>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</si>
  <si>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</si>
  <si>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</si>
  <si>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</si>
  <si>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</si>
  <si>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</si>
  <si>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</si>
  <si>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</si>
  <si>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</si>
  <si>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</si>
  <si>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</si>
  <si>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</si>
  <si>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</si>
  <si>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</si>
  <si>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</si>
  <si>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</si>
  <si>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</si>
  <si>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</si>
  <si>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</si>
  <si>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</si>
  <si>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</si>
  <si>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</si>
  <si>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</si>
  <si>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</si>
  <si>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</si>
  <si>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</si>
  <si>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</si>
  <si>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</si>
  <si>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</si>
  <si>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</si>
  <si>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</si>
  <si>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</si>
  <si>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</si>
  <si>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</si>
  <si>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</si>
  <si>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</si>
  <si>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</si>
  <si>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</si>
  <si>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</si>
  <si>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</si>
  <si>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</si>
  <si>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</si>
  <si>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</si>
  <si>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</si>
  <si>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</si>
  <si>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</si>
  <si>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</si>
  <si>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</si>
  <si>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</si>
  <si>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</si>
  <si>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</si>
  <si>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</si>
  <si>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</si>
  <si>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</si>
  <si>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</si>
  <si>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</si>
  <si>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</si>
  <si>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</si>
  <si>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</si>
  <si>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</si>
  <si>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</si>
  <si>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</si>
  <si>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</si>
  <si>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</si>
  <si>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</si>
  <si>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</si>
  <si>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</si>
  <si>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</si>
  <si>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</si>
  <si>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</si>
  <si>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</si>
  <si>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</si>
  <si>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</si>
  <si>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</si>
  <si>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</si>
  <si>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</si>
  <si>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</si>
  <si>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</si>
  <si>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</si>
  <si>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</si>
  <si>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</si>
  <si>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</si>
  <si>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</si>
  <si>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</si>
  <si>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</si>
  <si>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</si>
  <si>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</si>
  <si>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</si>
  <si>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</si>
  <si>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</si>
  <si>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</si>
  <si>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</si>
  <si>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</si>
  <si>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</si>
  <si>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</si>
  <si>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</si>
  <si>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</si>
  <si>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</si>
  <si>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</si>
  <si>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</si>
  <si>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</si>
  <si>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</si>
  <si>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</si>
  <si>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</si>
  <si>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</si>
  <si>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</si>
  <si>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</si>
  <si>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</si>
  <si>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</si>
  <si>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</si>
  <si>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</si>
  <si>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</si>
  <si>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</si>
  <si>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</si>
  <si>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</si>
  <si>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</si>
  <si>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</si>
  <si>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</si>
  <si>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</si>
  <si>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</si>
  <si>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</si>
  <si>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</si>
  <si>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</si>
  <si>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</si>
  <si>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</si>
  <si>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</si>
  <si>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</si>
  <si>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</si>
  <si>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</si>
  <si>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</si>
  <si>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</si>
  <si>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</si>
  <si>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</si>
  <si>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</si>
  <si>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</si>
  <si>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</si>
  <si>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</si>
  <si>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</si>
  <si>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</si>
  <si>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</si>
  <si>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</si>
  <si>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</si>
  <si>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</si>
  <si>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</si>
  <si>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</si>
  <si>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</si>
  <si>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</si>
  <si>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</si>
  <si>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</si>
  <si>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</si>
  <si>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</si>
  <si>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</si>
  <si>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</si>
  <si>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</si>
  <si>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</si>
  <si>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</si>
  <si>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</si>
  <si>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</si>
  <si>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</si>
  <si>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</si>
  <si>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</si>
  <si>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</si>
  <si>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</si>
  <si>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</si>
  <si>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</si>
  <si>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</si>
  <si>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</si>
  <si>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</si>
  <si>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</si>
  <si>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</si>
  <si>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</si>
  <si>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</si>
  <si>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</si>
  <si>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</si>
  <si>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</si>
  <si>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</si>
  <si>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</si>
  <si>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</si>
  <si>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</si>
  <si>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</si>
  <si>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</si>
  <si>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</si>
  <si>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</si>
  <si>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</si>
  <si>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</si>
  <si>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</si>
  <si>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</si>
  <si>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</si>
  <si>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</si>
  <si>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</si>
  <si>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</si>
  <si>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</si>
  <si>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</si>
  <si>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</si>
  <si>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</si>
  <si>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</si>
  <si>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</si>
  <si>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</si>
  <si>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</si>
  <si>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</si>
  <si>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</si>
  <si>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</si>
  <si>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</si>
  <si>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</si>
  <si>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</si>
  <si>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</si>
  <si>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</si>
  <si>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</si>
  <si>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</si>
  <si>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</si>
  <si>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</si>
  <si>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</si>
  <si>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</si>
  <si>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</si>
  <si>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</si>
  <si>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</si>
  <si>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</si>
  <si>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</si>
  <si>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</si>
  <si>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</si>
  <si>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</si>
  <si>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</si>
  <si>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</si>
  <si>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</si>
  <si>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</si>
  <si>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</si>
  <si>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</si>
  <si>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</si>
  <si>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</si>
  <si>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</si>
  <si>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</si>
  <si>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</si>
  <si>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</si>
  <si>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</si>
  <si>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</si>
  <si>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</si>
  <si>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</si>
  <si>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</si>
  <si>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</si>
  <si>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</si>
  <si>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</si>
  <si>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</si>
  <si>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</si>
  <si>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</si>
  <si>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</si>
  <si>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</si>
  <si>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</si>
  <si>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</si>
  <si>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</si>
  <si>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</si>
  <si>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</si>
  <si>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</si>
  <si>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</si>
  <si>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</si>
  <si>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</si>
  <si>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</si>
  <si>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</si>
  <si>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</si>
  <si>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</si>
  <si>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</si>
  <si>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</si>
  <si>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</si>
  <si>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</si>
  <si>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</si>
  <si>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</si>
  <si>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</si>
  <si>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</si>
  <si>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</si>
  <si>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</si>
  <si>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</si>
  <si>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</si>
  <si>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</si>
  <si>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</si>
  <si>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</si>
  <si>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</si>
  <si>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</si>
  <si>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</si>
  <si>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</si>
  <si>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</si>
  <si>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</si>
  <si>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</si>
  <si>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</si>
  <si>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</si>
  <si>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</si>
  <si>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</si>
  <si>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</si>
  <si>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</si>
  <si>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</si>
  <si>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</si>
  <si>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</si>
  <si>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</si>
  <si>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</si>
  <si>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</si>
  <si>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</si>
  <si>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</si>
  <si>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</si>
  <si>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</si>
  <si>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</si>
  <si>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</si>
  <si>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</si>
  <si>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</si>
  <si>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</si>
  <si>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</si>
  <si>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</si>
  <si>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</si>
  <si>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</si>
  <si>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</si>
  <si>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</si>
  <si>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</si>
  <si>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</si>
  <si>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</si>
  <si>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</si>
  <si>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</si>
  <si>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</si>
  <si>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</si>
  <si>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</si>
  <si>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</si>
  <si>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</si>
  <si>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</si>
  <si>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</si>
  <si>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</si>
  <si>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</si>
  <si>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</si>
  <si>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</si>
  <si>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</si>
  <si>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</si>
  <si>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</si>
  <si>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</si>
  <si>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</si>
  <si>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</si>
  <si>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</si>
  <si>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</si>
  <si>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</si>
  <si>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</si>
  <si>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</si>
  <si>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</si>
  <si>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</si>
  <si>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</si>
  <si>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</si>
  <si>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</si>
  <si>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</si>
  <si>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</si>
  <si>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</si>
  <si>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</si>
  <si>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</si>
  <si>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</si>
  <si>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</si>
  <si>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</si>
  <si>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</si>
  <si>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</si>
  <si>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</si>
  <si>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</si>
  <si>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</si>
  <si>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</si>
  <si>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</si>
  <si>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</si>
  <si>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</si>
  <si>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</si>
  <si>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</si>
  <si>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</si>
  <si>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</si>
  <si>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</si>
  <si>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</si>
  <si>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</si>
  <si>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</si>
  <si>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</si>
  <si>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</si>
  <si>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</si>
  <si>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</si>
  <si>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</si>
  <si>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</si>
  <si>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</si>
  <si>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</si>
  <si>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</si>
  <si>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</si>
  <si>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</si>
  <si>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</si>
  <si>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</si>
  <si>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</si>
  <si>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</si>
  <si>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</si>
  <si>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</si>
  <si>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</si>
  <si>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</si>
  <si>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</si>
  <si>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</si>
  <si>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</si>
  <si>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</si>
  <si>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</si>
  <si>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</si>
  <si>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</si>
  <si>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</si>
  <si>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</si>
  <si>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</si>
  <si>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</si>
  <si>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</si>
  <si>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</si>
  <si>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</si>
  <si>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</si>
  <si>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</si>
  <si>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</si>
  <si>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</si>
  <si>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</si>
  <si>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</si>
  <si>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</si>
  <si>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</si>
  <si>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</si>
  <si>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</si>
  <si>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</si>
  <si>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</si>
  <si>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</si>
  <si>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</si>
  <si>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</si>
  <si>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</si>
  <si>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</si>
  <si>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</si>
  <si>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</si>
  <si>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</si>
  <si>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</si>
  <si>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</si>
  <si>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</si>
  <si>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</si>
  <si>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</si>
  <si>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</si>
  <si>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</si>
  <si>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</si>
  <si>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</si>
  <si>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</si>
  <si>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</si>
  <si>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</si>
  <si>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</si>
  <si>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</si>
  <si>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</si>
  <si>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</si>
  <si>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</si>
  <si>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</si>
  <si>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</si>
  <si>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</si>
  <si>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</si>
  <si>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</si>
  <si>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</si>
  <si>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</si>
  <si>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</si>
  <si>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</si>
  <si>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</si>
  <si>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</si>
  <si>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</si>
  <si>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</si>
  <si>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</si>
  <si>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</si>
  <si>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</si>
  <si>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</si>
  <si>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</si>
  <si>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</si>
  <si>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</si>
  <si>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</si>
  <si>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</si>
  <si>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</si>
  <si>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</si>
  <si>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</si>
  <si>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</si>
  <si>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</si>
  <si>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</si>
  <si>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</si>
  <si>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</si>
  <si>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</si>
  <si>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</si>
  <si>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</si>
  <si>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</si>
  <si>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</si>
  <si>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</si>
  <si>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</si>
  <si>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</si>
  <si>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</si>
  <si>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</si>
  <si>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</si>
  <si>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</si>
  <si>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</si>
  <si>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</si>
  <si>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</si>
  <si>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</si>
  <si>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</si>
  <si>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</si>
  <si>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</si>
  <si>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</si>
  <si>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</si>
  <si>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</si>
  <si>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</si>
  <si>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</si>
  <si>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</si>
  <si>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</si>
  <si>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</si>
  <si>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</si>
  <si>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</si>
  <si>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</si>
  <si>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</si>
  <si>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</si>
  <si>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</si>
  <si>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</si>
  <si>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</si>
  <si>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</si>
  <si>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</si>
  <si>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</si>
  <si>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</si>
  <si>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</si>
  <si>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</si>
  <si>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</si>
  <si>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</si>
  <si>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</si>
  <si>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</si>
  <si>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</si>
  <si>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</si>
  <si>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</si>
  <si>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</si>
  <si>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</si>
  <si>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</si>
  <si>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</si>
  <si>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</si>
  <si>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</si>
  <si>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</si>
  <si>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</si>
  <si>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</si>
  <si>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</si>
  <si>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</si>
  <si>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</si>
  <si>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</si>
  <si>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</si>
  <si>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</si>
  <si>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</si>
  <si>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</si>
  <si>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</si>
  <si>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</si>
  <si>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</si>
  <si>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</si>
  <si>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</si>
  <si>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</si>
  <si>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</si>
  <si>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</si>
  <si>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</si>
  <si>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</si>
  <si>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</si>
  <si>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</si>
  <si>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</si>
  <si>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</si>
  <si>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</si>
  <si>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</si>
  <si>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</si>
  <si>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</si>
  <si>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</si>
  <si>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</si>
  <si>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</si>
  <si>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</si>
  <si>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</si>
  <si>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</si>
  <si>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</si>
  <si>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</si>
  <si>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</si>
  <si>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</si>
  <si>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</si>
  <si>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</si>
  <si>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</si>
  <si>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</si>
  <si>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</si>
  <si>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</si>
  <si>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</si>
  <si>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</si>
  <si>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</si>
  <si>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</si>
  <si>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</si>
  <si>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</si>
  <si>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</si>
  <si>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</si>
  <si>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</si>
  <si>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</si>
  <si>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</si>
  <si>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</si>
  <si>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</si>
  <si>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</si>
  <si>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</si>
  <si>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</si>
  <si>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</si>
  <si>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</si>
  <si>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</si>
  <si>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</si>
  <si>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</si>
  <si>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</si>
  <si>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</si>
  <si>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</si>
  <si>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</si>
  <si>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</si>
  <si>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</si>
  <si>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</si>
  <si>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</si>
  <si>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</si>
  <si>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</si>
  <si>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</si>
  <si>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</si>
  <si>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</si>
  <si>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</si>
  <si>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</si>
  <si>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</si>
  <si>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</si>
  <si>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</si>
  <si>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</si>
  <si>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</si>
  <si>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</si>
  <si>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</si>
  <si>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</si>
  <si>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</si>
  <si>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</si>
  <si>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</si>
  <si>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</si>
  <si>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</si>
  <si>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</si>
  <si>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</si>
  <si>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</si>
  <si>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</si>
  <si>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</si>
  <si>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</si>
  <si>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</si>
  <si>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</si>
  <si>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</si>
  <si>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</si>
  <si>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</si>
  <si>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</si>
  <si>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</si>
  <si>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</si>
  <si>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</si>
  <si>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</si>
  <si>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</si>
  <si>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</si>
  <si>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</si>
  <si>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</si>
  <si>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</si>
  <si>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</si>
  <si>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</si>
  <si>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</si>
  <si>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</si>
  <si>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</si>
  <si>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</si>
  <si>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</si>
  <si>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</si>
  <si>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</si>
  <si>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</si>
  <si>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</si>
  <si>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</si>
  <si>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</si>
  <si>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</si>
  <si>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</si>
  <si>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</si>
  <si>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</si>
  <si>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</si>
  <si>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</si>
  <si>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</si>
  <si>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</si>
  <si>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</si>
  <si>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</si>
  <si>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</si>
  <si>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</si>
  <si>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</si>
  <si>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</si>
  <si>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</si>
  <si>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</si>
  <si>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</si>
  <si>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</si>
  <si>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</si>
  <si>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</si>
  <si>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</si>
  <si>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</si>
  <si>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</si>
  <si>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</si>
  <si>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</si>
  <si>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</si>
  <si>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</si>
  <si>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</si>
  <si>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</si>
  <si>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</si>
  <si>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</si>
  <si>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</si>
  <si>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</si>
  <si>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</si>
  <si>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</si>
  <si>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</si>
  <si>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</si>
  <si>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</si>
  <si>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</si>
  <si>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</si>
  <si>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</si>
  <si>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</si>
  <si>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</si>
  <si>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</si>
  <si>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</si>
  <si>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</si>
  <si>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</si>
  <si>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</si>
  <si>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</si>
  <si>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</si>
  <si>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</si>
  <si>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</si>
  <si>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</si>
  <si>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</si>
  <si>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</si>
  <si>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</si>
  <si>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</si>
  <si>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</si>
  <si>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</si>
  <si>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</si>
  <si>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</si>
  <si>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</si>
  <si>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</si>
  <si>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</si>
  <si>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</si>
  <si>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</si>
  <si>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</si>
  <si>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</si>
  <si>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</si>
  <si>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</si>
  <si>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</si>
  <si>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</si>
  <si>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</si>
  <si>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</si>
  <si>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</si>
  <si>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</si>
  <si>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</si>
  <si>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</si>
  <si>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</si>
  <si>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</si>
  <si>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</si>
  <si>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</si>
  <si>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</si>
  <si>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</si>
  <si>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</si>
  <si>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</si>
  <si>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</si>
  <si>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</si>
  <si>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</si>
  <si>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</si>
  <si>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</si>
  <si>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</si>
  <si>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</si>
  <si>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</si>
  <si>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</si>
  <si>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</si>
  <si>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</si>
  <si>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</si>
  <si>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</si>
  <si>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</si>
  <si>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</si>
  <si>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</si>
  <si>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</si>
  <si>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</si>
  <si>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</si>
  <si>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</si>
  <si>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</si>
  <si>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</si>
  <si>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</si>
  <si>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</si>
  <si>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</si>
  <si>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</si>
  <si>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</si>
  <si>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</si>
  <si>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</si>
  <si>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</si>
  <si>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</si>
  <si>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</si>
  <si>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</si>
  <si>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</si>
  <si>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</si>
  <si>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</si>
  <si>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</si>
  <si>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</si>
  <si>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</si>
  <si>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</si>
  <si>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</si>
  <si>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</si>
  <si>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</si>
  <si>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</si>
  <si>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</si>
  <si>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</si>
  <si>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</si>
  <si>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</si>
  <si>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</si>
  <si>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</si>
  <si>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</si>
  <si>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</si>
  <si>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</si>
  <si>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</si>
  <si>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</si>
  <si>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</si>
  <si>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</si>
  <si>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</si>
  <si>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</si>
  <si>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</si>
  <si>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</si>
  <si>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</si>
  <si>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</si>
  <si>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</si>
  <si>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</si>
  <si>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</si>
  <si>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</si>
  <si>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</si>
  <si>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</si>
  <si>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</si>
  <si>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</si>
  <si>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</si>
  <si>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</si>
  <si>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</si>
  <si>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</si>
  <si>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</si>
  <si>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</si>
  <si>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</si>
  <si>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</si>
  <si>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</si>
  <si>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</si>
  <si>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</si>
  <si>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</si>
  <si>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</si>
  <si>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</si>
  <si>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</si>
  <si>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</si>
  <si>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</si>
  <si>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</si>
  <si>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</si>
  <si>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</si>
  <si>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</si>
  <si>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</si>
  <si>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</si>
  <si>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</si>
  <si>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</si>
  <si>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</si>
  <si>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</si>
  <si>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</si>
  <si>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</si>
  <si>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</si>
  <si>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</si>
  <si>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</si>
  <si>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</si>
  <si>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</si>
  <si>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</si>
  <si>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</si>
  <si>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</si>
  <si>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</si>
  <si>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</si>
  <si>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</si>
  <si>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</si>
  <si>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</si>
  <si>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</si>
  <si>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</si>
  <si>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</si>
  <si>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</si>
  <si>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</si>
  <si>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</si>
  <si>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</si>
  <si>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</si>
  <si>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</si>
  <si>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</si>
  <si>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</si>
  <si>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</si>
  <si>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</si>
  <si>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</si>
  <si>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</si>
  <si>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</si>
  <si>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</si>
  <si>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</si>
  <si>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</si>
  <si>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</si>
  <si>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</si>
  <si>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</si>
  <si>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</si>
  <si>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</si>
  <si>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</si>
  <si>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</si>
  <si>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</si>
  <si>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</si>
  <si>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</si>
  <si>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</si>
  <si>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</si>
  <si>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</si>
  <si>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</si>
  <si>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</si>
  <si>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</si>
  <si>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</si>
  <si>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</si>
  <si>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</si>
  <si>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</si>
  <si>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</si>
  <si>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</si>
  <si>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</si>
  <si>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</si>
  <si>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</si>
  <si>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</si>
  <si>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</si>
  <si>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</si>
  <si>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</si>
  <si>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</si>
  <si>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</si>
  <si>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</si>
  <si>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</si>
  <si>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</si>
  <si>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</si>
  <si>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</si>
  <si>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</si>
  <si>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</si>
  <si>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</si>
  <si>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</si>
  <si>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</si>
  <si>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</si>
  <si>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</si>
  <si>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</si>
  <si>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</si>
  <si>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</si>
  <si>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</si>
  <si>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</si>
  <si>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</si>
  <si>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</si>
  <si>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</si>
  <si>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</si>
  <si>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</si>
  <si>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</si>
  <si>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</si>
  <si>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</si>
  <si>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</si>
  <si>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</si>
  <si>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</si>
  <si>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</si>
  <si>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</si>
  <si>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</si>
  <si>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</si>
  <si>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</si>
  <si>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</si>
  <si>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</si>
  <si>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</si>
  <si>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</si>
  <si>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</si>
  <si>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</si>
  <si>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</si>
  <si>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</si>
  <si>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</si>
  <si>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</si>
  <si>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</si>
  <si>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</si>
  <si>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</si>
  <si>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</si>
  <si>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</si>
  <si>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</si>
  <si>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</si>
  <si>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</si>
  <si>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</si>
  <si>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</si>
  <si>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</si>
  <si>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</si>
  <si>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</si>
  <si>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</si>
  <si>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</si>
  <si>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</si>
  <si>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</si>
  <si>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</si>
  <si>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</si>
  <si>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</si>
  <si>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</si>
  <si>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</si>
  <si>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</si>
  <si>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</si>
  <si>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</si>
  <si>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</si>
  <si>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</si>
  <si>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</si>
  <si>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</si>
  <si>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</si>
  <si>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</si>
  <si>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</si>
  <si>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</si>
  <si>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</si>
  <si>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</si>
  <si>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</si>
  <si>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</si>
  <si>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</si>
  <si>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</si>
  <si>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</si>
  <si>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</si>
  <si>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</si>
  <si>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</si>
  <si>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</si>
  <si>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</si>
  <si>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</si>
  <si>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</si>
  <si>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</si>
  <si>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</si>
  <si>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</si>
  <si>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</si>
  <si>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</si>
  <si>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</si>
  <si>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</si>
  <si>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</si>
  <si>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</si>
  <si>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</si>
  <si>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</si>
  <si>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</si>
  <si>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</si>
  <si>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</si>
  <si>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</si>
  <si>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</si>
  <si>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</si>
  <si>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</si>
  <si>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</si>
  <si>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</si>
  <si>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</si>
  <si>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</si>
  <si>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</si>
  <si>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</si>
  <si>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</si>
  <si>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</si>
  <si>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</si>
  <si>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</si>
  <si>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</si>
  <si>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</si>
  <si>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</si>
  <si>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</si>
  <si>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</si>
  <si>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</si>
  <si>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</si>
  <si>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</si>
  <si>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</si>
  <si>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</si>
  <si>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</si>
  <si>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</si>
  <si>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</si>
  <si>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</si>
  <si>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</si>
  <si>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</si>
  <si>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</si>
  <si>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</si>
  <si>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</si>
  <si>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</si>
  <si>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</si>
  <si>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</si>
  <si>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</si>
  <si>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</si>
  <si>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</si>
  <si>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</si>
  <si>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</si>
  <si>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</si>
  <si>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</si>
  <si>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</si>
  <si>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</si>
  <si>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</si>
  <si>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</si>
  <si>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</si>
  <si>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</si>
  <si>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</si>
  <si>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</si>
  <si>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</si>
  <si>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</si>
  <si>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</si>
  <si>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</si>
  <si>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</si>
  <si>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</si>
  <si>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</si>
  <si>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</si>
  <si>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</si>
  <si>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</si>
  <si>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</si>
  <si>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</si>
  <si>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</si>
  <si>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</si>
  <si>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</si>
  <si>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</si>
  <si>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</si>
  <si>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</si>
  <si>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</si>
  <si>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</si>
  <si>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</si>
  <si>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</si>
  <si>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</si>
  <si>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</si>
  <si>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</si>
  <si>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</si>
  <si>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</si>
  <si>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</si>
  <si>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</si>
  <si>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</si>
  <si>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</si>
  <si>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</si>
  <si>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</si>
  <si>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</si>
  <si>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</si>
  <si>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</si>
  <si>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</si>
  <si>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</si>
  <si>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</si>
  <si>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</si>
  <si>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</si>
  <si>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</si>
  <si>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</si>
  <si>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</si>
  <si>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</si>
  <si>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</si>
  <si>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</si>
  <si>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</si>
  <si>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</si>
  <si>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</si>
  <si>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</si>
  <si>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</si>
  <si>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</si>
  <si>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</si>
  <si>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</si>
  <si>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</si>
  <si>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</si>
  <si>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</si>
  <si>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</si>
  <si>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</si>
  <si>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</si>
  <si>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</si>
  <si>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</si>
  <si>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</si>
  <si>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</si>
  <si>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</si>
  <si>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</si>
  <si>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</si>
  <si>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</si>
  <si>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</si>
  <si>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</si>
  <si>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</si>
  <si>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</si>
  <si>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</si>
  <si>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</si>
  <si>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</si>
  <si>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</si>
  <si>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</si>
  <si>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</si>
  <si>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</si>
  <si>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</si>
  <si>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</si>
  <si>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</si>
  <si>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</si>
  <si>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</si>
  <si>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</si>
  <si>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</si>
  <si>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</si>
  <si>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</si>
  <si>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</si>
  <si>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</si>
  <si>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</si>
  <si>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</si>
  <si>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</si>
  <si>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</si>
  <si>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</si>
  <si>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</si>
  <si>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</si>
  <si>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</si>
  <si>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</si>
  <si>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</si>
  <si>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</si>
  <si>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</si>
  <si>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</si>
  <si>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</si>
  <si>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</si>
  <si>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</si>
  <si>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</si>
  <si>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</si>
  <si>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</si>
  <si>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</si>
  <si>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</si>
  <si>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</si>
  <si>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</si>
  <si>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</si>
  <si>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</si>
  <si>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</si>
  <si>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</si>
  <si>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</si>
  <si>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</si>
  <si>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</si>
  <si>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</si>
  <si>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</si>
  <si>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</si>
  <si>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</si>
  <si>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</si>
  <si>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</si>
  <si>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</si>
  <si>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</si>
  <si>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</si>
  <si>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</si>
  <si>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</si>
  <si>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</si>
  <si>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</si>
  <si>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</si>
  <si>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</si>
  <si>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</si>
  <si>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</si>
  <si>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</si>
  <si>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</si>
  <si>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</si>
  <si>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</si>
  <si>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</si>
  <si>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</si>
  <si>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</si>
  <si>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</si>
  <si>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</si>
  <si>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</si>
  <si>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</si>
  <si>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</si>
  <si>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</si>
  <si>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</si>
  <si>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</si>
  <si>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</si>
  <si>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</si>
  <si>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</si>
  <si>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</si>
  <si>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</si>
  <si>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</si>
  <si>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</si>
  <si>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</si>
  <si>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</si>
  <si>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</si>
  <si>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</si>
  <si>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</si>
  <si>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</si>
  <si>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</si>
  <si>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</si>
  <si>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</si>
  <si>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</si>
  <si>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</si>
  <si>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</si>
  <si>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</si>
  <si>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</si>
  <si>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</si>
  <si>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</si>
  <si>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</si>
  <si>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</si>
  <si>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</si>
  <si>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</si>
  <si>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</si>
  <si>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</si>
  <si>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</si>
  <si>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</si>
  <si>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</si>
  <si>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</si>
  <si>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</si>
  <si>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</si>
  <si>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</si>
  <si>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</si>
  <si>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</si>
  <si>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</si>
  <si>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</si>
  <si>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</si>
  <si>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</si>
  <si>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</si>
  <si>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</si>
  <si>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</si>
  <si>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</si>
  <si>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</si>
  <si>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</si>
  <si>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</si>
  <si>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</si>
  <si>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</si>
  <si>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</si>
  <si>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</si>
  <si>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</si>
  <si>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</si>
  <si>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</si>
  <si>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</si>
  <si>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</si>
  <si>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</si>
  <si>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</si>
  <si>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</si>
  <si>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</si>
  <si>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</si>
  <si>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</si>
  <si>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</si>
  <si>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</si>
  <si>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</si>
  <si>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</si>
  <si>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</si>
  <si>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</si>
  <si>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</si>
  <si>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</si>
  <si>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</si>
  <si>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</si>
  <si>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</si>
  <si>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</si>
  <si>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</si>
  <si>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</si>
  <si>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</si>
  <si>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</si>
  <si>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</si>
  <si>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</si>
  <si>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</si>
  <si>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</si>
  <si>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</si>
  <si>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</si>
  <si>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</si>
  <si>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</si>
  <si>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</si>
  <si>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</si>
  <si>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</si>
  <si>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</si>
  <si>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</si>
  <si>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</si>
  <si>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</si>
  <si>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</si>
  <si>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</si>
  <si>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</si>
  <si>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</si>
  <si>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</si>
  <si>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</si>
  <si>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</si>
  <si>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</si>
  <si>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</si>
  <si>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</si>
  <si>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</si>
  <si>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</si>
  <si>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</si>
  <si>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</si>
  <si>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</si>
  <si>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</si>
  <si>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</si>
  <si>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</si>
  <si>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</si>
  <si>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</si>
  <si>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</si>
  <si>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</si>
  <si>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</si>
  <si>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</si>
  <si>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</si>
  <si>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</si>
  <si>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</si>
  <si>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</si>
  <si>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</si>
  <si>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</si>
  <si>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</si>
  <si>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</si>
  <si>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</si>
  <si>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</si>
  <si>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</si>
  <si>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</si>
  <si>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</si>
  <si>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</si>
  <si>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</si>
  <si>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</si>
  <si>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</si>
  <si>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</si>
  <si>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</si>
  <si>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</si>
  <si>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</si>
  <si>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</si>
  <si>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</si>
  <si>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</si>
  <si>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</si>
  <si>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</si>
  <si>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</si>
  <si>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</si>
  <si>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</si>
  <si>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</si>
  <si>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</si>
  <si>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</si>
  <si>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</si>
  <si>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</si>
  <si>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</si>
  <si>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</si>
  <si>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</si>
  <si>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</si>
  <si>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</si>
  <si>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</si>
  <si>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</si>
  <si>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</si>
  <si>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</si>
  <si>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</si>
  <si>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</si>
  <si>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</si>
  <si>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</si>
  <si>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</si>
  <si>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</si>
  <si>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</si>
  <si>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</si>
  <si>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</si>
  <si>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</si>
  <si>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</si>
  <si>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</si>
  <si>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</si>
  <si>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</si>
  <si>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</si>
  <si>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</si>
  <si>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</si>
  <si>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</si>
  <si>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</si>
  <si>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</si>
  <si>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</si>
  <si>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</si>
  <si>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</si>
  <si>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</si>
  <si>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</si>
  <si>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</si>
  <si>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</si>
  <si>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</si>
  <si>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</si>
  <si>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</si>
  <si>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</si>
  <si>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</si>
  <si>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</si>
  <si>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</si>
  <si>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</si>
  <si>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</si>
  <si>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</si>
  <si>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</si>
  <si>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</si>
  <si>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</si>
  <si>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</si>
  <si>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</si>
  <si>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</si>
  <si>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</si>
  <si>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</si>
  <si>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</si>
  <si>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</si>
  <si>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</si>
  <si>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</si>
  <si>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</si>
  <si>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</si>
  <si>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</si>
  <si>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</si>
  <si>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</si>
  <si>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</si>
  <si>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</si>
  <si>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</si>
  <si>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</si>
  <si>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</si>
  <si>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</si>
  <si>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</si>
  <si>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</si>
  <si>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</si>
  <si>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</si>
  <si>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</si>
  <si>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</si>
  <si>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</si>
  <si>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</si>
  <si>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</si>
  <si>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</si>
  <si>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</si>
  <si>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</si>
  <si>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</si>
  <si>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</si>
  <si>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</si>
  <si>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</si>
  <si>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</si>
  <si>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</si>
  <si>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</si>
  <si>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</si>
  <si>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</si>
  <si>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</si>
  <si>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</si>
  <si>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</si>
  <si>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</si>
  <si>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</si>
  <si>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</si>
  <si>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</si>
  <si>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</si>
  <si>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</si>
  <si>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</si>
  <si>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</si>
  <si>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</si>
  <si>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</si>
  <si>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</si>
  <si>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</si>
  <si>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</si>
  <si>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</si>
  <si>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</si>
  <si>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</si>
  <si>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</si>
  <si>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</si>
  <si>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</si>
  <si>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</si>
  <si>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</si>
  <si>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</si>
  <si>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</si>
  <si>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</si>
  <si>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</si>
  <si>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</si>
  <si>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</si>
  <si>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</si>
  <si>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</si>
  <si>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</si>
  <si>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</si>
  <si>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</si>
  <si>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</si>
  <si>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</si>
  <si>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</si>
  <si>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</si>
  <si>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</si>
  <si>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</si>
  <si>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</si>
  <si>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</si>
  <si>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</si>
  <si>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</si>
  <si>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</si>
  <si>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</si>
  <si>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</si>
  <si>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</si>
  <si>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</si>
  <si>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</si>
  <si>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</si>
  <si>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</si>
  <si>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</si>
  <si>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</si>
  <si>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</si>
  <si>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</si>
  <si>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</si>
  <si>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</si>
  <si>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</si>
  <si>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</si>
  <si>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</si>
  <si>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</si>
  <si>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</si>
  <si>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</si>
  <si>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</si>
  <si>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</si>
  <si>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</si>
  <si>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</si>
  <si>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</si>
  <si>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</si>
  <si>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</si>
  <si>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</si>
  <si>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</si>
  <si>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</si>
  <si>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</si>
  <si>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</si>
  <si>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</si>
  <si>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</si>
  <si>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</si>
  <si>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</si>
  <si>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</si>
  <si>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</si>
  <si>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</si>
  <si>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</si>
  <si>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</si>
  <si>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</si>
  <si>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</si>
  <si>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</si>
  <si>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</si>
  <si>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</si>
  <si>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</si>
  <si>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</si>
  <si>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</si>
  <si>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</si>
  <si>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</si>
  <si>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</si>
  <si>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</si>
  <si>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</si>
  <si>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</si>
  <si>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</si>
  <si>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</si>
  <si>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</si>
  <si>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</si>
  <si>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</si>
  <si>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</si>
  <si>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</si>
  <si>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</si>
  <si>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</si>
  <si>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</si>
  <si>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</si>
  <si>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</si>
  <si>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</si>
  <si>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</si>
  <si>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</si>
  <si>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</si>
  <si>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</si>
  <si>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</si>
  <si>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</si>
  <si>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</si>
  <si>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</si>
  <si>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</si>
  <si>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</si>
  <si>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</si>
  <si>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</si>
  <si>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</si>
  <si>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</si>
  <si>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</si>
  <si>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</si>
  <si>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</si>
  <si>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</si>
  <si>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</si>
  <si>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</si>
  <si>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</si>
  <si>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</si>
  <si>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</si>
  <si>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</si>
  <si>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</si>
  <si>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</si>
  <si>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</si>
  <si>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</si>
  <si>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</si>
  <si>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</si>
  <si>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</si>
  <si>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</si>
  <si>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</si>
  <si>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</si>
  <si>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</si>
  <si>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</si>
  <si>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</si>
  <si>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</si>
  <si>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</si>
  <si>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</si>
  <si>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</si>
  <si>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</si>
  <si>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</si>
  <si>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</si>
  <si>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</si>
  <si>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</si>
  <si>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</si>
  <si>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</si>
  <si>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</si>
  <si>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</si>
  <si>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</si>
  <si>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</si>
  <si>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</si>
  <si>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</si>
  <si>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</si>
  <si>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</si>
  <si>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</si>
  <si>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</si>
  <si>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</si>
  <si>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</si>
  <si>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</si>
  <si>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</si>
  <si>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</si>
  <si>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</si>
  <si>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</si>
  <si>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</si>
  <si>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</si>
  <si>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</si>
  <si>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</si>
  <si>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</si>
  <si>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</si>
  <si>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</si>
  <si>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</si>
  <si>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</si>
  <si>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</si>
  <si>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</si>
  <si>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</si>
  <si>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</si>
  <si>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</si>
  <si>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</si>
  <si>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</si>
  <si>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</si>
  <si>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</si>
  <si>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</si>
  <si>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</si>
  <si>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</si>
  <si>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</si>
  <si>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</si>
  <si>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</si>
  <si>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</si>
  <si>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</si>
  <si>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</si>
  <si>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</si>
  <si>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</si>
  <si>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</si>
  <si>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</si>
  <si>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</si>
  <si>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</si>
  <si>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</si>
  <si>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</si>
  <si>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</si>
  <si>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</si>
  <si>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</si>
  <si>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</si>
  <si>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</si>
  <si>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</si>
  <si>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</si>
  <si>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</si>
  <si>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</si>
  <si>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</si>
  <si>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</si>
  <si>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</si>
  <si>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</si>
  <si>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</si>
  <si>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</si>
  <si>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</si>
  <si>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</si>
  <si>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</si>
  <si>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</si>
  <si>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</si>
  <si>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</si>
  <si>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</si>
  <si>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</si>
  <si>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</si>
  <si>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</si>
  <si>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</si>
  <si>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</si>
  <si>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</si>
  <si>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</si>
  <si>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</si>
  <si>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</si>
  <si>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</si>
  <si>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</si>
  <si>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</si>
  <si>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</si>
  <si>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</si>
  <si>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</si>
  <si>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</si>
  <si>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</si>
  <si>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</si>
  <si>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</si>
  <si>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</si>
  <si>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</si>
  <si>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</si>
  <si>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</si>
  <si>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</si>
  <si>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</si>
  <si>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</si>
  <si>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</si>
  <si>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</si>
  <si>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</si>
  <si>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</si>
  <si>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</si>
  <si>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</si>
  <si>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</si>
  <si>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</si>
  <si>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</si>
  <si>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</si>
  <si>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</si>
  <si>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</si>
  <si>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</si>
  <si>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</si>
  <si>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</si>
  <si>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</si>
  <si>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MP Turk Street LLC</t>
  </si>
  <si>
    <t>850 Turk Street</t>
  </si>
  <si>
    <t>Director:</t>
  </si>
  <si>
    <t>Daniel Adams</t>
  </si>
  <si>
    <t>Director of Housing and Community Development</t>
  </si>
  <si>
    <t>San Francisco Mayor's Office of Housing and Community Development</t>
  </si>
  <si>
    <t>1 South Van Ness Avenue, 5th Floor</t>
  </si>
  <si>
    <t>415-701-5500</t>
  </si>
  <si>
    <t>415-701-5501</t>
  </si>
  <si>
    <t>303 Vintage Park Drive, Ste. 250</t>
  </si>
  <si>
    <t>Foster City</t>
  </si>
  <si>
    <t>CA</t>
  </si>
  <si>
    <t>Lisa Howlett</t>
  </si>
  <si>
    <t>Inner City Infill Site</t>
  </si>
  <si>
    <t>dan.adams@sfgov.org</t>
  </si>
  <si>
    <t>MidPen Housing Corporation</t>
  </si>
  <si>
    <t>0744-006</t>
  </si>
  <si>
    <t>lhowlett@midpen-housing.org</t>
  </si>
  <si>
    <t>650-339-5721</t>
  </si>
  <si>
    <t>Managing GP</t>
  </si>
  <si>
    <t>Joanna Carman</t>
  </si>
  <si>
    <t>831-707-2141</t>
  </si>
  <si>
    <t>joanna.carman@midpen-housing.org</t>
  </si>
  <si>
    <t>1970 Broadway</t>
  </si>
  <si>
    <t>Oakland</t>
  </si>
  <si>
    <t>Senior Project Manager</t>
  </si>
  <si>
    <t>Foster City, CA 94404</t>
  </si>
  <si>
    <t>David Baker Architect</t>
  </si>
  <si>
    <t>461 2nd c127</t>
  </si>
  <si>
    <t>San Francisco, CA 94107</t>
  </si>
  <si>
    <t>Daniel Simons</t>
  </si>
  <si>
    <t>415-799-4585</t>
  </si>
  <si>
    <t>danielsimons@dbarchitect.com</t>
  </si>
  <si>
    <t>Gubb &amp; Barshay LLP</t>
  </si>
  <si>
    <t>235 Montgomery Street. Ste 1100</t>
  </si>
  <si>
    <t>San Francisco, CA</t>
  </si>
  <si>
    <t>Evan Gross</t>
  </si>
  <si>
    <t>415-781-6600</t>
  </si>
  <si>
    <t>415-781-6967</t>
  </si>
  <si>
    <t>egross@gubbandbarshay.com</t>
  </si>
  <si>
    <t>Novogradac &amp; Company LLC</t>
  </si>
  <si>
    <t>1300 114th Avenue SE, Ste. 240</t>
  </si>
  <si>
    <t>Bellevue, WA 98004</t>
  </si>
  <si>
    <t>MidPen Property Management Corporation</t>
  </si>
  <si>
    <t>Kasey Archey</t>
  </si>
  <si>
    <t>650-356-2900</t>
  </si>
  <si>
    <t>kasey.archey@midpen-housing.org</t>
  </si>
  <si>
    <t>The Concord Group</t>
  </si>
  <si>
    <t>251 Kearny Street, 6th Floor</t>
  </si>
  <si>
    <t>San Francisco, CA 94108</t>
  </si>
  <si>
    <t>Tim Cornwell</t>
  </si>
  <si>
    <t>415-397-5490</t>
  </si>
  <si>
    <t>415-397-5496</t>
  </si>
  <si>
    <t>tmc@theconcordgroup.com</t>
  </si>
  <si>
    <t>California Housing Partnership</t>
  </si>
  <si>
    <t>369 Pine Street, Suite 300</t>
  </si>
  <si>
    <t>San Francisco, CA 94104</t>
  </si>
  <si>
    <t>Adrienne Gemheart</t>
  </si>
  <si>
    <t xml:space="preserve">916-538-2368 </t>
  </si>
  <si>
    <t>agemheart@chpc.net</t>
  </si>
  <si>
    <t>Luc Le, CPA</t>
  </si>
  <si>
    <t>425-519-1204</t>
  </si>
  <si>
    <t>luc.le@novoco.com</t>
  </si>
  <si>
    <t>Mayor's Office of Housing and Community Development</t>
  </si>
  <si>
    <t>1 South Van Ness, 5th Floor</t>
  </si>
  <si>
    <t>San Francisco CA 94103</t>
  </si>
  <si>
    <t>William Wilcox</t>
  </si>
  <si>
    <t>william.wilcox@sfgov.org</t>
  </si>
  <si>
    <t>TBD</t>
  </si>
  <si>
    <t>Cahill Contractors LLC</t>
  </si>
  <si>
    <t>425 California Street, Ste. 2200</t>
  </si>
  <si>
    <t>Casey Kasten</t>
  </si>
  <si>
    <t>415-497-5484</t>
  </si>
  <si>
    <t>ckasten@cahill-sf.com</t>
  </si>
  <si>
    <t>Bright Green Strategies</t>
  </si>
  <si>
    <t xml:space="preserve">820 Delaware Street </t>
  </si>
  <si>
    <t>Berkeley, CA 94710</t>
  </si>
  <si>
    <t>Sharon Block</t>
  </si>
  <si>
    <t>510-863-1109</t>
  </si>
  <si>
    <t>sharon@brightgreenstrategies.com</t>
  </si>
  <si>
    <t>Residential Mixed, High Density (RM-4)</t>
  </si>
  <si>
    <t>unlimited - state-owned land under State Sovereignty</t>
  </si>
  <si>
    <t>80'</t>
  </si>
  <si>
    <t>None required</t>
  </si>
  <si>
    <t>HCD IIG</t>
  </si>
  <si>
    <t>HCD LGMG</t>
  </si>
  <si>
    <t>Tax-Exempt Construction Loan - Wells Fargo</t>
  </si>
  <si>
    <t>Taxable Construction Loan - Wells Fargo</t>
  </si>
  <si>
    <t>420 Montgomery Street, 6th Floor</t>
  </si>
  <si>
    <t>2020 West El Camino Avenue, Ste. 500</t>
  </si>
  <si>
    <t>Megan Kirkeby</t>
  </si>
  <si>
    <t>Jennifer Seeger</t>
  </si>
  <si>
    <t>916-263-2911</t>
  </si>
  <si>
    <t>916-263-2771</t>
  </si>
  <si>
    <t>Tax-Exempt Permanent Loan - CCRC</t>
  </si>
  <si>
    <t>Residual Receipts</t>
  </si>
  <si>
    <t>Air Conditioning</t>
  </si>
  <si>
    <t>Housing Authority of City and County of San Francisco</t>
  </si>
  <si>
    <t>Assistant Secretary</t>
  </si>
  <si>
    <t>April</t>
  </si>
  <si>
    <t xml:space="preserve">Valbridge Property Advisors </t>
  </si>
  <si>
    <t>3160 Crow Canyon Place, Ste. 245</t>
  </si>
  <si>
    <t>San Ramon, CA 94583</t>
  </si>
  <si>
    <t>Garrett Warren</t>
  </si>
  <si>
    <t>925-327-1660</t>
  </si>
  <si>
    <t>gwarren@valbridge.com</t>
  </si>
  <si>
    <t>State of California</t>
  </si>
  <si>
    <t>Secured by Leasehold Interest</t>
  </si>
  <si>
    <t>Costs Deferred Until Conversion</t>
  </si>
  <si>
    <t>Limited Partner Equity</t>
  </si>
  <si>
    <t>Deferred Cost</t>
  </si>
  <si>
    <t>Deferred Fee</t>
  </si>
  <si>
    <t xml:space="preserve">Foster City </t>
  </si>
  <si>
    <t>GP Equity</t>
  </si>
  <si>
    <t>Misc. Admin</t>
  </si>
  <si>
    <t>Payroll Taxes/Benefit</t>
  </si>
  <si>
    <t>Fire Protection</t>
  </si>
  <si>
    <t>Other (Ground Lease Payment):</t>
  </si>
  <si>
    <t xml:space="preserve">MP Turk Street LLC, with MidPen Housing Corporation as its sole member/manager. </t>
  </si>
  <si>
    <t>40%/60%</t>
  </si>
  <si>
    <t>628-652-5829</t>
  </si>
  <si>
    <t>Eric Leimbach</t>
  </si>
  <si>
    <t>415-515-0761</t>
  </si>
  <si>
    <t>GP Capital Contribution</t>
  </si>
  <si>
    <t>100 West Broadway, Suite 1000</t>
  </si>
  <si>
    <t>Glendale</t>
  </si>
  <si>
    <t>Aaron Smith</t>
  </si>
  <si>
    <t>818-550-9811</t>
  </si>
  <si>
    <t>Variable</t>
  </si>
  <si>
    <t>SOFR</t>
  </si>
  <si>
    <t>IIG</t>
  </si>
  <si>
    <t xml:space="preserve">State: LGMG </t>
  </si>
  <si>
    <t>State of California EO N-06-19; HCD LGMG &amp; AHSC NOFAs</t>
  </si>
  <si>
    <t xml:space="preserve">MidPen Housing Corporation </t>
  </si>
  <si>
    <t>Other: Demolition</t>
  </si>
  <si>
    <t>Other: Estimating and Construction Supervision</t>
  </si>
  <si>
    <t>Other: Shoring, Acoustic, Fire</t>
  </si>
  <si>
    <t>Other: Owner Legal - Perm</t>
  </si>
  <si>
    <t>Other: Prevailing Wage Monitor</t>
  </si>
  <si>
    <t>Above residual receipts line for cash flow</t>
  </si>
  <si>
    <t>AHSC</t>
  </si>
  <si>
    <t>Fixed</t>
  </si>
  <si>
    <t>Other (Issuer and Trustee Fees):</t>
  </si>
  <si>
    <t>Other: Owner Legal - Construction Closing</t>
  </si>
  <si>
    <t>Provided</t>
  </si>
  <si>
    <t>Not Applicable</t>
  </si>
  <si>
    <t>Tax-Exempt Construction Loan</t>
  </si>
  <si>
    <t>Taxable Construction Loan</t>
  </si>
  <si>
    <t>Tax-Exempt 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</si>
</sst>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19" fillId="3" borderId="0" xfId="0" applyFont="1" applyFill="1" applyAlignment="1">
      <alignment horizontal="center" vertical="center"/>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5" borderId="11" xfId="0" applyNumberFormat="1" applyFont="1" applyFill="1" applyBorder="1" applyAlignment="1" applyProtection="1">
      <alignment horizontal="right"/>
      <protection locked="0"/>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9"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2583</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2499</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660</v>
      </c>
      <c r="F42" s="1266" t="s">
        <v>1268</v>
      </c>
    </row>
    <row r="43" spans="1:38" s="1266" customFormat="1" ht="13.3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695</v>
      </c>
      <c r="G56" s="1271" t="s">
        <v>1295</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516</v>
      </c>
      <c r="G59" s="1271" t="s">
        <v>2353</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516</v>
      </c>
      <c r="G69" s="1266" t="s">
        <v>1271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9" t="s">
        <v>1276</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1279</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1037</v>
      </c>
      <c r="G119" s="4"/>
    </row>
    <row r="120" spans="2:16">
      <c r="F120" s="99" t="s">
        <v>1291</v>
      </c>
      <c r="G120" s="99"/>
    </row>
    <row r="121" spans="2:16">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35" customHeight="1">
      <c r="B343" s="2"/>
      <c r="E343" s="1271" t="s">
        <v>1340</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1342</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1341</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4" t="s">
        <v>1331</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1366</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568" t="s">
        <v>2411</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2458</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574" t="str">
        <f>IF(Application!H18="","",Application!H18)</f>
        <v>850 Turk Street</v>
      </c>
      <c r="M4" s="2575"/>
      <c r="N4" s="2575"/>
      <c r="O4" s="2575"/>
      <c r="P4" s="2575"/>
      <c r="Q4" s="2575"/>
      <c r="R4" s="2575"/>
      <c r="S4" s="2575"/>
      <c r="T4" s="2575"/>
      <c r="U4" s="2575"/>
      <c r="V4" s="2575"/>
      <c r="W4" s="2575"/>
      <c r="X4" s="2575"/>
      <c r="Y4" s="2575"/>
      <c r="Z4" s="2575"/>
      <c r="AA4" s="2575"/>
      <c r="AB4" s="2575"/>
      <c r="AC4" s="2576"/>
      <c r="AD4" s="1209"/>
      <c r="AE4" s="1209"/>
      <c r="AF4" s="2221" t="s">
        <v>2459</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2460</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1788</v>
      </c>
      <c r="C6" s="1209"/>
      <c r="D6" s="1209"/>
      <c r="E6" s="1209"/>
      <c r="F6" s="1209"/>
      <c r="G6" s="1209"/>
      <c r="H6" s="1209"/>
      <c r="I6" s="1209"/>
      <c r="J6" s="1209"/>
      <c r="K6" s="1209"/>
      <c r="L6" s="2574" t="str">
        <f>IF(Application!H16="","",Application!H16)</f>
        <v>MidPen Housing Corporation</v>
      </c>
      <c r="M6" s="2575"/>
      <c r="N6" s="2575"/>
      <c r="O6" s="2575"/>
      <c r="P6" s="2575"/>
      <c r="Q6" s="2575"/>
      <c r="R6" s="2575"/>
      <c r="S6" s="2575"/>
      <c r="T6" s="2575"/>
      <c r="U6" s="2575"/>
      <c r="V6" s="2575"/>
      <c r="W6" s="2575"/>
      <c r="X6" s="2575"/>
      <c r="Y6" s="2575"/>
      <c r="Z6" s="2575"/>
      <c r="AA6" s="2575"/>
      <c r="AB6" s="2575"/>
      <c r="AC6" s="2576"/>
      <c r="AD6" s="1209"/>
      <c r="AE6" s="1209"/>
      <c r="AF6" s="2577" t="s">
        <v>2461</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2462</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2463</v>
      </c>
      <c r="AG8" s="2577"/>
      <c r="AH8" s="2577"/>
      <c r="AI8" s="2577"/>
      <c r="AJ8" s="2577"/>
      <c r="AK8" s="2577"/>
      <c r="AL8" s="2577"/>
      <c r="AM8" s="2577"/>
      <c r="AN8" s="2577"/>
      <c r="AO8" s="2577"/>
      <c r="AP8" s="2567" t="s">
        <v>2415</v>
      </c>
      <c r="AQ8" s="2567"/>
      <c r="AR8" s="2567"/>
      <c r="AS8" s="2567"/>
      <c r="AT8" s="2567"/>
      <c r="AU8" s="2567"/>
      <c r="AV8" s="1209"/>
      <c r="AW8" s="1209"/>
      <c r="AX8" s="1209"/>
      <c r="AY8" s="1209"/>
      <c r="AZ8" s="1209"/>
      <c r="BA8" s="1209"/>
      <c r="BB8" s="1209"/>
      <c r="BC8" s="1209"/>
      <c r="BD8" s="1209"/>
      <c r="BE8" s="1219"/>
      <c r="BM8" s="1200" t="s">
        <v>2291</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2623</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2464</v>
      </c>
    </row>
    <row r="10" spans="1:65" ht="15">
      <c r="A10" s="1215"/>
      <c r="B10" s="1217" t="s">
        <v>1790</v>
      </c>
      <c r="C10" s="1217"/>
      <c r="D10" s="1217"/>
      <c r="E10" s="1217"/>
      <c r="F10" s="1217"/>
      <c r="G10" s="1217"/>
      <c r="H10" s="1217"/>
      <c r="I10" s="1217"/>
      <c r="J10" s="1217"/>
      <c r="K10" s="1217"/>
      <c r="L10" s="1217"/>
      <c r="M10" s="1209"/>
      <c r="N10" s="2549">
        <f>Application!AO627</f>
        <v>5150000</v>
      </c>
      <c r="O10" s="2549"/>
      <c r="P10" s="2549"/>
      <c r="Q10" s="2549"/>
      <c r="R10" s="2549"/>
      <c r="S10" s="2549"/>
      <c r="T10" s="2549"/>
      <c r="U10" s="1209"/>
      <c r="V10" s="1209"/>
      <c r="W10" s="1209"/>
      <c r="X10" s="1258"/>
      <c r="Y10" s="1258"/>
      <c r="Z10" s="1258"/>
      <c r="AA10" s="1258"/>
      <c r="AB10" s="1258"/>
      <c r="AC10" s="1258"/>
      <c r="AD10" s="1258"/>
      <c r="AE10" s="1258"/>
      <c r="AF10" s="2221" t="s">
        <v>2622</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2466</v>
      </c>
    </row>
    <row r="11" spans="1:65" ht="15">
      <c r="A11" s="1215"/>
      <c r="B11" s="1217" t="s">
        <v>1791</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2621</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2415</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thickBot="1">
      <c r="A13" s="1209"/>
      <c r="B13" s="2556" t="s">
        <v>1792</v>
      </c>
      <c r="C13" s="2557"/>
      <c r="D13" s="2557"/>
      <c r="E13" s="2557"/>
      <c r="F13" s="2557"/>
      <c r="G13" s="2557"/>
      <c r="H13" s="2557"/>
      <c r="I13" s="2557"/>
      <c r="J13" s="2557"/>
      <c r="K13" s="2557"/>
      <c r="L13" s="2557"/>
      <c r="M13" s="2557"/>
      <c r="N13" s="2557"/>
      <c r="O13" s="2557"/>
      <c r="P13" s="2558"/>
      <c r="Q13" s="2559" t="s">
        <v>676</v>
      </c>
      <c r="R13" s="2560"/>
      <c r="S13" s="2560"/>
      <c r="T13" s="2561"/>
      <c r="U13" s="1258"/>
      <c r="V13" s="1209"/>
      <c r="W13" s="1209"/>
      <c r="X13" s="1209"/>
      <c r="Y13" s="1209"/>
      <c r="Z13" s="1209"/>
      <c r="AA13" s="2550" t="s">
        <v>2465</v>
      </c>
      <c r="AB13" s="2550"/>
      <c r="AC13" s="2550"/>
      <c r="AD13" s="2550"/>
      <c r="AE13" s="2550"/>
      <c r="AF13" s="2550"/>
      <c r="AG13" s="2550"/>
      <c r="AH13" s="2550"/>
      <c r="AI13" s="2550"/>
      <c r="AJ13" s="2550"/>
      <c r="AK13" s="2550"/>
      <c r="AL13" s="2550"/>
      <c r="AM13" s="2550"/>
      <c r="AN13" s="2550"/>
      <c r="AO13" s="2551">
        <f>Application!W473</f>
        <v>14</v>
      </c>
      <c r="AP13" s="2552"/>
      <c r="AQ13" s="2552"/>
      <c r="AR13" s="2552"/>
      <c r="AS13" s="2552"/>
      <c r="AT13" s="1258"/>
      <c r="AU13" s="1258"/>
      <c r="AV13" s="1258"/>
      <c r="AW13" s="1258"/>
      <c r="AX13" s="1258"/>
      <c r="AY13" s="1258"/>
      <c r="AZ13" s="1258"/>
      <c r="BA13" s="1258"/>
      <c r="BB13" s="1258"/>
      <c r="BC13" s="1258"/>
      <c r="BD13" s="1258"/>
      <c r="BE13" s="1205"/>
      <c r="BM13" s="1200" t="s">
        <v>2470</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2467</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thickBot="1">
      <c r="A15" s="1209"/>
      <c r="B15" s="2562" t="s">
        <v>1793</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2468</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0" t="s">
        <v>1794</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1795</v>
      </c>
      <c r="C18" s="2543"/>
      <c r="D18" s="2543"/>
      <c r="E18" s="2543"/>
      <c r="F18" s="2543"/>
      <c r="G18" s="2543"/>
      <c r="H18" s="2543"/>
      <c r="I18" s="2544"/>
      <c r="J18" s="2545" t="s">
        <v>1696</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1796</v>
      </c>
      <c r="AU18" s="2546"/>
      <c r="AV18" s="2546"/>
      <c r="AW18" s="2546"/>
      <c r="AX18" s="2546"/>
      <c r="AY18" s="2548"/>
      <c r="AZ18" s="1209"/>
      <c r="BA18" s="1209"/>
      <c r="BB18" s="1209"/>
      <c r="BC18" s="1209"/>
      <c r="BD18" s="1209"/>
      <c r="BE18" s="1205"/>
    </row>
    <row r="19" spans="1:58" ht="15">
      <c r="A19" s="1209"/>
      <c r="B19" s="2519">
        <v>0.3</v>
      </c>
      <c r="C19" s="2520"/>
      <c r="D19" s="2520"/>
      <c r="E19" s="2520"/>
      <c r="F19" s="2520"/>
      <c r="G19" s="2520"/>
      <c r="H19" s="2520"/>
      <c r="I19" s="2521"/>
      <c r="J19" s="2522">
        <f t="shared" ref="J19:J28" si="0">SUM(P19:AS19)</f>
        <v>25</v>
      </c>
      <c r="K19" s="2523"/>
      <c r="L19" s="2523"/>
      <c r="M19" s="2523"/>
      <c r="N19" s="2523"/>
      <c r="O19" s="2524"/>
      <c r="P19" s="2522" cm="1">
        <f t="array" ref="P19">SUMPRODUCT((Application!$B$718:$B$752 = 'CalHFA Addendum'!P$18)*(Application!$AC$718:$AC$752 = 'CalHFA Addendum'!$B19),Application!$G$718:$G$752)</f>
        <v>8</v>
      </c>
      <c r="Q19" s="2523"/>
      <c r="R19" s="2523"/>
      <c r="S19" s="2523"/>
      <c r="T19" s="2523"/>
      <c r="U19" s="2524"/>
      <c r="V19" s="2522" cm="1">
        <f t="array" ref="V19">SUMPRODUCT((Application!$B$714:$B$738 = 'CalHFA Addendum'!V$18)*(Application!$AC$714:$AC$738 = 'CalHFA Addendum'!$B19),Application!$G$714:$G$738)</f>
        <v>5</v>
      </c>
      <c r="W19" s="2523"/>
      <c r="X19" s="2523"/>
      <c r="Y19" s="2523"/>
      <c r="Z19" s="2523"/>
      <c r="AA19" s="2524"/>
      <c r="AB19" s="2522" cm="1">
        <f t="array" ref="AB19">SUMPRODUCT((Application!$B$714:$B$738 = 'CalHFA Addendum'!AB$18)*(Application!$AC$714:$AC$738 = 'CalHFA Addendum'!$B19),Application!$G$714:$G$738)</f>
        <v>6</v>
      </c>
      <c r="AC19" s="2523"/>
      <c r="AD19" s="2523"/>
      <c r="AE19" s="2523"/>
      <c r="AF19" s="2523"/>
      <c r="AG19" s="2524"/>
      <c r="AH19" s="2522" cm="1">
        <f t="array" ref="AH19">SUMPRODUCT((Application!$B$714:$B$738 = 'CalHFA Addendum'!AH$18)*(Application!$AC$714:$AC$738 = 'CalHFA Addendum'!$B19),Application!$G$714:$G$738)</f>
        <v>6</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0.27472527472527475</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32</v>
      </c>
      <c r="K20" s="2523"/>
      <c r="L20" s="2523"/>
      <c r="M20" s="2523"/>
      <c r="N20" s="2523"/>
      <c r="O20" s="2524"/>
      <c r="P20" s="2522" cm="1">
        <f t="array" ref="P20">SUMPRODUCT((Application!$B$718:$B$752 = 'CalHFA Addendum'!P$18)*(Application!$AC$718:$AC$752 = 'CalHFA Addendum'!$B20),Application!$G$718:$G$752)</f>
        <v>12</v>
      </c>
      <c r="Q20" s="2523"/>
      <c r="R20" s="2523"/>
      <c r="S20" s="2523"/>
      <c r="T20" s="2523"/>
      <c r="U20" s="2524"/>
      <c r="V20" s="2522" cm="1">
        <f t="array" ref="V20">SUMPRODUCT((Application!$B$714:$B$738 = 'CalHFA Addendum'!V$18)*(Application!$AC$714:$AC$738 = 'CalHFA Addendum'!$B20),Application!$G$714:$G$738)</f>
        <v>5</v>
      </c>
      <c r="W20" s="2523"/>
      <c r="X20" s="2523"/>
      <c r="Y20" s="2523"/>
      <c r="Z20" s="2523"/>
      <c r="AA20" s="2524"/>
      <c r="AB20" s="2522" cm="1">
        <f t="array" ref="AB20">SUMPRODUCT((Application!$B$714:$B$738 = 'CalHFA Addendum'!AB$18)*(Application!$AC$714:$AC$738 = 'CalHFA Addendum'!$B20),Application!$G$714:$G$738)</f>
        <v>6</v>
      </c>
      <c r="AC20" s="2523"/>
      <c r="AD20" s="2523"/>
      <c r="AE20" s="2523"/>
      <c r="AF20" s="2523"/>
      <c r="AG20" s="2524"/>
      <c r="AH20" s="2522" cm="1">
        <f t="array" ref="AH20">SUMPRODUCT((Application!$B$714:$B$738 = 'CalHFA Addendum'!AH$18)*(Application!$AC$714:$AC$738 = 'CalHFA Addendum'!$B20),Application!$G$714:$G$738)</f>
        <v>9</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0.35164835164835168</v>
      </c>
      <c r="AU20" s="2526"/>
      <c r="AV20" s="2526"/>
      <c r="AW20" s="2526"/>
      <c r="AX20" s="2526"/>
      <c r="AY20" s="2527"/>
      <c r="AZ20" s="1209"/>
      <c r="BA20" s="1209"/>
      <c r="BB20" s="1209"/>
      <c r="BC20" s="1209"/>
      <c r="BD20" s="1209"/>
      <c r="BE20" s="1205"/>
    </row>
    <row r="21" spans="1:58" ht="15">
      <c r="A21" s="1209"/>
      <c r="B21" s="2519">
        <v>0.5</v>
      </c>
      <c r="C21" s="2520"/>
      <c r="D21" s="2520"/>
      <c r="E21" s="2520"/>
      <c r="F21" s="2520"/>
      <c r="G21" s="2520"/>
      <c r="H21" s="2520"/>
      <c r="I21" s="2521"/>
      <c r="J21" s="2522">
        <f t="shared" si="0"/>
        <v>21</v>
      </c>
      <c r="K21" s="2523"/>
      <c r="L21" s="2523"/>
      <c r="M21" s="2523"/>
      <c r="N21" s="2523"/>
      <c r="O21" s="2524"/>
      <c r="P21" s="2522" cm="1">
        <f t="array" ref="P21">SUMPRODUCT((Application!$B$714:$B$738 = 'CalHFA Addendum'!P$18)*(Application!$AC$714:$AC$738 = 'CalHFA Addendum'!$B21),Application!$G$714:$G$738)</f>
        <v>8</v>
      </c>
      <c r="Q21" s="2523"/>
      <c r="R21" s="2523"/>
      <c r="S21" s="2523"/>
      <c r="T21" s="2523"/>
      <c r="U21" s="2524"/>
      <c r="V21" s="2522" cm="1">
        <f t="array" ref="V21">SUMPRODUCT((Application!$B$714:$B$738 = 'CalHFA Addendum'!V$18)*(Application!$AC$714:$AC$738 = 'CalHFA Addendum'!$B21),Application!$G$714:$G$738)</f>
        <v>3</v>
      </c>
      <c r="W21" s="2523"/>
      <c r="X21" s="2523"/>
      <c r="Y21" s="2523"/>
      <c r="Z21" s="2523"/>
      <c r="AA21" s="2524"/>
      <c r="AB21" s="2522" cm="1">
        <f t="array" ref="AB21">SUMPRODUCT((Application!$B$714:$B$738 = 'CalHFA Addendum'!AB$18)*(Application!$AC$714:$AC$738 = 'CalHFA Addendum'!$B21),Application!$G$714:$G$738)</f>
        <v>4</v>
      </c>
      <c r="AC21" s="2523"/>
      <c r="AD21" s="2523"/>
      <c r="AE21" s="2523"/>
      <c r="AF21" s="2523"/>
      <c r="AG21" s="2524"/>
      <c r="AH21" s="2522" cm="1">
        <f t="array" ref="AH21">SUMPRODUCT((Application!$B$714:$B$738 = 'CalHFA Addendum'!AH$18)*(Application!$AC$714:$AC$738 = 'CalHFA Addendum'!$B21),Application!$G$714:$G$738)</f>
        <v>6</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0.23076923076923078</v>
      </c>
      <c r="AU21" s="2526"/>
      <c r="AV21" s="2526"/>
      <c r="AW21" s="2526"/>
      <c r="AX21" s="2526"/>
      <c r="AY21" s="2527"/>
      <c r="AZ21" s="1209"/>
      <c r="BA21" s="1209"/>
      <c r="BB21" s="1209"/>
      <c r="BC21" s="1209"/>
      <c r="BD21" s="1209"/>
      <c r="BE21" s="1205"/>
    </row>
    <row r="22" spans="1:58" ht="15">
      <c r="A22" s="1209"/>
      <c r="B22" s="2519">
        <v>0.6</v>
      </c>
      <c r="C22" s="2520"/>
      <c r="D22" s="2520"/>
      <c r="E22" s="2520"/>
      <c r="F22" s="2520"/>
      <c r="G22" s="2520"/>
      <c r="H22" s="2520"/>
      <c r="I22" s="2521"/>
      <c r="J22" s="2522">
        <f t="shared" si="0"/>
        <v>13</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3</v>
      </c>
      <c r="W22" s="2523"/>
      <c r="X22" s="2523"/>
      <c r="Y22" s="2523"/>
      <c r="Z22" s="2523"/>
      <c r="AA22" s="2524"/>
      <c r="AB22" s="2522" cm="1">
        <f t="array" ref="AB22">SUMPRODUCT((Application!$B$714:$B$738 = 'CalHFA Addendum'!AB$18)*(Application!$AC$714:$AC$738 = 'CalHFA Addendum'!$B22),Application!$G$714:$G$738)</f>
        <v>4</v>
      </c>
      <c r="AC22" s="2523"/>
      <c r="AD22" s="2523"/>
      <c r="AE22" s="2523"/>
      <c r="AF22" s="2523"/>
      <c r="AG22" s="2524"/>
      <c r="AH22" s="2522" cm="1">
        <f t="array" ref="AH22">SUMPRODUCT((Application!$B$714:$B$738 = 'CalHFA Addendum'!AH$18)*(Application!$AC$714:$AC$738 = 'CalHFA Addendum'!$B22),Application!$G$714:$G$738)</f>
        <v>6</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0.14285714285714285</v>
      </c>
      <c r="AU22" s="2526"/>
      <c r="AV22" s="2526"/>
      <c r="AW22" s="2526"/>
      <c r="AX22" s="2526"/>
      <c r="AY22" s="2527"/>
      <c r="AZ22" s="1209"/>
      <c r="BA22" s="1209"/>
      <c r="BB22" s="1209"/>
      <c r="BC22" s="1209"/>
      <c r="BD22" s="1209"/>
      <c r="BE22" s="1205"/>
    </row>
    <row r="23" spans="1:58" ht="15">
      <c r="A23" s="1209"/>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9"/>
      <c r="BA23" s="1209"/>
      <c r="BB23" s="1209"/>
      <c r="BC23" s="1209"/>
      <c r="BD23" s="1209"/>
      <c r="BE23" s="1205"/>
    </row>
    <row r="24" spans="1:58" ht="15">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5">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5">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5">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thickBot="1">
      <c r="A28" s="1209"/>
      <c r="B28" s="2528" t="s">
        <v>1797</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thickBot="1">
      <c r="A29" s="1209"/>
      <c r="B29" s="2508" t="s">
        <v>1696</v>
      </c>
      <c r="C29" s="2486"/>
      <c r="D29" s="2486"/>
      <c r="E29" s="2486"/>
      <c r="F29" s="2486"/>
      <c r="G29" s="2486"/>
      <c r="H29" s="2486"/>
      <c r="I29" s="2487"/>
      <c r="J29" s="2485">
        <f>SUM(J19:O28)</f>
        <v>91</v>
      </c>
      <c r="K29" s="2486"/>
      <c r="L29" s="2486"/>
      <c r="M29" s="2486"/>
      <c r="N29" s="2486"/>
      <c r="O29" s="2487"/>
      <c r="P29" s="2485">
        <f>SUM(P19:U28)</f>
        <v>28</v>
      </c>
      <c r="Q29" s="2486"/>
      <c r="R29" s="2486"/>
      <c r="S29" s="2486"/>
      <c r="T29" s="2486"/>
      <c r="U29" s="2487"/>
      <c r="V29" s="2485">
        <f>SUM(V19:AA28)</f>
        <v>16</v>
      </c>
      <c r="W29" s="2486"/>
      <c r="X29" s="2486"/>
      <c r="Y29" s="2486"/>
      <c r="Z29" s="2486"/>
      <c r="AA29" s="2487"/>
      <c r="AB29" s="2485">
        <f>SUM(AB19:AG28)</f>
        <v>20</v>
      </c>
      <c r="AC29" s="2486"/>
      <c r="AD29" s="2486"/>
      <c r="AE29" s="2486"/>
      <c r="AF29" s="2486"/>
      <c r="AG29" s="2487"/>
      <c r="AH29" s="2485">
        <f>SUM(AH19:AM28)</f>
        <v>27</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9" t="s">
        <v>1798</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thickBot="1">
      <c r="A32" s="1209"/>
      <c r="B32" s="2504" t="s">
        <v>2471</v>
      </c>
      <c r="C32" s="2505"/>
      <c r="D32" s="2505"/>
      <c r="E32" s="2505"/>
      <c r="F32" s="2505"/>
      <c r="G32" s="2505"/>
      <c r="H32" s="2505"/>
      <c r="I32" s="2505"/>
      <c r="J32" s="2537" t="s">
        <v>2472</v>
      </c>
      <c r="K32" s="2538"/>
      <c r="L32" s="2538"/>
      <c r="M32" s="2538"/>
      <c r="N32" s="2537" t="s">
        <v>1799</v>
      </c>
      <c r="O32" s="2538"/>
      <c r="P32" s="2538"/>
      <c r="Q32" s="2540"/>
      <c r="R32" s="2498" t="s">
        <v>1800</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1801</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1802</v>
      </c>
      <c r="AT35" s="2516"/>
      <c r="AU35" s="2516"/>
      <c r="AV35" s="2516"/>
      <c r="AW35" s="2516"/>
      <c r="AX35" s="2517"/>
      <c r="AY35" s="2515" t="s">
        <v>1803</v>
      </c>
      <c r="AZ35" s="2516"/>
      <c r="BA35" s="2516"/>
      <c r="BB35" s="2516"/>
      <c r="BC35" s="2516"/>
      <c r="BD35" s="2518"/>
      <c r="BE35" s="1205"/>
    </row>
    <row r="36" spans="1:58" ht="15.75" customHeight="1">
      <c r="A36" s="1209"/>
      <c r="B36" s="2246" t="s">
        <v>1804</v>
      </c>
      <c r="C36" s="2247"/>
      <c r="D36" s="2247"/>
      <c r="E36" s="2247"/>
      <c r="F36" s="2247"/>
      <c r="G36" s="2247"/>
      <c r="H36" s="2247"/>
      <c r="I36" s="2247"/>
      <c r="J36" s="2478" t="s">
        <v>1805</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0.5494505494505495</v>
      </c>
      <c r="AZ36" s="2483"/>
      <c r="BA36" s="2483"/>
      <c r="BB36" s="2483"/>
      <c r="BC36" s="2483"/>
      <c r="BD36" s="2484"/>
      <c r="BE36" s="1205"/>
    </row>
    <row r="37" spans="1:58" ht="15.75" customHeight="1">
      <c r="A37" s="1209"/>
      <c r="B37" s="2246" t="s">
        <v>2473</v>
      </c>
      <c r="C37" s="2247"/>
      <c r="D37" s="2247"/>
      <c r="E37" s="2247"/>
      <c r="F37" s="2247"/>
      <c r="G37" s="2247"/>
      <c r="H37" s="2247"/>
      <c r="I37" s="2247"/>
      <c r="J37" s="2478" t="s">
        <v>1806</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0.10989010989010989</v>
      </c>
      <c r="AZ37" s="2483"/>
      <c r="BA37" s="2483"/>
      <c r="BB37" s="2483"/>
      <c r="BC37" s="2483"/>
      <c r="BD37" s="2484"/>
      <c r="BE37" s="1205"/>
    </row>
    <row r="38" spans="1:58" ht="15.75" customHeight="1">
      <c r="A38" s="1209"/>
      <c r="B38" s="2246" t="s">
        <v>2412</v>
      </c>
      <c r="C38" s="2247"/>
      <c r="D38" s="2247"/>
      <c r="E38" s="2247"/>
      <c r="F38" s="2247"/>
      <c r="G38" s="2247"/>
      <c r="H38" s="2247"/>
      <c r="I38" s="2247"/>
      <c r="J38" s="2478" t="s">
        <v>1807</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1808</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1808</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1809</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1809</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1810</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1811</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1812</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1813</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1814</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1815</v>
      </c>
      <c r="C51" s="2178"/>
      <c r="D51" s="2178"/>
      <c r="E51" s="2178"/>
      <c r="F51" s="2178"/>
      <c r="G51" s="2178"/>
      <c r="H51" s="2178"/>
      <c r="I51" s="2178"/>
      <c r="J51" s="2178" t="s">
        <v>2475</v>
      </c>
      <c r="K51" s="2178"/>
      <c r="L51" s="2178"/>
      <c r="M51" s="2178"/>
      <c r="N51" s="2178"/>
      <c r="O51" s="2178"/>
      <c r="P51" s="2178"/>
      <c r="Q51" s="2178"/>
      <c r="R51" s="2469" t="s">
        <v>2476</v>
      </c>
      <c r="S51" s="2469"/>
      <c r="T51" s="2469"/>
      <c r="U51" s="2469"/>
      <c r="V51" s="2469"/>
      <c r="W51" s="2469"/>
      <c r="X51" s="2469"/>
      <c r="Y51" s="2469"/>
      <c r="Z51" s="2469" t="s">
        <v>1816</v>
      </c>
      <c r="AA51" s="2469"/>
      <c r="AB51" s="2469"/>
      <c r="AC51" s="2469"/>
      <c r="AD51" s="2469"/>
      <c r="AE51" s="2469"/>
      <c r="AF51" s="2469"/>
      <c r="AG51" s="2469"/>
      <c r="AH51" s="2469" t="s">
        <v>1817</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2183</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2184</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1696</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1815</v>
      </c>
      <c r="C59" s="2466"/>
      <c r="D59" s="2466"/>
      <c r="E59" s="2466"/>
      <c r="F59" s="2466"/>
      <c r="G59" s="2466"/>
      <c r="H59" s="2466"/>
      <c r="I59" s="2467"/>
      <c r="J59" s="2431" t="s">
        <v>2477</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1819</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1820</v>
      </c>
      <c r="AD68" s="2183"/>
      <c r="AE68" s="2183"/>
      <c r="AF68" s="2183"/>
      <c r="AG68" s="2183"/>
      <c r="AH68" s="2183"/>
      <c r="AI68" s="2183"/>
      <c r="AJ68" s="2183"/>
      <c r="AK68" s="2183"/>
      <c r="AL68" s="2183"/>
      <c r="AM68" s="2183"/>
      <c r="AN68" s="2183"/>
      <c r="AO68" s="2183"/>
      <c r="AP68" s="2183"/>
      <c r="AQ68" s="2183"/>
      <c r="AR68" s="2183"/>
      <c r="AS68" s="2183"/>
      <c r="AT68" s="2183"/>
      <c r="AU68" s="2183"/>
      <c r="AV68" s="2233" t="s">
        <v>676</v>
      </c>
      <c r="AW68" s="2234"/>
      <c r="AX68" s="2234"/>
      <c r="AY68" s="2234"/>
      <c r="AZ68" s="2234"/>
      <c r="BA68" s="2234"/>
      <c r="BB68" s="2234"/>
      <c r="BC68" s="2235"/>
      <c r="BD68" s="1209"/>
      <c r="BE68" s="1205"/>
      <c r="BM68" s="1254" t="s">
        <v>2478</v>
      </c>
    </row>
    <row r="69" spans="1:65" ht="15.75" customHeight="1" thickTop="1" thickBot="1">
      <c r="A69" s="1209"/>
      <c r="B69" s="2236" t="s">
        <v>1821</v>
      </c>
      <c r="C69" s="2237"/>
      <c r="D69" s="2237"/>
      <c r="E69" s="2237"/>
      <c r="F69" s="2237"/>
      <c r="G69" s="2237"/>
      <c r="H69" s="2237"/>
      <c r="I69" s="2237"/>
      <c r="J69" s="2237"/>
      <c r="K69" s="2237"/>
      <c r="L69" s="2237"/>
      <c r="M69" s="2237"/>
      <c r="N69" s="2237"/>
      <c r="O69" s="2238" t="s">
        <v>1822</v>
      </c>
      <c r="P69" s="2239"/>
      <c r="Q69" s="2239"/>
      <c r="R69" s="2239"/>
      <c r="S69" s="2239"/>
      <c r="T69" s="2239"/>
      <c r="U69" s="2239"/>
      <c r="V69" s="2239"/>
      <c r="W69" s="2239"/>
      <c r="X69" s="2239"/>
      <c r="Y69" s="2239"/>
      <c r="Z69" s="2239"/>
      <c r="AA69" s="2240"/>
      <c r="AB69" s="1209"/>
      <c r="AC69" s="2241" t="s">
        <v>1823</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552</v>
      </c>
    </row>
    <row r="70" spans="1:65" ht="15.75" customHeight="1">
      <c r="A70" s="1209"/>
      <c r="B70" s="2246" t="s">
        <v>2479</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1824</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676</v>
      </c>
    </row>
    <row r="71" spans="1:65" ht="15.75" customHeight="1" thickBot="1">
      <c r="A71" s="1209"/>
      <c r="B71" s="2246" t="s">
        <v>2480</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1825</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2481</v>
      </c>
    </row>
    <row r="72" spans="1:65" ht="15.75" customHeight="1">
      <c r="A72" s="1209"/>
      <c r="B72" s="2246" t="s">
        <v>2482</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2483</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2484</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2185</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1860</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195" t="s">
        <v>2551</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2168</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2618</v>
      </c>
      <c r="AK83" s="2186"/>
      <c r="AL83" s="2186"/>
      <c r="AM83" s="2186"/>
      <c r="AN83" s="2186"/>
      <c r="AO83" s="2186"/>
      <c r="AP83" s="2186"/>
      <c r="AQ83" s="2186"/>
      <c r="AR83" s="2186"/>
      <c r="AS83" s="2186"/>
      <c r="AT83" s="2186"/>
      <c r="AU83" s="2186"/>
      <c r="AV83" s="2186"/>
      <c r="AW83" s="2186"/>
      <c r="AX83" s="2186"/>
      <c r="AY83" s="2207" t="s">
        <v>552</v>
      </c>
      <c r="AZ83" s="2207"/>
      <c r="BA83" s="2207"/>
      <c r="BB83" s="2208"/>
      <c r="BC83" s="1209"/>
      <c r="BD83" s="1209"/>
      <c r="BE83" s="1205"/>
    </row>
    <row r="84" spans="1:70" ht="15.75" customHeight="1">
      <c r="A84" s="1209"/>
      <c r="B84" s="2177"/>
      <c r="C84" s="2178"/>
      <c r="D84" s="2178"/>
      <c r="E84" s="2178"/>
      <c r="F84" s="2178"/>
      <c r="G84" s="2178"/>
      <c r="H84" s="2178"/>
      <c r="I84" s="2178" t="s">
        <v>1826</v>
      </c>
      <c r="J84" s="2178"/>
      <c r="K84" s="2178"/>
      <c r="L84" s="2178"/>
      <c r="M84" s="2178"/>
      <c r="N84" s="2178"/>
      <c r="O84" s="2178" t="s">
        <v>1827</v>
      </c>
      <c r="P84" s="2178"/>
      <c r="Q84" s="2178"/>
      <c r="R84" s="2178"/>
      <c r="S84" s="2178"/>
      <c r="T84" s="2178"/>
      <c r="U84" s="2178"/>
      <c r="V84" s="2179" t="s">
        <v>2186</v>
      </c>
      <c r="W84" s="2179"/>
      <c r="X84" s="2179"/>
      <c r="Y84" s="2179"/>
      <c r="Z84" s="2179"/>
      <c r="AA84" s="2179"/>
      <c r="AB84" s="2180" t="s">
        <v>1828</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2169</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2170</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2485</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1829</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1860</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195" t="s">
        <v>2551</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2615</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2614</v>
      </c>
      <c r="AK96" s="2186"/>
      <c r="AL96" s="2186"/>
      <c r="AM96" s="2186"/>
      <c r="AN96" s="2186"/>
      <c r="AO96" s="2186"/>
      <c r="AP96" s="2186"/>
      <c r="AQ96" s="2186"/>
      <c r="AR96" s="2186"/>
      <c r="AS96" s="2186"/>
      <c r="AT96" s="2186"/>
      <c r="AU96" s="2186"/>
      <c r="AV96" s="2186"/>
      <c r="AW96" s="2186"/>
      <c r="AX96" s="2186"/>
      <c r="AY96" s="2207" t="s">
        <v>552</v>
      </c>
      <c r="AZ96" s="2207"/>
      <c r="BA96" s="2207"/>
      <c r="BB96" s="2208"/>
      <c r="BC96" s="1209"/>
      <c r="BD96" s="1209"/>
      <c r="BE96" s="1205"/>
      <c r="BQ96" s="1248" t="str">
        <f>Application!M243</f>
        <v>MP Turk Street LLC</v>
      </c>
      <c r="BR96" s="1248">
        <f>Application!AH245</f>
        <v>0</v>
      </c>
    </row>
    <row r="97" spans="1:70" ht="15.75" customHeight="1">
      <c r="A97" s="1209"/>
      <c r="B97" s="2177"/>
      <c r="C97" s="2178"/>
      <c r="D97" s="2178"/>
      <c r="E97" s="2178"/>
      <c r="F97" s="2178"/>
      <c r="G97" s="2178"/>
      <c r="H97" s="2178"/>
      <c r="I97" s="2178" t="s">
        <v>1826</v>
      </c>
      <c r="J97" s="2178"/>
      <c r="K97" s="2178"/>
      <c r="L97" s="2178"/>
      <c r="M97" s="2178"/>
      <c r="N97" s="2178"/>
      <c r="O97" s="2178" t="s">
        <v>1827</v>
      </c>
      <c r="P97" s="2178"/>
      <c r="Q97" s="2178"/>
      <c r="R97" s="2178"/>
      <c r="S97" s="2178"/>
      <c r="T97" s="2178"/>
      <c r="U97" s="2178"/>
      <c r="V97" s="2179" t="s">
        <v>2186</v>
      </c>
      <c r="W97" s="2179"/>
      <c r="X97" s="2179"/>
      <c r="Y97" s="2179"/>
      <c r="Z97" s="2179"/>
      <c r="AA97" s="2179"/>
      <c r="AB97" s="2180" t="s">
        <v>1828</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f>Application!M251</f>
        <v>0</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2169</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2170</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2485</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1829</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1860</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2611</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1826</v>
      </c>
      <c r="J108" s="2178"/>
      <c r="K108" s="2178"/>
      <c r="L108" s="2178"/>
      <c r="M108" s="2178"/>
      <c r="N108" s="2178"/>
      <c r="O108" s="2178" t="s">
        <v>1827</v>
      </c>
      <c r="P108" s="2178"/>
      <c r="Q108" s="2178"/>
      <c r="R108" s="2178"/>
      <c r="S108" s="2178"/>
      <c r="T108" s="2178"/>
      <c r="U108" s="2178"/>
      <c r="V108" s="2179" t="s">
        <v>2186</v>
      </c>
      <c r="W108" s="2179"/>
      <c r="X108" s="2179"/>
      <c r="Y108" s="2179"/>
      <c r="Z108" s="2179"/>
      <c r="AA108" s="2179"/>
      <c r="AB108" s="2180" t="s">
        <v>1828</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2169</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2170</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1829</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1860</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2486</v>
      </c>
      <c r="C117" s="2186"/>
      <c r="D117" s="2186"/>
      <c r="E117" s="2186"/>
      <c r="F117" s="2186"/>
      <c r="G117" s="2186"/>
      <c r="H117" s="2186"/>
      <c r="I117" s="2186"/>
      <c r="J117" s="2186"/>
      <c r="K117" s="2186"/>
      <c r="L117" s="2186"/>
      <c r="M117" s="2186"/>
      <c r="N117" s="2186"/>
      <c r="O117" s="2186"/>
      <c r="P117" s="2186"/>
      <c r="Q117" s="2207" t="s">
        <v>552</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2187</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2171</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1686</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2172</v>
      </c>
      <c r="J127" s="2178"/>
      <c r="K127" s="2178"/>
      <c r="L127" s="2178"/>
      <c r="M127" s="2178"/>
      <c r="N127" s="2178"/>
      <c r="O127" s="2438" t="s">
        <v>2173</v>
      </c>
      <c r="P127" s="2438"/>
      <c r="Q127" s="2438"/>
      <c r="R127" s="2438"/>
      <c r="S127" s="2438"/>
      <c r="T127" s="2438"/>
      <c r="U127" s="2439"/>
      <c r="V127" s="1209"/>
      <c r="W127" s="1209"/>
      <c r="X127" s="2401" t="s">
        <v>2185</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2174</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2175</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1832</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1827</v>
      </c>
      <c r="J134" s="2413"/>
      <c r="K134" s="2413"/>
      <c r="L134" s="2413"/>
      <c r="M134" s="2413"/>
      <c r="N134" s="2413"/>
      <c r="O134" s="2413"/>
      <c r="P134" s="2413" t="s">
        <v>2186</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2174</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2175</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1833</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552</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1834</v>
      </c>
      <c r="C140" s="2421"/>
      <c r="D140" s="2421"/>
      <c r="E140" s="2421"/>
      <c r="F140" s="2421"/>
      <c r="G140" s="2421"/>
      <c r="H140" s="2421"/>
      <c r="I140" s="2421"/>
      <c r="J140" s="2421"/>
      <c r="K140" s="2421"/>
      <c r="L140" s="2421"/>
      <c r="M140" s="2421"/>
      <c r="N140" s="2421"/>
      <c r="O140" s="2421"/>
      <c r="P140" s="2421"/>
      <c r="Q140" s="2421"/>
      <c r="R140" s="2422" t="s">
        <v>2188</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2189</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1836</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2191</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1827</v>
      </c>
      <c r="J155" s="2413"/>
      <c r="K155" s="2413"/>
      <c r="L155" s="2413"/>
      <c r="M155" s="2413"/>
      <c r="N155" s="2413"/>
      <c r="O155" s="2413"/>
      <c r="P155" s="2413" t="s">
        <v>2192</v>
      </c>
      <c r="Q155" s="2413"/>
      <c r="R155" s="2413"/>
      <c r="S155" s="2413"/>
      <c r="T155" s="2413"/>
      <c r="U155" s="2414"/>
      <c r="V155" s="1209"/>
      <c r="W155" s="1209"/>
      <c r="X155" s="2398"/>
      <c r="Y155" s="2399"/>
      <c r="Z155" s="2399"/>
      <c r="AA155" s="2399"/>
      <c r="AB155" s="2399"/>
      <c r="AC155" s="2399"/>
      <c r="AD155" s="2399"/>
      <c r="AE155" s="2413" t="s">
        <v>1827</v>
      </c>
      <c r="AF155" s="2413"/>
      <c r="AG155" s="2413"/>
      <c r="AH155" s="2413"/>
      <c r="AI155" s="2413"/>
      <c r="AJ155" s="2413"/>
      <c r="AK155" s="2413"/>
      <c r="AL155" s="2413" t="s">
        <v>2186</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2174</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2174</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2175</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2176</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1837</v>
      </c>
      <c r="D161" s="2399"/>
      <c r="E161" s="2399"/>
      <c r="F161" s="2399"/>
      <c r="G161" s="2399"/>
      <c r="H161" s="2399"/>
      <c r="I161" s="2399"/>
      <c r="J161" s="2399"/>
      <c r="K161" s="2399"/>
      <c r="L161" s="2399"/>
      <c r="M161" s="2399"/>
      <c r="N161" s="2399"/>
      <c r="O161" s="2399"/>
      <c r="P161" s="2399"/>
      <c r="Q161" s="2399" t="s">
        <v>1838</v>
      </c>
      <c r="R161" s="2399"/>
      <c r="S161" s="2399"/>
      <c r="T161" s="2180" t="s">
        <v>2177</v>
      </c>
      <c r="U161" s="2180"/>
      <c r="V161" s="2180"/>
      <c r="W161" s="2180"/>
      <c r="X161" s="2180"/>
      <c r="Y161" s="2180"/>
      <c r="Z161" s="2180"/>
      <c r="AA161" s="2180"/>
      <c r="AB161" s="2399" t="s">
        <v>1839</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1840</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1841</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1842</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1813</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1843</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1843</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1843</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1844</v>
      </c>
      <c r="D170" s="2183"/>
      <c r="E170" s="2183"/>
      <c r="F170" s="2183"/>
      <c r="G170" s="2183"/>
      <c r="H170" s="2183"/>
      <c r="I170" s="2183"/>
      <c r="J170" s="2183"/>
      <c r="K170" s="2183"/>
      <c r="L170" s="2183"/>
      <c r="M170" s="2183"/>
      <c r="N170" s="2184"/>
      <c r="O170" s="1209"/>
      <c r="P170" s="2395" t="s">
        <v>1845</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1846</v>
      </c>
      <c r="D171" s="2399"/>
      <c r="E171" s="2399"/>
      <c r="F171" s="2399"/>
      <c r="G171" s="2399"/>
      <c r="H171" s="2399"/>
      <c r="I171" s="2399" t="s">
        <v>1847</v>
      </c>
      <c r="J171" s="2399"/>
      <c r="K171" s="2399"/>
      <c r="L171" s="2399"/>
      <c r="M171" s="2399"/>
      <c r="N171" s="2400"/>
      <c r="O171" s="1209"/>
      <c r="P171" s="2401" t="s">
        <v>2185</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2487</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2604</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2625</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1837</v>
      </c>
      <c r="D182" s="2183"/>
      <c r="E182" s="2183"/>
      <c r="F182" s="2183"/>
      <c r="G182" s="2183"/>
      <c r="H182" s="2183"/>
      <c r="I182" s="2183"/>
      <c r="J182" s="2183"/>
      <c r="K182" s="2183"/>
      <c r="L182" s="2183"/>
      <c r="M182" s="2183"/>
      <c r="N182" s="2183" t="s">
        <v>1848</v>
      </c>
      <c r="O182" s="2183"/>
      <c r="P182" s="2183"/>
      <c r="Q182" s="2183"/>
      <c r="R182" s="2183"/>
      <c r="S182" s="2183"/>
      <c r="T182" s="2183"/>
      <c r="U182" s="2215" t="s">
        <v>1837</v>
      </c>
      <c r="V182" s="2215"/>
      <c r="W182" s="2215"/>
      <c r="X182" s="2215"/>
      <c r="Y182" s="2215"/>
      <c r="Z182" s="2215"/>
      <c r="AA182" s="2215"/>
      <c r="AB182" s="2215"/>
      <c r="AC182" s="2215"/>
      <c r="AD182" s="2215"/>
      <c r="AE182" s="2216"/>
      <c r="AF182" s="1209"/>
      <c r="AG182" s="1209"/>
      <c r="AH182" s="2370" t="s">
        <v>2609</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2488</v>
      </c>
      <c r="D183" s="2360"/>
      <c r="E183" s="2360"/>
      <c r="F183" s="2360"/>
      <c r="G183" s="2360"/>
      <c r="H183" s="2360"/>
      <c r="I183" s="2360"/>
      <c r="J183" s="2360"/>
      <c r="K183" s="2360"/>
      <c r="L183" s="2360"/>
      <c r="M183" s="2360"/>
      <c r="N183" s="2373">
        <f>'Sources and Uses Budget'!B105</f>
        <v>93285854</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2608</v>
      </c>
      <c r="AI183" s="2370"/>
      <c r="AJ183" s="2370"/>
      <c r="AK183" s="2370"/>
      <c r="AL183" s="2370"/>
      <c r="AM183" s="2370"/>
      <c r="AN183" s="2370"/>
      <c r="AO183" s="2370"/>
      <c r="AP183" s="2370"/>
      <c r="AQ183" s="2370"/>
      <c r="AR183" s="2370"/>
      <c r="AS183" s="2370"/>
      <c r="AT183" s="2370"/>
      <c r="AU183" s="2596">
        <f>MAX(0,Application!AG439-100)*20000</f>
        <v>0</v>
      </c>
      <c r="AV183" s="2596"/>
      <c r="AW183" s="2596"/>
      <c r="AX183" s="2596"/>
      <c r="AY183" s="2596"/>
      <c r="AZ183" s="2596"/>
      <c r="BA183" s="2596"/>
      <c r="BB183" s="2596"/>
      <c r="BC183" s="2329"/>
      <c r="BD183" s="2330"/>
      <c r="BE183" s="2331"/>
    </row>
    <row r="184" spans="1:57" ht="15.75" customHeight="1">
      <c r="A184" s="1209"/>
      <c r="B184" s="1209"/>
      <c r="C184" s="2359" t="s">
        <v>2489</v>
      </c>
      <c r="D184" s="2360"/>
      <c r="E184" s="2360"/>
      <c r="F184" s="2360"/>
      <c r="G184" s="2360"/>
      <c r="H184" s="2360"/>
      <c r="I184" s="2360"/>
      <c r="J184" s="2360"/>
      <c r="K184" s="2360"/>
      <c r="L184" s="2360"/>
      <c r="M184" s="2360"/>
      <c r="N184" s="2373">
        <f>N183/J29</f>
        <v>1025119.2747252748</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2607</v>
      </c>
      <c r="AI184" s="2588"/>
      <c r="AJ184" s="2588"/>
      <c r="AK184" s="2588"/>
      <c r="AL184" s="2588"/>
      <c r="AM184" s="2588"/>
      <c r="AN184" s="2588"/>
      <c r="AO184" s="2588"/>
      <c r="AP184" s="2588"/>
      <c r="AQ184" s="2588"/>
      <c r="AR184" s="2588"/>
      <c r="AS184" s="2588"/>
      <c r="AT184" s="2588"/>
      <c r="AU184" s="2328">
        <f>AU182+AU183</f>
        <v>2500000</v>
      </c>
      <c r="AV184" s="2328"/>
      <c r="AW184" s="2328"/>
      <c r="AX184" s="2328"/>
      <c r="AY184" s="2328"/>
      <c r="AZ184" s="2328"/>
      <c r="BA184" s="2328"/>
      <c r="BB184" s="2328"/>
      <c r="BC184" s="2329"/>
      <c r="BD184" s="2330"/>
      <c r="BE184" s="2331"/>
    </row>
    <row r="185" spans="1:57" ht="15.75" customHeight="1">
      <c r="A185" s="1209"/>
      <c r="B185" s="1209"/>
      <c r="C185" s="2376" t="s">
        <v>2490</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2606</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2491</v>
      </c>
      <c r="D186" s="2360"/>
      <c r="E186" s="2360"/>
      <c r="F186" s="2360"/>
      <c r="G186" s="2360"/>
      <c r="H186" s="2360"/>
      <c r="I186" s="2360"/>
      <c r="J186" s="2360"/>
      <c r="K186" s="2360"/>
      <c r="L186" s="2360"/>
      <c r="M186" s="2360"/>
      <c r="N186" s="2361">
        <f>SUM('Sources and Uses Budget'!B85:B86)</f>
        <v>1567593</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2492</v>
      </c>
      <c r="D187" s="2360"/>
      <c r="E187" s="2360"/>
      <c r="F187" s="2360"/>
      <c r="G187" s="2360"/>
      <c r="H187" s="2360"/>
      <c r="I187" s="2360"/>
      <c r="J187" s="2360"/>
      <c r="K187" s="2360"/>
      <c r="L187" s="2360"/>
      <c r="M187" s="2360"/>
      <c r="N187" s="2361">
        <f>'Sources and Uses Budget'!B8</f>
        <v>31501</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1849</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2493</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1849</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2494</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2605</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1843</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2604</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1843</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1843</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1850</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1851</v>
      </c>
      <c r="D193" s="2336"/>
      <c r="E193" s="2336"/>
      <c r="F193" s="2336"/>
      <c r="G193" s="2336"/>
      <c r="H193" s="2336"/>
      <c r="I193" s="2336"/>
      <c r="J193" s="2336"/>
      <c r="K193" s="2336"/>
      <c r="L193" s="2336"/>
      <c r="M193" s="2336"/>
      <c r="N193" s="2337">
        <f>SUM(N185:T192)</f>
        <v>1599094</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2603</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2495</v>
      </c>
      <c r="D194" s="2316"/>
      <c r="E194" s="2316"/>
      <c r="F194" s="2316"/>
      <c r="G194" s="2316"/>
      <c r="H194" s="2316"/>
      <c r="I194" s="2316"/>
      <c r="J194" s="2316"/>
      <c r="K194" s="2316"/>
      <c r="L194" s="2316"/>
      <c r="M194" s="2316"/>
      <c r="N194" s="2317">
        <f>(N183-N193)/J29</f>
        <v>1007546.8131868131</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2602</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2601</v>
      </c>
      <c r="D198" s="2591"/>
      <c r="E198" s="2591"/>
      <c r="F198" s="2591"/>
      <c r="G198" s="2591"/>
      <c r="H198" s="2591"/>
      <c r="I198" s="2591"/>
      <c r="J198" s="2591"/>
      <c r="K198" s="2591"/>
      <c r="L198" s="2591"/>
      <c r="M198" s="2591"/>
      <c r="N198" s="2591"/>
      <c r="O198" s="2592" t="s">
        <v>2600</v>
      </c>
      <c r="P198" s="2592"/>
      <c r="Q198" s="2592"/>
      <c r="R198" s="2592"/>
      <c r="S198" s="2592"/>
      <c r="T198" s="2592"/>
      <c r="U198" s="2592"/>
      <c r="V198" s="2592"/>
      <c r="W198" s="2592"/>
      <c r="X198" s="2592" t="s">
        <v>2599</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2598</v>
      </c>
      <c r="D199" s="2589"/>
      <c r="E199" s="2589"/>
      <c r="F199" s="2589"/>
      <c r="G199" s="2589"/>
      <c r="H199" s="2589"/>
      <c r="I199" s="2589"/>
      <c r="J199" s="2589"/>
      <c r="K199" s="2589"/>
      <c r="L199" s="2589"/>
      <c r="M199" s="2589"/>
      <c r="N199" s="2589"/>
      <c r="O199" s="2321" t="s">
        <v>2597</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864</v>
      </c>
      <c r="D200" s="2589"/>
      <c r="E200" s="2589"/>
      <c r="F200" s="2589"/>
      <c r="G200" s="2589"/>
      <c r="H200" s="2589"/>
      <c r="I200" s="2589"/>
      <c r="J200" s="2589"/>
      <c r="K200" s="2589"/>
      <c r="L200" s="2589"/>
      <c r="M200" s="2589"/>
      <c r="N200" s="2589"/>
      <c r="O200" s="2321" t="s">
        <v>2597</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2596</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2595</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2594</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2593</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2592</v>
      </c>
      <c r="D205" s="2261"/>
      <c r="E205" s="2261"/>
      <c r="F205" s="2304"/>
      <c r="G205" s="2260" t="s">
        <v>2591</v>
      </c>
      <c r="H205" s="2261"/>
      <c r="I205" s="2261"/>
      <c r="J205" s="2261"/>
      <c r="K205" s="2261"/>
      <c r="L205" s="2261"/>
      <c r="M205" s="2261"/>
      <c r="N205" s="2261"/>
      <c r="O205" s="2304"/>
      <c r="P205" s="2307" t="s">
        <v>2590</v>
      </c>
      <c r="Q205" s="2308"/>
      <c r="R205" s="2308"/>
      <c r="S205" s="2308"/>
      <c r="T205" s="2309"/>
      <c r="U205" s="2254" t="s">
        <v>2589</v>
      </c>
      <c r="V205" s="2255"/>
      <c r="W205" s="2255"/>
      <c r="X205" s="2256"/>
      <c r="Y205" s="2254" t="s">
        <v>2588</v>
      </c>
      <c r="Z205" s="2255"/>
      <c r="AA205" s="2255"/>
      <c r="AB205" s="2256"/>
      <c r="AC205" s="2254" t="s">
        <v>2587</v>
      </c>
      <c r="AD205" s="2255"/>
      <c r="AE205" s="2255"/>
      <c r="AF205" s="2256"/>
      <c r="AG205" s="2260" t="s">
        <v>2586</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2152</v>
      </c>
      <c r="H207" s="2268"/>
      <c r="I207" s="2268"/>
      <c r="J207" s="2268"/>
      <c r="K207" s="2268"/>
      <c r="L207" s="2268"/>
      <c r="M207" s="2268"/>
      <c r="N207" s="2268"/>
      <c r="O207" s="2268"/>
      <c r="P207" s="2269"/>
      <c r="Q207" s="2270"/>
      <c r="R207" s="2270"/>
      <c r="S207" s="2270"/>
      <c r="T207" s="2270"/>
      <c r="U207" s="2271" t="s">
        <v>2152</v>
      </c>
      <c r="V207" s="2271"/>
      <c r="W207" s="2271"/>
      <c r="X207" s="2271"/>
      <c r="Y207" s="2271" t="s">
        <v>2152</v>
      </c>
      <c r="Z207" s="2271"/>
      <c r="AA207" s="2271"/>
      <c r="AB207" s="2271"/>
      <c r="AC207" s="2272" t="s">
        <v>2152</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2152</v>
      </c>
      <c r="H208" s="2268"/>
      <c r="I208" s="2268"/>
      <c r="J208" s="2268"/>
      <c r="K208" s="2268"/>
      <c r="L208" s="2268"/>
      <c r="M208" s="2268"/>
      <c r="N208" s="2268"/>
      <c r="O208" s="2268"/>
      <c r="P208" s="2269"/>
      <c r="Q208" s="2269"/>
      <c r="R208" s="2269"/>
      <c r="S208" s="2269"/>
      <c r="T208" s="2269"/>
      <c r="U208" s="2271" t="s">
        <v>2152</v>
      </c>
      <c r="V208" s="2271"/>
      <c r="W208" s="2271"/>
      <c r="X208" s="2271"/>
      <c r="Y208" s="2271" t="s">
        <v>2152</v>
      </c>
      <c r="Z208" s="2271"/>
      <c r="AA208" s="2271"/>
      <c r="AB208" s="2271"/>
      <c r="AC208" s="2272" t="s">
        <v>2152</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2152</v>
      </c>
      <c r="H209" s="2268"/>
      <c r="I209" s="2268"/>
      <c r="J209" s="2268"/>
      <c r="K209" s="2268"/>
      <c r="L209" s="2268"/>
      <c r="M209" s="2268"/>
      <c r="N209" s="2268"/>
      <c r="O209" s="2268"/>
      <c r="P209" s="2269"/>
      <c r="Q209" s="2269"/>
      <c r="R209" s="2269"/>
      <c r="S209" s="2269"/>
      <c r="T209" s="2269"/>
      <c r="U209" s="2271" t="s">
        <v>2152</v>
      </c>
      <c r="V209" s="2271"/>
      <c r="W209" s="2271"/>
      <c r="X209" s="2271"/>
      <c r="Y209" s="2271" t="s">
        <v>2152</v>
      </c>
      <c r="Z209" s="2271"/>
      <c r="AA209" s="2271"/>
      <c r="AB209" s="2271"/>
      <c r="AC209" s="2272" t="s">
        <v>2152</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2152</v>
      </c>
      <c r="H210" s="2268"/>
      <c r="I210" s="2268"/>
      <c r="J210" s="2268"/>
      <c r="K210" s="2268"/>
      <c r="L210" s="2268"/>
      <c r="M210" s="2268"/>
      <c r="N210" s="2268"/>
      <c r="O210" s="2268"/>
      <c r="P210" s="2269"/>
      <c r="Q210" s="2269"/>
      <c r="R210" s="2269"/>
      <c r="S210" s="2269"/>
      <c r="T210" s="2269"/>
      <c r="U210" s="2271" t="s">
        <v>2152</v>
      </c>
      <c r="V210" s="2271"/>
      <c r="W210" s="2271"/>
      <c r="X210" s="2271"/>
      <c r="Y210" s="2271" t="s">
        <v>2152</v>
      </c>
      <c r="Z210" s="2271"/>
      <c r="AA210" s="2271"/>
      <c r="AB210" s="2271"/>
      <c r="AC210" s="2272" t="s">
        <v>2152</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2152</v>
      </c>
      <c r="V211" s="2271"/>
      <c r="W211" s="2271"/>
      <c r="X211" s="2271"/>
      <c r="Y211" s="2271" t="s">
        <v>2152</v>
      </c>
      <c r="Z211" s="2271"/>
      <c r="AA211" s="2271"/>
      <c r="AB211" s="2271"/>
      <c r="AC211" s="2272" t="s">
        <v>2152</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2152</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2152</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2152</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2585</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1852</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1853</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1854</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1855</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1857</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2496</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1858</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1859</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1860</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442</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1861</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1862</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8" workbookViewId="0">
      <selection activeCell="AB72" sqref="AB72"/>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41" t="s">
        <v>1388</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2.9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2.9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2.9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2.9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2.95"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87341288</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2.95" customHeight="1">
      <c r="B12" s="2637" t="s">
        <v>504</v>
      </c>
      <c r="C12" s="1287"/>
      <c r="D12" s="1287"/>
      <c r="E12" s="1287"/>
      <c r="F12" s="1287"/>
      <c r="G12" s="1287"/>
      <c r="H12" s="1287"/>
      <c r="I12" s="1287"/>
      <c r="J12" s="1287"/>
      <c r="K12" s="1287"/>
      <c r="L12" s="1287"/>
      <c r="M12" s="1287"/>
      <c r="N12" s="1287"/>
      <c r="O12" s="1287"/>
      <c r="P12" s="1287"/>
      <c r="Q12" s="1287"/>
      <c r="R12" s="1287"/>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2.95" customHeight="1">
      <c r="B13" s="467"/>
      <c r="C13" s="2639" t="s">
        <v>505</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2.95" customHeight="1">
      <c r="B14" s="467"/>
      <c r="C14" s="2639" t="s">
        <v>506</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2.95" customHeight="1">
      <c r="B15" s="467"/>
      <c r="C15" s="2639" t="s">
        <v>507</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2.95" customHeight="1">
      <c r="B16" s="467"/>
      <c r="C16" s="2639" t="s">
        <v>813</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2.95" customHeight="1">
      <c r="B17" s="467"/>
      <c r="C17" s="2639" t="s">
        <v>508</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2.95" customHeight="1">
      <c r="A18"/>
      <c r="B18" s="1194"/>
      <c r="C18" s="1750" t="s">
        <v>977</v>
      </c>
      <c r="D18" s="1750"/>
      <c r="E18" s="1750"/>
      <c r="F18" s="1750"/>
      <c r="G18" s="1750"/>
      <c r="H18" s="1750"/>
      <c r="I18" s="1750"/>
      <c r="J18" s="1750"/>
      <c r="K18" s="1750"/>
      <c r="L18" s="1750"/>
      <c r="M18" s="1750"/>
      <c r="N18" s="1750"/>
      <c r="O18" s="1750"/>
      <c r="P18" s="1750"/>
      <c r="Q18" s="1750"/>
      <c r="R18" s="1750"/>
      <c r="S18" s="1751"/>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2.95" customHeight="1">
      <c r="B19" s="1194"/>
      <c r="C19" s="1750" t="s">
        <v>977</v>
      </c>
      <c r="D19" s="1750"/>
      <c r="E19" s="1750"/>
      <c r="F19" s="1750"/>
      <c r="G19" s="1750"/>
      <c r="H19" s="1750"/>
      <c r="I19" s="1750"/>
      <c r="J19" s="1750"/>
      <c r="K19" s="1750"/>
      <c r="L19" s="1750"/>
      <c r="M19" s="1750"/>
      <c r="N19" s="1750"/>
      <c r="O19" s="1750"/>
      <c r="P19" s="1750"/>
      <c r="Q19" s="1750"/>
      <c r="R19" s="1750"/>
      <c r="S19" s="1751"/>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2.95" customHeight="1">
      <c r="B20" s="2622" t="s">
        <v>509</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2.95" customHeight="1">
      <c r="B21" s="2622" t="s">
        <v>1371</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2.95" customHeight="1">
      <c r="B22" s="2622" t="s">
        <v>510</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2.95" customHeight="1">
      <c r="B23" s="2622" t="s">
        <v>511</v>
      </c>
      <c r="C23" s="2623"/>
      <c r="D23" s="2623"/>
      <c r="E23" s="2623"/>
      <c r="F23" s="2623"/>
      <c r="G23" s="2623"/>
      <c r="H23" s="2623"/>
      <c r="I23" s="2623"/>
      <c r="J23" s="2623"/>
      <c r="K23" s="2623"/>
      <c r="L23" s="2623"/>
      <c r="M23" s="2623"/>
      <c r="N23" s="2623"/>
      <c r="O23" s="2623"/>
      <c r="P23" s="2623"/>
      <c r="Q23" s="2623"/>
      <c r="R23" s="2623"/>
      <c r="S23" s="2624"/>
      <c r="T23" s="2615">
        <f>T11+T22</f>
        <v>87341288</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2.95" customHeight="1">
      <c r="B24" s="2622" t="s">
        <v>978</v>
      </c>
      <c r="C24" s="2623"/>
      <c r="D24" s="2623"/>
      <c r="E24" s="2623"/>
      <c r="F24" s="2623"/>
      <c r="G24" s="2623"/>
      <c r="H24" s="2623"/>
      <c r="I24" s="2623"/>
      <c r="J24" s="2623"/>
      <c r="K24" s="2623"/>
      <c r="L24" s="2623"/>
      <c r="M24" s="2623"/>
      <c r="N24" s="2623"/>
      <c r="O24" s="2623"/>
      <c r="P24" s="2623"/>
      <c r="Q24" s="2623"/>
      <c r="R24" s="2623"/>
      <c r="S24" s="2624"/>
      <c r="T24" s="2617">
        <f>Application!AJ1052</f>
        <v>219289372.47999999</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2.95" customHeight="1">
      <c r="B25" s="2626" t="s">
        <v>1372</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2" t="s">
        <v>512</v>
      </c>
      <c r="C26" s="2623"/>
      <c r="D26" s="2623"/>
      <c r="E26" s="2623"/>
      <c r="F26" s="2623"/>
      <c r="G26" s="2623"/>
      <c r="H26" s="2623"/>
      <c r="I26" s="2623"/>
      <c r="J26" s="2623"/>
      <c r="K26" s="2623"/>
      <c r="L26" s="2623"/>
      <c r="M26" s="2623"/>
      <c r="N26" s="2623"/>
      <c r="O26" s="2623"/>
      <c r="P26" s="2623"/>
      <c r="Q26" s="2623"/>
      <c r="R26" s="2623"/>
      <c r="S26" s="2624"/>
      <c r="T26" s="2615">
        <f>T23*T25</f>
        <v>113543674.40000001</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2.95"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2.95"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15">
        <f>IF(ISERROR((T26*T27)),0,(T26*T27))</f>
        <v>113543674.40000001</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2.95" customHeight="1">
      <c r="B29" s="2622" t="s">
        <v>530</v>
      </c>
      <c r="C29" s="2623"/>
      <c r="D29" s="2623"/>
      <c r="E29" s="2623"/>
      <c r="F29" s="2623"/>
      <c r="G29" s="2623"/>
      <c r="H29" s="2623"/>
      <c r="I29" s="2623"/>
      <c r="J29" s="2623"/>
      <c r="K29" s="2623"/>
      <c r="L29" s="2623"/>
      <c r="M29" s="2623"/>
      <c r="N29" s="2623"/>
      <c r="O29" s="2623"/>
      <c r="P29" s="2623"/>
      <c r="Q29" s="2623"/>
      <c r="R29" s="2623"/>
      <c r="S29" s="2624"/>
      <c r="T29" s="2617">
        <f>T28+Y28+AD28+AI28</f>
        <v>113543674.40000001</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2.95" customHeight="1">
      <c r="B30" s="2625" t="s">
        <v>1374</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2.95" customHeight="1">
      <c r="B31" s="2625" t="s">
        <v>1373</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1254</v>
      </c>
      <c r="Z35" s="2643"/>
      <c r="AA35" s="2643"/>
      <c r="AB35" s="2643"/>
      <c r="AC35" s="2643"/>
      <c r="AD35" s="2666" t="s">
        <v>370</v>
      </c>
      <c r="AE35" s="2666"/>
      <c r="AF35" s="2666"/>
      <c r="AG35" s="2666"/>
      <c r="AH35" s="2666"/>
    </row>
    <row r="36" spans="1:76" ht="12.95" customHeight="1">
      <c r="B36" s="438"/>
      <c r="X36" s="443"/>
      <c r="Y36" s="2643"/>
      <c r="Z36" s="2643"/>
      <c r="AA36" s="2643"/>
      <c r="AB36" s="2643"/>
      <c r="AC36" s="2643"/>
      <c r="AD36" s="2666"/>
      <c r="AE36" s="2666"/>
      <c r="AF36" s="2666"/>
      <c r="AG36" s="2666"/>
      <c r="AH36" s="266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2.95"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113543674.40000001</v>
      </c>
      <c r="Z38" s="2616"/>
      <c r="AA38" s="2616"/>
      <c r="AB38" s="2616"/>
      <c r="AC38" s="2616"/>
      <c r="AD38" s="2616">
        <f>IF(T24&gt;=(T23+Y23+AD23+AI23),AD28+AI28,0)</f>
        <v>0</v>
      </c>
      <c r="AE38" s="2616"/>
      <c r="AF38" s="2616"/>
      <c r="AG38" s="2616"/>
      <c r="AH38" s="2616"/>
    </row>
    <row r="39" spans="1:76" ht="12.95" customHeight="1">
      <c r="B39" s="2622" t="s">
        <v>1879</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2.95" customHeight="1">
      <c r="A40" s="435"/>
      <c r="B40" s="2622" t="s">
        <v>649</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4541747</v>
      </c>
      <c r="Z40" s="2616"/>
      <c r="AA40" s="2616"/>
      <c r="AB40" s="2616"/>
      <c r="AC40" s="2616"/>
      <c r="AD40" s="2615">
        <f>ROUND(AD38*AD39,0)</f>
        <v>0</v>
      </c>
      <c r="AE40" s="2616"/>
      <c r="AF40" s="2616"/>
      <c r="AG40" s="2616"/>
      <c r="AH40" s="2616"/>
    </row>
    <row r="41" spans="1:76" ht="12.95" customHeight="1">
      <c r="B41" s="2622" t="s">
        <v>650</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4541747</v>
      </c>
      <c r="Z41" s="2618"/>
      <c r="AA41" s="2618"/>
      <c r="AB41" s="2618"/>
      <c r="AC41" s="2618"/>
      <c r="AD41" s="2618"/>
      <c r="AE41" s="2618"/>
      <c r="AF41" s="2618"/>
      <c r="AG41" s="2618"/>
      <c r="AH41" s="261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0" t="s">
        <v>1384</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2.95" customHeight="1" thickTop="1"/>
    <row r="46" spans="1:76" ht="12.95" customHeight="1">
      <c r="A46" s="435" t="s">
        <v>593</v>
      </c>
      <c r="C46" s="435" t="s">
        <v>283</v>
      </c>
    </row>
    <row r="47" spans="1:76" ht="12.95" customHeight="1">
      <c r="D47" s="435" t="s">
        <v>284</v>
      </c>
      <c r="AB47" s="2632">
        <f>'Sources and Uses Budget'!B105-MAX(IF('Sources and Uses Budget'!B15="",0,'Sources and Uses Budget'!B15),IF(Application!AG394="",0,Application!AG394))</f>
        <v>93285854</v>
      </c>
      <c r="AC47" s="2633"/>
      <c r="AD47" s="2633"/>
      <c r="AE47" s="2633"/>
      <c r="AF47" s="2634"/>
    </row>
    <row r="48" spans="1:76" ht="12.95" customHeight="1">
      <c r="D48" s="435" t="s">
        <v>21</v>
      </c>
      <c r="AB48" s="2632">
        <f>Application!AO639-MAX(IF('Sources and Uses Budget'!B15="",0,'Sources and Uses Budget'!B15),IF(Application!AG394="",0,Application!AG394))</f>
        <v>45120195</v>
      </c>
      <c r="AC48" s="2633"/>
      <c r="AD48" s="2633"/>
      <c r="AE48" s="2633"/>
      <c r="AF48" s="2634"/>
    </row>
    <row r="49" spans="1:76" ht="12.95" customHeight="1">
      <c r="D49" s="435" t="s">
        <v>91</v>
      </c>
      <c r="AB49" s="2632">
        <f>AB47-AB48</f>
        <v>48165659</v>
      </c>
      <c r="AC49" s="2633"/>
      <c r="AD49" s="2633"/>
      <c r="AE49" s="2633"/>
      <c r="AF49" s="2634"/>
    </row>
    <row r="50" spans="1:76" ht="12.95" customHeight="1">
      <c r="D50" s="435" t="s">
        <v>688</v>
      </c>
      <c r="AA50" s="446"/>
      <c r="AB50" s="2659">
        <v>0.98917580999999999</v>
      </c>
      <c r="AC50" s="2660"/>
      <c r="AD50" s="2660"/>
      <c r="AE50" s="2660"/>
      <c r="AF50" s="2661"/>
    </row>
    <row r="51" spans="1:76" s="448" customFormat="1" ht="12.95" customHeight="1">
      <c r="A51" s="433"/>
      <c r="B51" s="433"/>
      <c r="C51" s="433"/>
      <c r="D51" s="433"/>
      <c r="E51" s="2662" t="s">
        <v>2039</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2">
        <f>ROUND(IF(ISERROR((AB49/AB50)),0,(AB49/AB50)),0)</f>
        <v>48692718</v>
      </c>
      <c r="AC54" s="2633"/>
      <c r="AD54" s="2633"/>
      <c r="AE54" s="2633"/>
      <c r="AF54" s="2634"/>
    </row>
    <row r="55" spans="1:76" ht="12.95" customHeight="1">
      <c r="D55" s="435" t="s">
        <v>334</v>
      </c>
      <c r="AB55" s="2632">
        <f>(AB54/10)</f>
        <v>4869271.8</v>
      </c>
      <c r="AC55" s="2633"/>
      <c r="AD55" s="2633"/>
      <c r="AE55" s="2633"/>
      <c r="AF55" s="2634"/>
    </row>
    <row r="56" spans="1:76" ht="12.95" customHeight="1">
      <c r="D56" s="435" t="s">
        <v>764</v>
      </c>
      <c r="AB56" s="2663">
        <f>(IF((Y41&lt;AB55),Y41,AB55))</f>
        <v>4541747</v>
      </c>
      <c r="AC56" s="2664"/>
      <c r="AD56" s="2664"/>
      <c r="AE56" s="2664"/>
      <c r="AF56" s="2665"/>
    </row>
    <row r="57" spans="1:76" ht="12.95" customHeight="1">
      <c r="D57" s="435" t="s">
        <v>763</v>
      </c>
      <c r="AB57" s="2632">
        <f>ROUND((10*AB56*AB50),0)</f>
        <v>44925863</v>
      </c>
      <c r="AC57" s="2633"/>
      <c r="AD57" s="2633"/>
      <c r="AE57" s="2633"/>
      <c r="AF57" s="2634"/>
    </row>
    <row r="58" spans="1:76" ht="12.95" customHeight="1">
      <c r="D58" s="435"/>
      <c r="AB58" s="454"/>
      <c r="AC58" s="454"/>
      <c r="AD58" s="454"/>
      <c r="AE58" s="454"/>
      <c r="AF58" s="454"/>
    </row>
    <row r="59" spans="1:76" ht="12.95" customHeight="1">
      <c r="D59" s="435" t="s">
        <v>762</v>
      </c>
      <c r="AB59" s="2655">
        <f>AB49-AB57</f>
        <v>3239796</v>
      </c>
      <c r="AC59" s="2655"/>
      <c r="AD59" s="2655"/>
      <c r="AE59" s="2655"/>
      <c r="AF59" s="2655"/>
    </row>
    <row r="60" spans="1:76" ht="12.95" customHeight="1">
      <c r="D60" s="435"/>
      <c r="AB60" s="454"/>
      <c r="AC60" s="454"/>
      <c r="AD60" s="454"/>
      <c r="AE60" s="454"/>
      <c r="AF60" s="454"/>
    </row>
    <row r="61" spans="1:76" s="218" customFormat="1" ht="12.95"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2.95" customHeight="1" thickTop="1"/>
    <row r="63" spans="1:76" ht="12.95" customHeight="1">
      <c r="A63" s="435" t="s">
        <v>596</v>
      </c>
      <c r="C63" s="219" t="s">
        <v>1355</v>
      </c>
      <c r="Y63" s="2656" t="s">
        <v>1001</v>
      </c>
      <c r="Z63" s="2656"/>
      <c r="AA63" s="2656"/>
      <c r="AB63" s="2656"/>
      <c r="AC63" s="2656"/>
      <c r="AD63" s="2656" t="s">
        <v>370</v>
      </c>
      <c r="AE63" s="2656"/>
      <c r="AF63" s="2656"/>
      <c r="AG63" s="2656"/>
      <c r="AH63" s="2656"/>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87341288</v>
      </c>
      <c r="Z64" s="2657"/>
      <c r="AA64" s="2657"/>
      <c r="AB64" s="2657"/>
      <c r="AC64" s="2658"/>
      <c r="AD64" s="2617">
        <f>IF(AND(OR(Application!D211="At-Risk",Application!D211="At-Risk and Special Needs"),Application!M358="yes"),AD28+AI28,0)</f>
        <v>0</v>
      </c>
      <c r="AE64" s="2657"/>
      <c r="AF64" s="2657"/>
      <c r="AG64" s="2657"/>
      <c r="AH64" s="2658"/>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0.3</v>
      </c>
      <c r="Z67" s="2673"/>
      <c r="AA67" s="2673"/>
      <c r="AB67" s="2673"/>
      <c r="AC67" s="2673"/>
      <c r="AD67" s="2673">
        <f>IF(Application!Z204="15% set-aside with qualifying low value rehab", 0.95,0.13)</f>
        <v>0.13</v>
      </c>
      <c r="AE67" s="2673"/>
      <c r="AF67" s="2673"/>
      <c r="AG67" s="2673"/>
      <c r="AH67" s="2673"/>
    </row>
    <row r="68" spans="1:36" ht="12.95" customHeight="1">
      <c r="C68" s="435"/>
      <c r="D68" s="219" t="s">
        <v>1357</v>
      </c>
      <c r="Y68" s="2616">
        <f>ROUND(Y64*Y67,0)</f>
        <v>26202386</v>
      </c>
      <c r="Z68" s="2674"/>
      <c r="AA68" s="2674"/>
      <c r="AB68" s="2674"/>
      <c r="AC68" s="2674"/>
      <c r="AD68" s="2616">
        <f>ROUND(AD64*AD67,0)</f>
        <v>0</v>
      </c>
      <c r="AE68" s="2674"/>
      <c r="AF68" s="2674"/>
      <c r="AG68" s="2674"/>
      <c r="AH68" s="2674"/>
    </row>
    <row r="69" spans="1:36" ht="12.95" customHeight="1">
      <c r="C69" s="435"/>
      <c r="E69" s="435"/>
      <c r="AB69" s="453"/>
      <c r="AC69" s="453"/>
      <c r="AD69" s="453"/>
      <c r="AE69" s="453"/>
      <c r="AF69" s="453"/>
    </row>
    <row r="70" spans="1:36" ht="12.95" customHeight="1">
      <c r="A70" s="435" t="s">
        <v>597</v>
      </c>
      <c r="C70" s="219" t="s">
        <v>285</v>
      </c>
    </row>
    <row r="71" spans="1:36" ht="12.95" customHeight="1">
      <c r="A71" s="435"/>
      <c r="C71" s="435"/>
      <c r="D71" s="219" t="s">
        <v>1358</v>
      </c>
      <c r="AB71" s="2659">
        <v>0.81991800000000004</v>
      </c>
      <c r="AC71" s="2660"/>
      <c r="AD71" s="2660"/>
      <c r="AE71" s="2660"/>
      <c r="AF71" s="2661"/>
    </row>
    <row r="72" spans="1:36" ht="12.95" customHeight="1">
      <c r="A72" s="435"/>
      <c r="C72" s="435"/>
      <c r="D72" s="435"/>
      <c r="E72" s="2675" t="s">
        <v>1359</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2.95"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2.9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68">
        <f>ROUND(IF(ISERROR((AB59/AB71)),0,(AB59/AB71)),0)</f>
        <v>3951366</v>
      </c>
      <c r="AC76" s="2668"/>
      <c r="AD76" s="2668"/>
      <c r="AE76" s="2668"/>
      <c r="AF76" s="2668"/>
    </row>
    <row r="77" spans="1:36" ht="12.95" customHeight="1">
      <c r="C77" s="435"/>
      <c r="D77" s="219" t="s">
        <v>1361</v>
      </c>
      <c r="AB77" s="2669">
        <f>IF((Y68+AD68&lt;AB76),Y68+AD68,AB76)</f>
        <v>3951366</v>
      </c>
      <c r="AC77" s="2670"/>
      <c r="AD77" s="2670"/>
      <c r="AE77" s="2670"/>
      <c r="AF77" s="2671"/>
    </row>
    <row r="78" spans="1:36" ht="12.95" customHeight="1">
      <c r="C78" s="435"/>
      <c r="D78" s="219" t="s">
        <v>1362</v>
      </c>
      <c r="AB78" s="2672">
        <f>AB77*AB71</f>
        <v>3239796.1079879999</v>
      </c>
      <c r="AC78" s="2672"/>
      <c r="AD78" s="2672"/>
      <c r="AE78" s="2672"/>
      <c r="AF78" s="2672"/>
    </row>
    <row r="79" spans="1:36" ht="12.95" customHeight="1">
      <c r="C79" s="435"/>
      <c r="D79" s="435"/>
      <c r="AB79" s="456"/>
      <c r="AC79" s="456"/>
      <c r="AD79" s="456"/>
      <c r="AE79" s="456"/>
      <c r="AF79" s="456"/>
    </row>
    <row r="80" spans="1:36" ht="12.95" customHeight="1">
      <c r="D80" s="435" t="s">
        <v>762</v>
      </c>
      <c r="AB80" s="2655">
        <f>AB49-(AB57+AB78)</f>
        <v>-0.10798799991607666</v>
      </c>
      <c r="AC80" s="2655"/>
      <c r="AD80" s="2655"/>
      <c r="AE80" s="2655"/>
      <c r="AF80" s="2655"/>
    </row>
    <row r="81" spans="1:78" ht="12.95" customHeight="1">
      <c r="F81" s="556"/>
      <c r="J81" s="556" t="str">
        <f>IF(AB80&gt;0,"FUNDING GAP MUST NOT EXCEED ZERO","")</f>
        <v/>
      </c>
    </row>
    <row r="82" spans="1:78" ht="12.95" customHeight="1">
      <c r="D82" s="557"/>
    </row>
    <row r="83" spans="1:78" ht="12.95"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2.95" customHeight="1" thickTop="1"/>
    <row r="85" spans="1:78" ht="12.95" customHeight="1">
      <c r="A85" s="435"/>
      <c r="C85" s="219"/>
    </row>
    <row r="86" spans="1:78" ht="12.95" customHeight="1">
      <c r="D86" s="219"/>
      <c r="AB86" s="2621"/>
      <c r="AC86" s="2621"/>
      <c r="AD86" s="2621"/>
      <c r="AE86" s="2621"/>
      <c r="AF86" s="2621"/>
    </row>
    <row r="87" spans="1:78" ht="12.95"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923</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8</v>
      </c>
      <c r="C4" s="1122"/>
      <c r="D4" s="459">
        <f>Application!O718</f>
        <v>898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v>
      </c>
      <c r="C5" s="1122"/>
      <c r="D5" s="459">
        <f>Application!O719</f>
        <v>937</v>
      </c>
      <c r="E5" s="460"/>
      <c r="F5" s="1123"/>
      <c r="G5" s="459">
        <f t="shared" ref="G5:G38" si="2">F5*B5</f>
        <v>0</v>
      </c>
      <c r="H5" s="460"/>
      <c r="I5" s="459" t="str">
        <f t="shared" si="0"/>
        <v/>
      </c>
      <c r="J5" s="459" t="str">
        <f t="shared" si="1"/>
        <v/>
      </c>
      <c r="K5" s="218"/>
      <c r="L5" s="328"/>
    </row>
    <row r="6" spans="1:12">
      <c r="A6" s="459" t="str">
        <f>Application!B720</f>
        <v>2 Bedrooms</v>
      </c>
      <c r="B6" s="1121">
        <f>Application!G720</f>
        <v>6</v>
      </c>
      <c r="C6" s="1122"/>
      <c r="D6" s="459">
        <f>Application!O720</f>
        <v>1115</v>
      </c>
      <c r="E6" s="460"/>
      <c r="F6" s="1123"/>
      <c r="G6" s="459">
        <f t="shared" si="2"/>
        <v>0</v>
      </c>
      <c r="H6" s="460"/>
      <c r="I6" s="459" t="str">
        <f t="shared" si="0"/>
        <v/>
      </c>
      <c r="J6" s="459" t="str">
        <f t="shared" si="1"/>
        <v/>
      </c>
      <c r="K6" s="218"/>
      <c r="L6" s="328"/>
    </row>
    <row r="7" spans="1:12">
      <c r="A7" s="459" t="str">
        <f>Application!B721</f>
        <v>3 Bedrooms</v>
      </c>
      <c r="B7" s="1121">
        <f>Application!G721</f>
        <v>6</v>
      </c>
      <c r="C7" s="1122"/>
      <c r="D7" s="459">
        <f>Application!O721</f>
        <v>1278</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SRO/Studio</v>
      </c>
      <c r="B9" s="1121">
        <f>Application!G723</f>
        <v>12</v>
      </c>
      <c r="C9" s="1122"/>
      <c r="D9" s="459">
        <f>Application!O723</f>
        <v>1224</v>
      </c>
      <c r="E9" s="460"/>
      <c r="F9" s="1123"/>
      <c r="G9" s="459">
        <f t="shared" si="2"/>
        <v>0</v>
      </c>
      <c r="H9" s="460"/>
      <c r="I9" s="459" t="str">
        <f t="shared" si="0"/>
        <v/>
      </c>
      <c r="J9" s="459" t="str">
        <f t="shared" si="1"/>
        <v/>
      </c>
      <c r="K9" s="218"/>
      <c r="L9" s="328"/>
    </row>
    <row r="10" spans="1:12">
      <c r="A10" s="459" t="str">
        <f>Application!B724</f>
        <v>1 Bedroom</v>
      </c>
      <c r="B10" s="1121">
        <f>Application!G724</f>
        <v>5</v>
      </c>
      <c r="C10" s="1122"/>
      <c r="D10" s="459">
        <f>Application!O724</f>
        <v>1286</v>
      </c>
      <c r="E10" s="460"/>
      <c r="F10" s="1123"/>
      <c r="G10" s="459">
        <f t="shared" si="2"/>
        <v>0</v>
      </c>
      <c r="H10" s="460"/>
      <c r="I10" s="459" t="str">
        <f t="shared" si="0"/>
        <v/>
      </c>
      <c r="J10" s="459" t="str">
        <f t="shared" si="1"/>
        <v/>
      </c>
      <c r="K10" s="218"/>
      <c r="L10" s="328"/>
    </row>
    <row r="11" spans="1:12">
      <c r="A11" s="459" t="str">
        <f>Application!B725</f>
        <v>2 Bedrooms</v>
      </c>
      <c r="B11" s="1121">
        <f>Application!G725</f>
        <v>6</v>
      </c>
      <c r="C11" s="1122"/>
      <c r="D11" s="459">
        <f>Application!O725</f>
        <v>1533</v>
      </c>
      <c r="E11" s="460"/>
      <c r="F11" s="1123"/>
      <c r="G11" s="459">
        <f t="shared" si="2"/>
        <v>0</v>
      </c>
      <c r="H11" s="460"/>
      <c r="I11" s="459" t="str">
        <f t="shared" si="0"/>
        <v/>
      </c>
      <c r="J11" s="459" t="str">
        <f t="shared" si="1"/>
        <v/>
      </c>
      <c r="K11" s="218"/>
      <c r="L11" s="328"/>
    </row>
    <row r="12" spans="1:12">
      <c r="A12" s="459" t="str">
        <f>Application!B726</f>
        <v>3 Bedrooms</v>
      </c>
      <c r="B12" s="1121">
        <f>Application!G726</f>
        <v>9</v>
      </c>
      <c r="C12" s="1122"/>
      <c r="D12" s="459">
        <f>Application!O726</f>
        <v>1761</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t="str">
        <f>Application!B728</f>
        <v>SRO/Studio</v>
      </c>
      <c r="B14" s="1121">
        <f>Application!G728</f>
        <v>8</v>
      </c>
      <c r="C14" s="1122"/>
      <c r="D14" s="459">
        <f>Application!O728</f>
        <v>1549</v>
      </c>
      <c r="E14" s="460"/>
      <c r="F14" s="1123"/>
      <c r="G14" s="459">
        <f t="shared" si="2"/>
        <v>0</v>
      </c>
      <c r="H14" s="460"/>
      <c r="I14" s="459" t="str">
        <f t="shared" si="0"/>
        <v/>
      </c>
      <c r="J14" s="459" t="str">
        <f t="shared" si="1"/>
        <v/>
      </c>
      <c r="K14" s="218"/>
      <c r="L14" s="328"/>
    </row>
    <row r="15" spans="1:12">
      <c r="A15" s="459" t="str">
        <f>Application!B729</f>
        <v>1 Bedroom</v>
      </c>
      <c r="B15" s="1121">
        <f>Application!G729</f>
        <v>3</v>
      </c>
      <c r="C15" s="1122"/>
      <c r="D15" s="459">
        <f>Application!O729</f>
        <v>1634</v>
      </c>
      <c r="E15" s="460"/>
      <c r="F15" s="1123"/>
      <c r="G15" s="459">
        <f t="shared" si="2"/>
        <v>0</v>
      </c>
      <c r="H15" s="460"/>
      <c r="I15" s="459" t="str">
        <f t="shared" si="0"/>
        <v/>
      </c>
      <c r="J15" s="459" t="str">
        <f t="shared" si="1"/>
        <v/>
      </c>
      <c r="K15" s="218"/>
      <c r="L15" s="328"/>
    </row>
    <row r="16" spans="1:12">
      <c r="A16" s="459" t="str">
        <f>Application!B730</f>
        <v>2 Bedrooms</v>
      </c>
      <c r="B16" s="1121">
        <f>Application!G730</f>
        <v>4</v>
      </c>
      <c r="C16" s="1122"/>
      <c r="D16" s="459">
        <f>Application!O730</f>
        <v>1951</v>
      </c>
      <c r="E16" s="460"/>
      <c r="F16" s="1123"/>
      <c r="G16" s="459">
        <f t="shared" si="2"/>
        <v>0</v>
      </c>
      <c r="H16" s="460"/>
      <c r="I16" s="459" t="str">
        <f t="shared" si="0"/>
        <v/>
      </c>
      <c r="J16" s="459" t="str">
        <f t="shared" si="1"/>
        <v/>
      </c>
      <c r="K16" s="218"/>
      <c r="L16" s="328"/>
    </row>
    <row r="17" spans="1:12">
      <c r="A17" s="459" t="str">
        <f>Application!B731</f>
        <v>3 Bedrooms</v>
      </c>
      <c r="B17" s="1121">
        <f>Application!G731</f>
        <v>6</v>
      </c>
      <c r="C17" s="1122"/>
      <c r="D17" s="459">
        <f>Application!O731</f>
        <v>2244</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t="str">
        <f>Application!B733</f>
        <v>1 Bedroom</v>
      </c>
      <c r="B19" s="1121">
        <f>Application!G733</f>
        <v>3</v>
      </c>
      <c r="C19" s="1122"/>
      <c r="D19" s="459">
        <f>Application!O733</f>
        <v>1983</v>
      </c>
      <c r="E19" s="460"/>
      <c r="F19" s="1123"/>
      <c r="G19" s="459">
        <f t="shared" si="2"/>
        <v>0</v>
      </c>
      <c r="H19" s="460"/>
      <c r="I19" s="459" t="str">
        <f t="shared" si="0"/>
        <v/>
      </c>
      <c r="J19" s="459" t="str">
        <f t="shared" si="1"/>
        <v/>
      </c>
      <c r="K19" s="218"/>
      <c r="L19" s="328"/>
    </row>
    <row r="20" spans="1:12">
      <c r="A20" s="459" t="str">
        <f>Application!B734</f>
        <v>2 Bedrooms</v>
      </c>
      <c r="B20" s="1121">
        <f>Application!G734</f>
        <v>4</v>
      </c>
      <c r="C20" s="1122"/>
      <c r="D20" s="459">
        <f>Application!O734</f>
        <v>2369</v>
      </c>
      <c r="E20" s="460"/>
      <c r="F20" s="1123"/>
      <c r="G20" s="459">
        <f t="shared" si="2"/>
        <v>0</v>
      </c>
      <c r="H20" s="460"/>
      <c r="I20" s="459" t="str">
        <f t="shared" si="0"/>
        <v/>
      </c>
      <c r="J20" s="459" t="str">
        <f t="shared" si="1"/>
        <v/>
      </c>
      <c r="K20" s="218"/>
      <c r="L20" s="328"/>
    </row>
    <row r="21" spans="1:12">
      <c r="A21" s="459" t="str">
        <f>Application!B735</f>
        <v>3 Bedrooms</v>
      </c>
      <c r="B21" s="1121">
        <f>Application!G735</f>
        <v>6</v>
      </c>
      <c r="C21" s="1122"/>
      <c r="D21" s="459">
        <f>Application!O735</f>
        <v>2727</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142741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D47" workbookViewId="0">
      <selection activeCell="C32" sqref="C32"/>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1712892</v>
      </c>
      <c r="G4" s="235">
        <f>E4*$C$4</f>
        <v>1755714.2999999998</v>
      </c>
      <c r="I4" s="235">
        <f>G4*$C$4</f>
        <v>1799607.1574999997</v>
      </c>
      <c r="K4" s="235">
        <f>I4*$C$4</f>
        <v>1844597.3364374996</v>
      </c>
      <c r="M4" s="235">
        <f>K4*$C$4</f>
        <v>1890712.269848437</v>
      </c>
      <c r="O4" s="235">
        <f>M4*$C$4</f>
        <v>1937980.0765946477</v>
      </c>
      <c r="Q4" s="235">
        <f>O4*$C$4</f>
        <v>1986429.5785095138</v>
      </c>
      <c r="S4" s="235">
        <f>Q4*$C$4</f>
        <v>2036090.3179722514</v>
      </c>
      <c r="U4" s="235">
        <f>S4*$C$4</f>
        <v>2086992.5759215576</v>
      </c>
      <c r="W4" s="235">
        <f>U4*$C$4</f>
        <v>2139167.3903195965</v>
      </c>
      <c r="Y4" s="235">
        <f>W4*$C$4</f>
        <v>2192646.5750775863</v>
      </c>
      <c r="AA4" s="235">
        <f>Y4*$C$4</f>
        <v>2247462.739454526</v>
      </c>
      <c r="AC4" s="235">
        <f>AA4*$C$4</f>
        <v>2303649.3079408891</v>
      </c>
      <c r="AE4" s="235">
        <f>AC4*$C$4</f>
        <v>2361240.5406394112</v>
      </c>
      <c r="AG4" s="235">
        <f>AE4*$C$4</f>
        <v>2420271.5541553963</v>
      </c>
    </row>
    <row r="5" spans="1:34" s="225" customFormat="1" ht="14.25">
      <c r="B5" s="225" t="s">
        <v>848</v>
      </c>
      <c r="C5" s="254">
        <f>IF(Application!$D$211="Special Needs",0.1,0.05)</f>
        <v>0.05</v>
      </c>
      <c r="E5" s="237">
        <f>-E4*$C$5</f>
        <v>-85644.6</v>
      </c>
      <c r="F5" s="237"/>
      <c r="G5" s="237">
        <f>-G4*$C$5</f>
        <v>-87785.714999999997</v>
      </c>
      <c r="H5" s="237"/>
      <c r="I5" s="237">
        <f>-I4*$C$5</f>
        <v>-89980.357874999987</v>
      </c>
      <c r="J5" s="237"/>
      <c r="K5" s="237">
        <f>-K4*$C$5</f>
        <v>-92229.866821874981</v>
      </c>
      <c r="L5" s="237"/>
      <c r="M5" s="237">
        <f>-M4*$C$5</f>
        <v>-94535.613492421864</v>
      </c>
      <c r="N5" s="237"/>
      <c r="O5" s="237">
        <f>-O4*$C$5</f>
        <v>-96899.003829732392</v>
      </c>
      <c r="P5" s="237"/>
      <c r="Q5" s="237">
        <f>-Q4*$C$5</f>
        <v>-99321.478925475691</v>
      </c>
      <c r="R5" s="237"/>
      <c r="S5" s="237">
        <f>-S4*$C$5</f>
        <v>-101804.51589861258</v>
      </c>
      <c r="T5" s="237"/>
      <c r="U5" s="237">
        <f>-U4*$C$5</f>
        <v>-104349.62879607789</v>
      </c>
      <c r="V5" s="237"/>
      <c r="W5" s="237">
        <f>-W4*$C$5</f>
        <v>-106958.36951597984</v>
      </c>
      <c r="X5" s="237"/>
      <c r="Y5" s="237">
        <f>-Y4*$C$5</f>
        <v>-109632.32875387932</v>
      </c>
      <c r="Z5" s="237"/>
      <c r="AA5" s="237">
        <f>-AA4*$C$5</f>
        <v>-112373.13697272631</v>
      </c>
      <c r="AB5" s="237"/>
      <c r="AC5" s="237">
        <f>-AC4*$C$5</f>
        <v>-115182.46539704446</v>
      </c>
      <c r="AD5" s="237"/>
      <c r="AE5" s="237">
        <f>-AE4*$C$5</f>
        <v>-118062.02703197056</v>
      </c>
      <c r="AF5" s="237"/>
      <c r="AG5" s="237">
        <f>-AG4*$C$5</f>
        <v>-121013.57770776981</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10920</v>
      </c>
      <c r="F8" s="238"/>
      <c r="G8" s="238">
        <f>E8*$C$8</f>
        <v>11192.999999999998</v>
      </c>
      <c r="H8" s="238"/>
      <c r="I8" s="238">
        <f>G8*$C$8</f>
        <v>11472.824999999997</v>
      </c>
      <c r="J8" s="238"/>
      <c r="K8" s="238">
        <f>I8*$C$8</f>
        <v>11759.645624999996</v>
      </c>
      <c r="L8" s="238"/>
      <c r="M8" s="238">
        <f>K8*$C$8</f>
        <v>12053.636765624995</v>
      </c>
      <c r="N8" s="238"/>
      <c r="O8" s="238">
        <f>M8*$C$8</f>
        <v>12354.977684765619</v>
      </c>
      <c r="P8" s="238"/>
      <c r="Q8" s="238">
        <f>O8*$C$8</f>
        <v>12663.852126884758</v>
      </c>
      <c r="R8" s="238"/>
      <c r="S8" s="238">
        <f>Q8*$C$8</f>
        <v>12980.448430056877</v>
      </c>
      <c r="T8" s="238"/>
      <c r="U8" s="238">
        <f>S8*$C$8</f>
        <v>13304.959640808298</v>
      </c>
      <c r="V8" s="238"/>
      <c r="W8" s="238">
        <f>U8*$C$8</f>
        <v>13637.583631828504</v>
      </c>
      <c r="X8" s="238"/>
      <c r="Y8" s="238">
        <f>W8*$C$8</f>
        <v>13978.523222624215</v>
      </c>
      <c r="Z8" s="238"/>
      <c r="AA8" s="238">
        <f>Y8*$C$8</f>
        <v>14327.986303189818</v>
      </c>
      <c r="AB8" s="238"/>
      <c r="AC8" s="238">
        <f>AA8*$C$8</f>
        <v>14686.185960769562</v>
      </c>
      <c r="AD8" s="238"/>
      <c r="AE8" s="238">
        <f>AC8*$C$8</f>
        <v>15053.3406097888</v>
      </c>
      <c r="AF8" s="238"/>
      <c r="AG8" s="238">
        <f>AE8*$C$8</f>
        <v>15429.674125033518</v>
      </c>
    </row>
    <row r="9" spans="1:34" s="225" customFormat="1" ht="14.25">
      <c r="B9" s="225" t="s">
        <v>848</v>
      </c>
      <c r="C9" s="254">
        <f>IF(Application!$D$211="Special Needs",0.1,0.05)</f>
        <v>0.05</v>
      </c>
      <c r="E9" s="237">
        <f>-E8*$C$9</f>
        <v>-546</v>
      </c>
      <c r="F9" s="237"/>
      <c r="G9" s="237">
        <f>-G8*$C$9</f>
        <v>-559.65</v>
      </c>
      <c r="H9" s="237"/>
      <c r="I9" s="237">
        <f>-I8*$C$9</f>
        <v>-573.6412499999999</v>
      </c>
      <c r="J9" s="237"/>
      <c r="K9" s="237">
        <f>-K8*$C$9</f>
        <v>-587.9822812499998</v>
      </c>
      <c r="L9" s="237"/>
      <c r="M9" s="237">
        <f>-M8*$C$9</f>
        <v>-602.68183828124972</v>
      </c>
      <c r="N9" s="237"/>
      <c r="O9" s="237">
        <f>-O8*$C$9</f>
        <v>-617.74888423828099</v>
      </c>
      <c r="P9" s="237"/>
      <c r="Q9" s="237">
        <f>-Q8*$C$9</f>
        <v>-633.1926063442379</v>
      </c>
      <c r="R9" s="237"/>
      <c r="S9" s="237">
        <f>-S8*$C$9</f>
        <v>-649.02242150284383</v>
      </c>
      <c r="T9" s="237"/>
      <c r="U9" s="237">
        <f>-U8*$C$9</f>
        <v>-665.24798204041497</v>
      </c>
      <c r="V9" s="237"/>
      <c r="W9" s="237">
        <f>-W8*$C$9</f>
        <v>-681.87918159142521</v>
      </c>
      <c r="X9" s="237"/>
      <c r="Y9" s="237">
        <f>-Y8*$C$9</f>
        <v>-698.92616113121085</v>
      </c>
      <c r="Z9" s="237"/>
      <c r="AA9" s="237">
        <f>-AA8*$C$9</f>
        <v>-716.39931515949092</v>
      </c>
      <c r="AB9" s="237"/>
      <c r="AC9" s="237">
        <f>-AC8*$C$9</f>
        <v>-734.30929803847812</v>
      </c>
      <c r="AD9" s="237"/>
      <c r="AE9" s="237">
        <f>-AE8*$C$9</f>
        <v>-752.66703048944009</v>
      </c>
      <c r="AF9" s="237"/>
      <c r="AG9" s="237">
        <f>-AG8*$C$9</f>
        <v>-771.48370625167593</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1637621.4</v>
      </c>
      <c r="G11" s="239">
        <f>SUM(G4:G10)</f>
        <v>1678561.9349999998</v>
      </c>
      <c r="I11" s="239">
        <f>SUM(I4:I10)</f>
        <v>1720525.9833749996</v>
      </c>
      <c r="K11" s="239">
        <f>SUM(K4:K10)</f>
        <v>1763539.1329593747</v>
      </c>
      <c r="M11" s="239">
        <f>SUM(M4:M10)</f>
        <v>1807627.6112833591</v>
      </c>
      <c r="O11" s="239">
        <f>SUM(O4:O10)</f>
        <v>1852818.3015654427</v>
      </c>
      <c r="Q11" s="239">
        <f>SUM(Q4:Q10)</f>
        <v>1899138.7591045785</v>
      </c>
      <c r="S11" s="239">
        <f>SUM(S4:S10)</f>
        <v>1946617.2280821931</v>
      </c>
      <c r="U11" s="239">
        <f>SUM(U4:U10)</f>
        <v>1995282.6587842477</v>
      </c>
      <c r="W11" s="239">
        <f>SUM(W4:W10)</f>
        <v>2045164.7252538537</v>
      </c>
      <c r="Y11" s="239">
        <f>SUM(Y4:Y10)</f>
        <v>2096293.8433852002</v>
      </c>
      <c r="AA11" s="239">
        <f>SUM(AA4:AA10)</f>
        <v>2148701.1894698301</v>
      </c>
      <c r="AC11" s="239">
        <f>SUM(AC4:AC10)</f>
        <v>2202418.7192065758</v>
      </c>
      <c r="AE11" s="239">
        <f>SUM(AE4:AE10)</f>
        <v>2257479.1871867399</v>
      </c>
      <c r="AG11" s="239">
        <f>SUM(AG4:AG10)</f>
        <v>2313916.1668664082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121607</v>
      </c>
      <c r="G15" s="235">
        <f>E15*$C$14</f>
        <v>125863.245</v>
      </c>
      <c r="I15" s="235">
        <f>G15*$C$14</f>
        <v>130268.45857499998</v>
      </c>
      <c r="K15" s="235">
        <f>I15*$C$14</f>
        <v>134827.85462512498</v>
      </c>
      <c r="M15" s="235">
        <f>K15*$C$14</f>
        <v>139546.82953700435</v>
      </c>
      <c r="O15" s="235">
        <f>M15*$C$14</f>
        <v>144430.96857079948</v>
      </c>
      <c r="Q15" s="235">
        <f>O15*$C$14</f>
        <v>149486.05247077745</v>
      </c>
      <c r="S15" s="235">
        <f>Q15*$C$14</f>
        <v>154718.06430725465</v>
      </c>
      <c r="U15" s="235">
        <f>S15*$C$14</f>
        <v>160133.19655800855</v>
      </c>
      <c r="W15" s="235">
        <f>U15*$C$14</f>
        <v>165737.85843753885</v>
      </c>
      <c r="Y15" s="235">
        <f>W15*$C$14</f>
        <v>171538.68348285271</v>
      </c>
      <c r="AA15" s="235">
        <f>Y15*$C$14</f>
        <v>177542.53740475254</v>
      </c>
      <c r="AC15" s="235">
        <f>AA15*$C$14</f>
        <v>183756.52621391887</v>
      </c>
      <c r="AE15" s="235">
        <f>AC15*$C$14</f>
        <v>190188.00463140602</v>
      </c>
      <c r="AG15" s="235">
        <f>AE15*$C$14</f>
        <v>196844.5847935052</v>
      </c>
    </row>
    <row r="16" spans="1:34" s="225" customFormat="1" ht="14.25">
      <c r="A16" s="225" t="s">
        <v>345</v>
      </c>
      <c r="C16" s="249"/>
      <c r="E16" s="238">
        <f>Application!W849</f>
        <v>62244</v>
      </c>
      <c r="F16" s="238"/>
      <c r="G16" s="238">
        <f t="shared" ref="G16:AG21" si="0">E16*$C$14</f>
        <v>64422.539999999994</v>
      </c>
      <c r="H16" s="238"/>
      <c r="I16" s="238">
        <f t="shared" si="0"/>
        <v>66677.328899999993</v>
      </c>
      <c r="J16" s="238"/>
      <c r="K16" s="238">
        <f t="shared" si="0"/>
        <v>69011.035411499994</v>
      </c>
      <c r="L16" s="238"/>
      <c r="M16" s="238">
        <f t="shared" si="0"/>
        <v>71426.421650902485</v>
      </c>
      <c r="N16" s="238"/>
      <c r="O16" s="238">
        <f t="shared" si="0"/>
        <v>73926.346408684069</v>
      </c>
      <c r="P16" s="238"/>
      <c r="Q16" s="238">
        <f t="shared" si="0"/>
        <v>76513.768532988004</v>
      </c>
      <c r="R16" s="238"/>
      <c r="S16" s="238">
        <f t="shared" si="0"/>
        <v>79191.750431642577</v>
      </c>
      <c r="T16" s="238"/>
      <c r="U16" s="238">
        <f t="shared" si="0"/>
        <v>81963.461696750062</v>
      </c>
      <c r="V16" s="238"/>
      <c r="W16" s="238">
        <f t="shared" si="0"/>
        <v>84832.182856136307</v>
      </c>
      <c r="X16" s="238"/>
      <c r="Y16" s="238">
        <f t="shared" si="0"/>
        <v>87801.309256101071</v>
      </c>
      <c r="Z16" s="238"/>
      <c r="AA16" s="238">
        <f t="shared" si="0"/>
        <v>90874.355080064604</v>
      </c>
      <c r="AB16" s="238"/>
      <c r="AC16" s="238">
        <f t="shared" si="0"/>
        <v>94054.957507866857</v>
      </c>
      <c r="AD16" s="238"/>
      <c r="AE16" s="238">
        <f t="shared" si="0"/>
        <v>97346.881020642191</v>
      </c>
      <c r="AF16" s="238"/>
      <c r="AG16" s="238">
        <f t="shared" si="0"/>
        <v>100754.02185636466</v>
      </c>
    </row>
    <row r="17" spans="1:33" s="225" customFormat="1" ht="14.25">
      <c r="A17" s="225" t="s">
        <v>568</v>
      </c>
      <c r="C17" s="249"/>
      <c r="E17" s="238">
        <f>Application!W855</f>
        <v>245294</v>
      </c>
      <c r="F17" s="238"/>
      <c r="G17" s="238">
        <f t="shared" si="0"/>
        <v>253879.28999999998</v>
      </c>
      <c r="H17" s="238"/>
      <c r="I17" s="238">
        <f t="shared" si="0"/>
        <v>262765.06514999998</v>
      </c>
      <c r="J17" s="238"/>
      <c r="K17" s="238">
        <f t="shared" si="0"/>
        <v>271961.84243024996</v>
      </c>
      <c r="L17" s="238"/>
      <c r="M17" s="238">
        <f t="shared" si="0"/>
        <v>281480.50691530871</v>
      </c>
      <c r="N17" s="238"/>
      <c r="O17" s="238">
        <f t="shared" si="0"/>
        <v>291332.32465734449</v>
      </c>
      <c r="P17" s="238"/>
      <c r="Q17" s="238">
        <f t="shared" si="0"/>
        <v>301528.9560203515</v>
      </c>
      <c r="R17" s="238"/>
      <c r="S17" s="238">
        <f t="shared" si="0"/>
        <v>312082.46948106377</v>
      </c>
      <c r="T17" s="238"/>
      <c r="U17" s="238">
        <f t="shared" si="0"/>
        <v>323005.355912901</v>
      </c>
      <c r="V17" s="238"/>
      <c r="W17" s="238">
        <f t="shared" si="0"/>
        <v>334310.54336985253</v>
      </c>
      <c r="X17" s="238"/>
      <c r="Y17" s="238">
        <f t="shared" si="0"/>
        <v>346011.41238779732</v>
      </c>
      <c r="Z17" s="238"/>
      <c r="AA17" s="238">
        <f t="shared" si="0"/>
        <v>358121.81182137021</v>
      </c>
      <c r="AB17" s="238"/>
      <c r="AC17" s="238">
        <f t="shared" si="0"/>
        <v>370656.07523511816</v>
      </c>
      <c r="AD17" s="238"/>
      <c r="AE17" s="238">
        <f t="shared" si="0"/>
        <v>383629.03786834725</v>
      </c>
      <c r="AF17" s="238"/>
      <c r="AG17" s="238">
        <f t="shared" si="0"/>
        <v>397056.05419373937</v>
      </c>
    </row>
    <row r="18" spans="1:33" s="225" customFormat="1" ht="14.25">
      <c r="A18" s="225" t="s">
        <v>852</v>
      </c>
      <c r="C18" s="249"/>
      <c r="E18" s="238">
        <f>Application!W862</f>
        <v>222190</v>
      </c>
      <c r="F18" s="238"/>
      <c r="G18" s="238">
        <f t="shared" si="0"/>
        <v>229966.65</v>
      </c>
      <c r="H18" s="238"/>
      <c r="I18" s="238">
        <f t="shared" si="0"/>
        <v>238015.48274999997</v>
      </c>
      <c r="J18" s="238"/>
      <c r="K18" s="238">
        <f t="shared" si="0"/>
        <v>246346.02464624995</v>
      </c>
      <c r="L18" s="238"/>
      <c r="M18" s="238">
        <f t="shared" si="0"/>
        <v>254968.13550886867</v>
      </c>
      <c r="N18" s="238"/>
      <c r="O18" s="238">
        <f t="shared" si="0"/>
        <v>263892.02025167906</v>
      </c>
      <c r="P18" s="238"/>
      <c r="Q18" s="238">
        <f t="shared" si="0"/>
        <v>273128.2409604878</v>
      </c>
      <c r="R18" s="238"/>
      <c r="S18" s="238">
        <f t="shared" si="0"/>
        <v>282687.72939410486</v>
      </c>
      <c r="T18" s="238"/>
      <c r="U18" s="238">
        <f t="shared" si="0"/>
        <v>292581.79992289853</v>
      </c>
      <c r="V18" s="238"/>
      <c r="W18" s="238">
        <f t="shared" si="0"/>
        <v>302822.16292019997</v>
      </c>
      <c r="X18" s="238"/>
      <c r="Y18" s="238">
        <f t="shared" si="0"/>
        <v>313420.93862240697</v>
      </c>
      <c r="Z18" s="238"/>
      <c r="AA18" s="238">
        <f t="shared" si="0"/>
        <v>324390.67147419119</v>
      </c>
      <c r="AB18" s="238"/>
      <c r="AC18" s="238">
        <f t="shared" si="0"/>
        <v>335744.34497578786</v>
      </c>
      <c r="AD18" s="238"/>
      <c r="AE18" s="238">
        <f t="shared" si="0"/>
        <v>347495.39704994042</v>
      </c>
      <c r="AF18" s="238"/>
      <c r="AG18" s="238">
        <f t="shared" si="0"/>
        <v>359657.73594668834</v>
      </c>
    </row>
    <row r="19" spans="1:33" s="225" customFormat="1" ht="14.25">
      <c r="A19" s="225" t="s">
        <v>155</v>
      </c>
      <c r="C19" s="249"/>
      <c r="E19" s="238">
        <f>Application!W863</f>
        <v>101247</v>
      </c>
      <c r="F19" s="238"/>
      <c r="G19" s="238">
        <f t="shared" si="0"/>
        <v>104790.64499999999</v>
      </c>
      <c r="H19" s="238"/>
      <c r="I19" s="238">
        <f t="shared" si="0"/>
        <v>108458.31757499998</v>
      </c>
      <c r="J19" s="238"/>
      <c r="K19" s="238">
        <f t="shared" si="0"/>
        <v>112254.35869012497</v>
      </c>
      <c r="L19" s="238"/>
      <c r="M19" s="238">
        <f t="shared" si="0"/>
        <v>116183.26124427933</v>
      </c>
      <c r="N19" s="238"/>
      <c r="O19" s="238">
        <f t="shared" si="0"/>
        <v>120249.67538782911</v>
      </c>
      <c r="P19" s="238"/>
      <c r="Q19" s="238">
        <f t="shared" si="0"/>
        <v>124458.41402640312</v>
      </c>
      <c r="R19" s="238"/>
      <c r="S19" s="238">
        <f t="shared" si="0"/>
        <v>128814.45851732722</v>
      </c>
      <c r="T19" s="238"/>
      <c r="U19" s="238">
        <f t="shared" si="0"/>
        <v>133322.96456543365</v>
      </c>
      <c r="V19" s="238"/>
      <c r="W19" s="238">
        <f t="shared" si="0"/>
        <v>137989.26832522382</v>
      </c>
      <c r="X19" s="238"/>
      <c r="Y19" s="238">
        <f t="shared" si="0"/>
        <v>142818.89271660664</v>
      </c>
      <c r="Z19" s="238"/>
      <c r="AA19" s="238">
        <f t="shared" si="0"/>
        <v>147817.55396168787</v>
      </c>
      <c r="AB19" s="238"/>
      <c r="AC19" s="238">
        <f t="shared" si="0"/>
        <v>152991.16835034694</v>
      </c>
      <c r="AD19" s="238"/>
      <c r="AE19" s="238">
        <f t="shared" si="0"/>
        <v>158345.85924260906</v>
      </c>
      <c r="AF19" s="238"/>
      <c r="AG19" s="238">
        <f t="shared" si="0"/>
        <v>163887.96431610038</v>
      </c>
    </row>
    <row r="20" spans="1:33" s="225" customFormat="1" ht="14.25">
      <c r="A20" s="225" t="s">
        <v>391</v>
      </c>
      <c r="C20" s="249"/>
      <c r="E20" s="238">
        <f>Application!W872</f>
        <v>163502</v>
      </c>
      <c r="F20" s="238"/>
      <c r="G20" s="238">
        <f t="shared" si="0"/>
        <v>169224.56999999998</v>
      </c>
      <c r="H20" s="238"/>
      <c r="I20" s="238">
        <f t="shared" si="0"/>
        <v>175147.42994999996</v>
      </c>
      <c r="J20" s="238"/>
      <c r="K20" s="238">
        <f t="shared" si="0"/>
        <v>181277.58999824995</v>
      </c>
      <c r="L20" s="238"/>
      <c r="M20" s="238">
        <f t="shared" si="0"/>
        <v>187622.30564818869</v>
      </c>
      <c r="N20" s="238"/>
      <c r="O20" s="238">
        <f t="shared" si="0"/>
        <v>194189.08634587529</v>
      </c>
      <c r="P20" s="238"/>
      <c r="Q20" s="238">
        <f t="shared" si="0"/>
        <v>200985.70436798091</v>
      </c>
      <c r="R20" s="238"/>
      <c r="S20" s="238">
        <f t="shared" si="0"/>
        <v>208020.20402086023</v>
      </c>
      <c r="T20" s="238"/>
      <c r="U20" s="238">
        <f t="shared" si="0"/>
        <v>215300.91116159031</v>
      </c>
      <c r="V20" s="238"/>
      <c r="W20" s="238">
        <f t="shared" si="0"/>
        <v>222836.44305224594</v>
      </c>
      <c r="X20" s="238"/>
      <c r="Y20" s="238">
        <f t="shared" si="0"/>
        <v>230635.71855907454</v>
      </c>
      <c r="Z20" s="238"/>
      <c r="AA20" s="238">
        <f t="shared" si="0"/>
        <v>238707.96870864212</v>
      </c>
      <c r="AB20" s="238"/>
      <c r="AC20" s="238">
        <f t="shared" si="0"/>
        <v>247062.74761344458</v>
      </c>
      <c r="AD20" s="238"/>
      <c r="AE20" s="238">
        <f t="shared" si="0"/>
        <v>255709.94377991511</v>
      </c>
      <c r="AF20" s="238"/>
      <c r="AG20" s="238">
        <f t="shared" si="0"/>
        <v>264659.79181221209</v>
      </c>
    </row>
    <row r="21" spans="1:33" s="225" customFormat="1" ht="14.25">
      <c r="A21" s="242" t="s">
        <v>979</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916084</v>
      </c>
      <c r="G22" s="239">
        <f>SUM(G15:G21)</f>
        <v>948146.94</v>
      </c>
      <c r="I22" s="239">
        <f>SUM(I15:I21)</f>
        <v>981332.0828999998</v>
      </c>
      <c r="K22" s="239">
        <f>SUM(K15:K21)</f>
        <v>1015678.7058014998</v>
      </c>
      <c r="M22" s="239">
        <f>SUM(M15:M21)</f>
        <v>1051227.4605045523</v>
      </c>
      <c r="O22" s="239">
        <f>SUM(O15:O21)</f>
        <v>1088020.4216222116</v>
      </c>
      <c r="Q22" s="239">
        <f>SUM(Q15:Q21)</f>
        <v>1126101.1363789886</v>
      </c>
      <c r="S22" s="239">
        <f>SUM(S15:S21)</f>
        <v>1165514.6761522533</v>
      </c>
      <c r="U22" s="239">
        <f>SUM(U15:U21)</f>
        <v>1206307.6898175823</v>
      </c>
      <c r="W22" s="239">
        <f>SUM(W15:W21)</f>
        <v>1248528.4589611974</v>
      </c>
      <c r="Y22" s="239">
        <f>SUM(Y15:Y21)</f>
        <v>1292226.9550248391</v>
      </c>
      <c r="AA22" s="239">
        <f>SUM(AA15:AA21)</f>
        <v>1337454.8984507085</v>
      </c>
      <c r="AC22" s="239">
        <f>SUM(AC15:AC21)</f>
        <v>1384265.8198964833</v>
      </c>
      <c r="AE22" s="239">
        <f>SUM(AE15:AE21)</f>
        <v>1432715.1235928601</v>
      </c>
      <c r="AG22" s="239">
        <f>SUM(AG15:AG21)</f>
        <v>1482860.1529186103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120755</v>
      </c>
      <c r="F27" s="238"/>
      <c r="G27" s="238">
        <f>E27*$C$27</f>
        <v>124981.42499999999</v>
      </c>
      <c r="H27" s="238"/>
      <c r="I27" s="238">
        <f>G27*$C$27</f>
        <v>129355.77487499997</v>
      </c>
      <c r="J27" s="238"/>
      <c r="K27" s="238">
        <f>I27*$C$27</f>
        <v>133883.22699562495</v>
      </c>
      <c r="L27" s="238"/>
      <c r="M27" s="238">
        <f>K27*$C$27</f>
        <v>138569.13994047182</v>
      </c>
      <c r="N27" s="238"/>
      <c r="O27" s="238">
        <f>M27*$C$27</f>
        <v>143419.05983838832</v>
      </c>
      <c r="P27" s="238"/>
      <c r="Q27" s="238">
        <f>O27*$C$27</f>
        <v>148438.72693273189</v>
      </c>
      <c r="R27" s="238"/>
      <c r="S27" s="238">
        <f>Q27*$C$27</f>
        <v>153634.0823753775</v>
      </c>
      <c r="T27" s="238"/>
      <c r="U27" s="238">
        <f>S27*$C$27</f>
        <v>159011.2752585157</v>
      </c>
      <c r="V27" s="238"/>
      <c r="W27" s="238">
        <f>U27*$C$27</f>
        <v>164576.66989256375</v>
      </c>
      <c r="X27" s="238"/>
      <c r="Y27" s="238">
        <f>W27*$C$27</f>
        <v>170336.85333880346</v>
      </c>
      <c r="Z27" s="238"/>
      <c r="AA27" s="238">
        <f>Y27*$C$27</f>
        <v>176298.64320566156</v>
      </c>
      <c r="AB27" s="238"/>
      <c r="AC27" s="238">
        <f>AA27*$C$27</f>
        <v>182469.09571785969</v>
      </c>
      <c r="AD27" s="238"/>
      <c r="AE27" s="238">
        <f>AC27*$C$27</f>
        <v>188855.51406798477</v>
      </c>
      <c r="AF27" s="238"/>
      <c r="AG27" s="238">
        <f>AE27*$C$27</f>
        <v>195465.45706036422</v>
      </c>
    </row>
    <row r="28" spans="1:33" s="225" customFormat="1" ht="14.25">
      <c r="A28" s="225" t="s">
        <v>856</v>
      </c>
      <c r="C28" s="253"/>
      <c r="E28" s="238">
        <f>Application!AC889</f>
        <v>46000</v>
      </c>
      <c r="F28" s="238"/>
      <c r="G28" s="238">
        <f>$E$28</f>
        <v>46000</v>
      </c>
      <c r="H28" s="238"/>
      <c r="I28" s="238">
        <f>$E$28</f>
        <v>46000</v>
      </c>
      <c r="J28" s="238"/>
      <c r="K28" s="238">
        <f>$E$28</f>
        <v>46000</v>
      </c>
      <c r="L28" s="238"/>
      <c r="M28" s="238">
        <f>$E$28</f>
        <v>46000</v>
      </c>
      <c r="N28" s="238"/>
      <c r="O28" s="238">
        <f>$E$28</f>
        <v>46000</v>
      </c>
      <c r="P28" s="238"/>
      <c r="Q28" s="238">
        <f>$E$28</f>
        <v>46000</v>
      </c>
      <c r="R28" s="238"/>
      <c r="S28" s="238">
        <f>$E$28</f>
        <v>46000</v>
      </c>
      <c r="T28" s="238"/>
      <c r="U28" s="238">
        <f>$E$28</f>
        <v>46000</v>
      </c>
      <c r="V28" s="238"/>
      <c r="W28" s="238">
        <f>$E$28</f>
        <v>46000</v>
      </c>
      <c r="X28" s="238"/>
      <c r="Y28" s="238">
        <f>$E$28</f>
        <v>46000</v>
      </c>
      <c r="Z28" s="238"/>
      <c r="AA28" s="238">
        <f>$E$28</f>
        <v>46000</v>
      </c>
      <c r="AB28" s="238"/>
      <c r="AC28" s="238">
        <f>$E$28</f>
        <v>46000</v>
      </c>
      <c r="AD28" s="238"/>
      <c r="AE28" s="238">
        <f>$E$28</f>
        <v>46000</v>
      </c>
      <c r="AF28" s="238"/>
      <c r="AG28" s="238">
        <f>$E$28</f>
        <v>46000</v>
      </c>
    </row>
    <row r="29" spans="1:33" s="225" customFormat="1" ht="14.25">
      <c r="A29" s="225" t="s">
        <v>1867</v>
      </c>
      <c r="C29" s="253"/>
      <c r="E29" s="238">
        <f>Application!AC890</f>
        <v>92400</v>
      </c>
      <c r="F29" s="238"/>
      <c r="G29" s="238">
        <f>$E$29</f>
        <v>92400</v>
      </c>
      <c r="H29" s="238"/>
      <c r="I29" s="238">
        <f>$E$29</f>
        <v>92400</v>
      </c>
      <c r="J29" s="238"/>
      <c r="K29" s="238">
        <f>$E$29</f>
        <v>92400</v>
      </c>
      <c r="L29" s="238"/>
      <c r="M29" s="238">
        <f>$E$29</f>
        <v>92400</v>
      </c>
      <c r="N29" s="238"/>
      <c r="O29" s="238">
        <f>$E$29</f>
        <v>92400</v>
      </c>
      <c r="P29" s="238"/>
      <c r="Q29" s="238">
        <f>$E$29</f>
        <v>92400</v>
      </c>
      <c r="R29" s="238"/>
      <c r="S29" s="238">
        <f>$E$29</f>
        <v>92400</v>
      </c>
      <c r="T29" s="238"/>
      <c r="U29" s="238">
        <f>$E$29</f>
        <v>92400</v>
      </c>
      <c r="V29" s="238"/>
      <c r="W29" s="238">
        <f>$E$29</f>
        <v>92400</v>
      </c>
      <c r="X29" s="238"/>
      <c r="Y29" s="238">
        <f>$E$29</f>
        <v>92400</v>
      </c>
      <c r="Z29" s="238"/>
      <c r="AA29" s="238">
        <f>$E$29</f>
        <v>92400</v>
      </c>
      <c r="AB29" s="238"/>
      <c r="AC29" s="238">
        <f>$E$29</f>
        <v>92400</v>
      </c>
      <c r="AD29" s="238"/>
      <c r="AE29" s="238">
        <f>$E$29</f>
        <v>92400</v>
      </c>
      <c r="AF29" s="238"/>
      <c r="AG29" s="238">
        <f>$E$29</f>
        <v>92400</v>
      </c>
    </row>
    <row r="30" spans="1:33" s="225" customFormat="1" ht="14.25">
      <c r="A30" s="225" t="s">
        <v>854</v>
      </c>
      <c r="C30" s="253">
        <v>1.02</v>
      </c>
      <c r="E30" s="238">
        <f>Application!AC891</f>
        <v>8375</v>
      </c>
      <c r="F30" s="238"/>
      <c r="G30" s="238">
        <f>E30*$C$30</f>
        <v>8542.5</v>
      </c>
      <c r="H30" s="238"/>
      <c r="I30" s="238">
        <f>G30*$C$30</f>
        <v>8713.35</v>
      </c>
      <c r="J30" s="238"/>
      <c r="K30" s="238">
        <f>I30*$C$30</f>
        <v>8887.6170000000002</v>
      </c>
      <c r="L30" s="238"/>
      <c r="M30" s="238">
        <f>K30*$C$30</f>
        <v>9065.3693400000011</v>
      </c>
      <c r="N30" s="238"/>
      <c r="O30" s="238">
        <f>M30*$C$30</f>
        <v>9246.6767268000021</v>
      </c>
      <c r="P30" s="238"/>
      <c r="Q30" s="238">
        <f>O30*$C$30</f>
        <v>9431.6102613360017</v>
      </c>
      <c r="R30" s="238"/>
      <c r="S30" s="238">
        <f>Q30*$C$30</f>
        <v>9620.2424665627223</v>
      </c>
      <c r="T30" s="238"/>
      <c r="U30" s="238">
        <f>S30*$C$30</f>
        <v>9812.6473158939771</v>
      </c>
      <c r="V30" s="238"/>
      <c r="W30" s="238">
        <f>U30*$C$30</f>
        <v>10008.900262211857</v>
      </c>
      <c r="X30" s="238"/>
      <c r="Y30" s="238">
        <f>W30*$C$30</f>
        <v>10209.078267456094</v>
      </c>
      <c r="Z30" s="238"/>
      <c r="AA30" s="238">
        <f>Y30*$C$30</f>
        <v>10413.259832805215</v>
      </c>
      <c r="AB30" s="238"/>
      <c r="AC30" s="238">
        <f>AA30*$C$30</f>
        <v>10621.52502946132</v>
      </c>
      <c r="AD30" s="238"/>
      <c r="AE30" s="238">
        <f>AC30*$C$30</f>
        <v>10833.955530050547</v>
      </c>
      <c r="AF30" s="238"/>
      <c r="AG30" s="238">
        <f>AE30*$C$30</f>
        <v>11050.634640651559</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(Issuer and Trustee Fees):</v>
      </c>
      <c r="C32" s="340">
        <v>1</v>
      </c>
      <c r="E32" s="238">
        <f>Application!AC893</f>
        <v>8438</v>
      </c>
      <c r="F32" s="238"/>
      <c r="G32" s="238">
        <f>E32*$C$32</f>
        <v>8438</v>
      </c>
      <c r="H32" s="238"/>
      <c r="I32" s="238">
        <f>G32*$C$32</f>
        <v>8438</v>
      </c>
      <c r="J32" s="238"/>
      <c r="K32" s="238">
        <f>I32*$C$32</f>
        <v>8438</v>
      </c>
      <c r="L32" s="238"/>
      <c r="M32" s="238">
        <f>K32*$C$32</f>
        <v>8438</v>
      </c>
      <c r="N32" s="238"/>
      <c r="O32" s="238">
        <f>M32*$C$32</f>
        <v>8438</v>
      </c>
      <c r="P32" s="238"/>
      <c r="Q32" s="238">
        <f>O32*$C$32</f>
        <v>8438</v>
      </c>
      <c r="R32" s="238"/>
      <c r="S32" s="238">
        <f>Q32*$C$32</f>
        <v>8438</v>
      </c>
      <c r="T32" s="238"/>
      <c r="U32" s="238">
        <f>S32*$C$32</f>
        <v>8438</v>
      </c>
      <c r="V32" s="238"/>
      <c r="W32" s="238">
        <f>U32*$C$32</f>
        <v>8438</v>
      </c>
      <c r="X32" s="238"/>
      <c r="Y32" s="238">
        <f>W32*$C$32</f>
        <v>8438</v>
      </c>
      <c r="Z32" s="238"/>
      <c r="AA32" s="238">
        <f>Y32*$C$32</f>
        <v>8438</v>
      </c>
      <c r="AB32" s="238"/>
      <c r="AC32" s="238">
        <f>AA32*$C$32</f>
        <v>8438</v>
      </c>
      <c r="AD32" s="238"/>
      <c r="AE32" s="238">
        <f>AC32*$C$32</f>
        <v>8438</v>
      </c>
      <c r="AF32" s="238"/>
      <c r="AG32" s="238">
        <f>AE32*$C$32</f>
        <v>8438</v>
      </c>
    </row>
    <row r="33" spans="1:33" s="225" customFormat="1" ht="14.25">
      <c r="A33" s="225" t="str">
        <f>Application!C894</f>
        <v>Other (Ground Lease Payment):</v>
      </c>
      <c r="C33" s="340">
        <v>1</v>
      </c>
      <c r="E33" s="238">
        <f>Application!AC894</f>
        <v>1</v>
      </c>
      <c r="F33" s="238"/>
      <c r="G33" s="238">
        <f>E33*$C$33</f>
        <v>1</v>
      </c>
      <c r="H33" s="238"/>
      <c r="I33" s="238">
        <f>G33*$C$33</f>
        <v>1</v>
      </c>
      <c r="J33" s="238"/>
      <c r="K33" s="238">
        <f>I33*$C$33</f>
        <v>1</v>
      </c>
      <c r="L33" s="238"/>
      <c r="M33" s="238">
        <f>K33*$C$33</f>
        <v>1</v>
      </c>
      <c r="N33" s="238"/>
      <c r="O33" s="238">
        <f>M33*$C$33</f>
        <v>1</v>
      </c>
      <c r="P33" s="238"/>
      <c r="Q33" s="238">
        <f>O33*$C$33</f>
        <v>1</v>
      </c>
      <c r="R33" s="238"/>
      <c r="S33" s="238">
        <f>Q33*$C$33</f>
        <v>1</v>
      </c>
      <c r="T33" s="238"/>
      <c r="U33" s="238">
        <f>S33*$C$33</f>
        <v>1</v>
      </c>
      <c r="V33" s="238"/>
      <c r="W33" s="238">
        <f>U33*$C$33</f>
        <v>1</v>
      </c>
      <c r="X33" s="238"/>
      <c r="Y33" s="238">
        <f>W33*$C$33</f>
        <v>1</v>
      </c>
      <c r="Z33" s="238"/>
      <c r="AA33" s="238">
        <f>Y33*$C$33</f>
        <v>1</v>
      </c>
      <c r="AB33" s="238"/>
      <c r="AC33" s="238">
        <f>AA33*$C$33</f>
        <v>1</v>
      </c>
      <c r="AD33" s="238"/>
      <c r="AE33" s="238">
        <f>AC33*$C$33</f>
        <v>1</v>
      </c>
      <c r="AF33" s="238"/>
      <c r="AG33" s="238">
        <f>AE33*$C$33</f>
        <v>1</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1192053</v>
      </c>
      <c r="G35" s="239">
        <f>SUM(G22:G33)</f>
        <v>1228509.865</v>
      </c>
      <c r="I35" s="239">
        <f>SUM(I22:I33)</f>
        <v>1266240.2077749998</v>
      </c>
      <c r="K35" s="239">
        <f>SUM(K22:K33)</f>
        <v>1305288.5497971247</v>
      </c>
      <c r="M35" s="239">
        <f>SUM(M22:M33)</f>
        <v>1345700.9697850242</v>
      </c>
      <c r="O35" s="239">
        <f>SUM(O22:O33)</f>
        <v>1387525.1581873999</v>
      </c>
      <c r="Q35" s="239">
        <f>SUM(Q22:Q33)</f>
        <v>1430810.4735730565</v>
      </c>
      <c r="S35" s="239">
        <f>SUM(S22:S33)</f>
        <v>1475608.0009941934</v>
      </c>
      <c r="U35" s="239">
        <f>SUM(U22:U33)</f>
        <v>1521970.612391992</v>
      </c>
      <c r="W35" s="239">
        <f>SUM(W22:W33)</f>
        <v>1569953.029115973</v>
      </c>
      <c r="Y35" s="239">
        <f>SUM(Y22:Y33)</f>
        <v>1619611.8866310986</v>
      </c>
      <c r="AA35" s="239">
        <f>SUM(AA22:AA33)</f>
        <v>1671005.8014891753</v>
      </c>
      <c r="AC35" s="239">
        <f>SUM(AC22:AC33)</f>
        <v>1724195.4406438044</v>
      </c>
      <c r="AE35" s="239">
        <f>SUM(AE22:AE33)</f>
        <v>1779243.5931908952</v>
      </c>
      <c r="AG35" s="239">
        <f>SUM(AG22:AG33)</f>
        <v>1836215.2446196261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445568.39999999991</v>
      </c>
      <c r="G37" s="239">
        <f>G11-G35</f>
        <v>450052.06999999983</v>
      </c>
      <c r="I37" s="239">
        <f>I11-I35</f>
        <v>454285.77559999982</v>
      </c>
      <c r="K37" s="239">
        <f>K11-K35</f>
        <v>458250.58316225</v>
      </c>
      <c r="M37" s="239">
        <f>M11-M35</f>
        <v>461926.64149833494</v>
      </c>
      <c r="O37" s="239">
        <f>O11-O35</f>
        <v>465293.14337804285</v>
      </c>
      <c r="Q37" s="239">
        <f>Q11-Q35</f>
        <v>468328.28553152201</v>
      </c>
      <c r="S37" s="239">
        <f>S11-S35</f>
        <v>471009.22708799969</v>
      </c>
      <c r="U37" s="239">
        <f>U11-U35</f>
        <v>473312.0463922557</v>
      </c>
      <c r="W37" s="239">
        <f>W11-W35</f>
        <v>475211.69613788067</v>
      </c>
      <c r="Y37" s="239">
        <f>Y11-Y35</f>
        <v>476681.95675410167</v>
      </c>
      <c r="AA37" s="239">
        <f>AA11-AA35</f>
        <v>477695.38798065484</v>
      </c>
      <c r="AC37" s="239">
        <f>AC11-AC35</f>
        <v>478223.27856277139</v>
      </c>
      <c r="AE37" s="239">
        <f>AE11-AE35</f>
        <v>478235.59399584471</v>
      </c>
      <c r="AG37" s="239">
        <f>AG11-AG35</f>
        <v>477700.92224678211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Tax-Exempt Permanent Loan - CCRC</v>
      </c>
      <c r="B40" s="242"/>
      <c r="C40" s="236"/>
      <c r="E40" s="238">
        <f>Application!AF627</f>
        <v>372909.52582811832</v>
      </c>
      <c r="F40" s="238"/>
      <c r="G40" s="238">
        <f>$E$40</f>
        <v>372909.52582811832</v>
      </c>
      <c r="H40" s="238"/>
      <c r="I40" s="238">
        <f>$E$40</f>
        <v>372909.52582811832</v>
      </c>
      <c r="J40" s="238"/>
      <c r="K40" s="238">
        <f>$E$40</f>
        <v>372909.52582811832</v>
      </c>
      <c r="L40" s="238"/>
      <c r="M40" s="238">
        <f>$E$40</f>
        <v>372909.52582811832</v>
      </c>
      <c r="N40" s="238"/>
      <c r="O40" s="238">
        <f>$E$40</f>
        <v>372909.52582811832</v>
      </c>
      <c r="P40" s="238"/>
      <c r="Q40" s="238">
        <f>$E$40</f>
        <v>372909.52582811832</v>
      </c>
      <c r="R40" s="238"/>
      <c r="S40" s="238">
        <f>$E$40</f>
        <v>372909.52582811832</v>
      </c>
      <c r="T40" s="238"/>
      <c r="U40" s="238">
        <f>$E$40</f>
        <v>372909.52582811832</v>
      </c>
      <c r="V40" s="238"/>
      <c r="W40" s="238">
        <f>$E$40</f>
        <v>372909.52582811832</v>
      </c>
      <c r="X40" s="238"/>
      <c r="Y40" s="238">
        <f>$E$40</f>
        <v>372909.52582811832</v>
      </c>
      <c r="Z40" s="238"/>
      <c r="AA40" s="238">
        <f>$E$40</f>
        <v>372909.52582811832</v>
      </c>
      <c r="AB40" s="238"/>
      <c r="AC40" s="238">
        <f>$E$40</f>
        <v>372909.52582811832</v>
      </c>
      <c r="AD40" s="238"/>
      <c r="AE40" s="238">
        <f>$E$40</f>
        <v>372909.52582811832</v>
      </c>
      <c r="AF40" s="238"/>
      <c r="AG40" s="238">
        <f>$E$40</f>
        <v>372909.52582811832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372909.52582811832</v>
      </c>
      <c r="G43" s="239">
        <f>SUM(G40:G42)</f>
        <v>372909.52582811832</v>
      </c>
      <c r="I43" s="239">
        <f>SUM(I40:I42)</f>
        <v>372909.52582811832</v>
      </c>
      <c r="K43" s="239">
        <f>SUM(K40:K42)</f>
        <v>372909.52582811832</v>
      </c>
      <c r="M43" s="239">
        <f>SUM(M40:M42)</f>
        <v>372909.52582811832</v>
      </c>
      <c r="O43" s="239">
        <f>SUM(O40:O42)</f>
        <v>372909.52582811832</v>
      </c>
      <c r="Q43" s="239">
        <f>SUM(Q40:Q42)</f>
        <v>372909.52582811832</v>
      </c>
      <c r="S43" s="239">
        <f>SUM(S40:S42)</f>
        <v>372909.52582811832</v>
      </c>
      <c r="U43" s="239">
        <f>SUM(U40:U42)</f>
        <v>372909.52582811832</v>
      </c>
      <c r="W43" s="239">
        <f>SUM(W40:W42)</f>
        <v>372909.52582811832</v>
      </c>
      <c r="Y43" s="239">
        <f>SUM(Y40:Y42)</f>
        <v>372909.52582811832</v>
      </c>
      <c r="AA43" s="239">
        <f>SUM(AA40:AA42)</f>
        <v>372909.52582811832</v>
      </c>
      <c r="AC43" s="239">
        <f>SUM(AC40:AC42)</f>
        <v>372909.52582811832</v>
      </c>
      <c r="AE43" s="239">
        <f>SUM(AE40:AE42)</f>
        <v>372909.52582811832</v>
      </c>
      <c r="AG43" s="239">
        <f>SUM(AG40:AG42)</f>
        <v>372909.52582811832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72658.874171881587</v>
      </c>
      <c r="G45" s="239">
        <f>G37-G43</f>
        <v>77142.544171881513</v>
      </c>
      <c r="I45" s="239">
        <f>I37-I43</f>
        <v>81376.249771881499</v>
      </c>
      <c r="K45" s="239">
        <f>K37-K43</f>
        <v>85341.057334131678</v>
      </c>
      <c r="M45" s="239">
        <f>M37-M43</f>
        <v>89017.115670216619</v>
      </c>
      <c r="O45" s="239">
        <f>O37-O43</f>
        <v>92383.617549924529</v>
      </c>
      <c r="Q45" s="239">
        <f>Q37-Q43</f>
        <v>95418.759703403688</v>
      </c>
      <c r="S45" s="239">
        <f>S37-S43</f>
        <v>98099.701259881374</v>
      </c>
      <c r="U45" s="239">
        <f>U37-U43</f>
        <v>100402.52056413738</v>
      </c>
      <c r="W45" s="239">
        <f>W37-W43</f>
        <v>102302.17030976235</v>
      </c>
      <c r="Y45" s="239">
        <f>Y37-Y43</f>
        <v>103772.43092598335</v>
      </c>
      <c r="AA45" s="239">
        <f>AA37-AA43</f>
        <v>104785.86215253652</v>
      </c>
      <c r="AC45" s="239">
        <f>AC37-AC43</f>
        <v>105313.75273465307</v>
      </c>
      <c r="AE45" s="239">
        <f>AE37-AE43</f>
        <v>105326.06816772639</v>
      </c>
      <c r="AG45" s="239">
        <f>AG37-AG43</f>
        <v>104791.39641866379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4.2150115077445559E-2</v>
      </c>
      <c r="G47" s="243">
        <f>G45/(G4+G6+G8)</f>
        <v>4.365964426763165E-2</v>
      </c>
      <c r="I47" s="243">
        <f>I45/(I4+I6+I8)</f>
        <v>4.4932443933011948E-2</v>
      </c>
      <c r="K47" s="243">
        <f>K45/(K4+K6+K8)</f>
        <v>4.5972330838712806E-2</v>
      </c>
      <c r="M47" s="243">
        <f>M45/(M4+M6+M8)</f>
        <v>4.6783009597129568E-2</v>
      </c>
      <c r="O47" s="243">
        <f>O45/(O4+O6+O8)</f>
        <v>4.7368075217238681E-2</v>
      </c>
      <c r="Q47" s="243">
        <f>Q45/(Q4+Q6+Q8)</f>
        <v>4.7731015589915549E-2</v>
      </c>
      <c r="S47" s="243">
        <f>S45/(S4+S6+S8)</f>
        <v>4.7875213910801934E-2</v>
      </c>
      <c r="U47" s="243">
        <f>U45/(U4+U6+U8)</f>
        <v>4.7803951042228912E-2</v>
      </c>
      <c r="W47" s="243">
        <f>W45/(W4+W6+W8)</f>
        <v>4.7520407815664335E-2</v>
      </c>
      <c r="Y47" s="243">
        <f>Y45/(Y4+Y6+Y8)</f>
        <v>4.7027667276113412E-2</v>
      </c>
      <c r="AA47" s="243">
        <f>AA45/(AA4+AA6+AA8)</f>
        <v>4.6328716869874206E-2</v>
      </c>
      <c r="AC47" s="243">
        <f>AC45/(AC4+AC6+AC8)</f>
        <v>4.5426450577010558E-2</v>
      </c>
      <c r="AE47" s="243">
        <f>AE45/(AE4+AE6+AE8)</f>
        <v>4.4323670989868162E-2</v>
      </c>
      <c r="AG47" s="243">
        <f>AG45/(AG4+AG6+AG8)</f>
        <v>4.3023091338934463E-2</v>
      </c>
    </row>
    <row r="48" spans="1:33" s="243" customFormat="1" ht="14.25">
      <c r="A48" s="243" t="s">
        <v>862</v>
      </c>
      <c r="C48" s="236"/>
      <c r="E48" s="243">
        <f>E45/E43</f>
        <v>0.19484317009743418</v>
      </c>
      <c r="G48" s="243">
        <f>G45/G43</f>
        <v>0.20686664949245115</v>
      </c>
      <c r="I48" s="243">
        <f>I45/I43</f>
        <v>0.21821982045422322</v>
      </c>
      <c r="K48" s="243">
        <f>K45/K43</f>
        <v>0.2288519102444895</v>
      </c>
      <c r="M48" s="243">
        <f>M45/M43</f>
        <v>0.2387096856068151</v>
      </c>
      <c r="O48" s="243">
        <f>O45/O43</f>
        <v>0.24773734954817442</v>
      </c>
      <c r="Q48" s="243">
        <f>Q45/Q43</f>
        <v>0.25587643408011024</v>
      </c>
      <c r="S48" s="243">
        <f>S45/S43</f>
        <v>0.26306568876735409</v>
      </c>
      <c r="U48" s="243">
        <f>U45/U43</f>
        <v>0.2692409649262083</v>
      </c>
      <c r="W48" s="243">
        <f>W45/W43</f>
        <v>0.27433509530919176</v>
      </c>
      <c r="Y48" s="243">
        <f>Y45/Y43</f>
        <v>0.27827776910642449</v>
      </c>
      <c r="AA48" s="243">
        <f>AA45/AA43</f>
        <v>0.28099540208805091</v>
      </c>
      <c r="AC48" s="243">
        <f>AC45/AC43</f>
        <v>0.28241100170552991</v>
      </c>
      <c r="AE48" s="243">
        <f>AE45/AE43</f>
        <v>0.28244402696291898</v>
      </c>
      <c r="AG48" s="243">
        <f>AG45/AG43</f>
        <v>0.28101024286240495</v>
      </c>
    </row>
    <row r="49" spans="1:35" s="244" customFormat="1" ht="14.25">
      <c r="A49" s="244" t="s">
        <v>860</v>
      </c>
      <c r="C49" s="245"/>
      <c r="E49" s="244">
        <f>E37/E43</f>
        <v>1.1948431700974342</v>
      </c>
      <c r="G49" s="244">
        <f>G37/G43</f>
        <v>1.2068666494924511</v>
      </c>
      <c r="I49" s="244">
        <f>I37/I43</f>
        <v>1.2182198204542232</v>
      </c>
      <c r="K49" s="244">
        <f>K37/K43</f>
        <v>1.2288519102444895</v>
      </c>
      <c r="M49" s="244">
        <f>M37/M43</f>
        <v>1.2387096856068152</v>
      </c>
      <c r="O49" s="244">
        <f>O37/O43</f>
        <v>1.2477373495481745</v>
      </c>
      <c r="Q49" s="244">
        <f>Q37/Q43</f>
        <v>1.2558764340801103</v>
      </c>
      <c r="S49" s="244">
        <f>S37/S43</f>
        <v>1.2630656887673541</v>
      </c>
      <c r="U49" s="244">
        <f>U37/U43</f>
        <v>1.2692409649262084</v>
      </c>
      <c r="W49" s="244">
        <f>W37/W43</f>
        <v>1.2743350953091919</v>
      </c>
      <c r="Y49" s="244">
        <f>Y37/Y43</f>
        <v>1.2782777691064244</v>
      </c>
      <c r="AA49" s="244">
        <f>AA37/AA43</f>
        <v>1.280995402088051</v>
      </c>
      <c r="AC49" s="244">
        <f>AC37/AC43</f>
        <v>1.2824110017055299</v>
      </c>
      <c r="AE49" s="244">
        <f>AE37/AE43</f>
        <v>1.2824440269629189</v>
      </c>
      <c r="AG49" s="244">
        <f>AG37/AG43</f>
        <v>1.2810102428624048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2775</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8500</v>
      </c>
      <c r="G53" s="995">
        <f>E53*$C$53</f>
        <v>8755</v>
      </c>
      <c r="I53" s="995">
        <f>G53*$C$53</f>
        <v>9017.65</v>
      </c>
      <c r="K53" s="995">
        <f>I53*$C$53</f>
        <v>9288.1795000000002</v>
      </c>
      <c r="M53" s="995">
        <f>K53*$C$53</f>
        <v>9566.824885</v>
      </c>
      <c r="O53" s="995">
        <f>M53*$C$53</f>
        <v>9853.8296315500011</v>
      </c>
      <c r="Q53" s="995">
        <f>O53*$C$53</f>
        <v>10149.444520496501</v>
      </c>
      <c r="S53" s="995">
        <f>Q53*$C$53</f>
        <v>10453.927856111397</v>
      </c>
      <c r="U53" s="995">
        <f>S53*$C$53</f>
        <v>10767.545691794739</v>
      </c>
      <c r="W53" s="995">
        <f>U53*$C$53</f>
        <v>11090.572062548583</v>
      </c>
      <c r="Y53" s="995">
        <f>W53*$C$53</f>
        <v>11423.28922442504</v>
      </c>
      <c r="AA53" s="995">
        <f>Y53*$C$53</f>
        <v>11765.98790115779</v>
      </c>
      <c r="AC53" s="995">
        <f>AA53*$C$53</f>
        <v>12118.967538192524</v>
      </c>
      <c r="AE53" s="995">
        <f>AC53*$C$53</f>
        <v>12482.536564338301</v>
      </c>
      <c r="AG53" s="995">
        <f>AE53*$C$53</f>
        <v>12857.012661268451</v>
      </c>
    </row>
    <row r="54" spans="1:35" s="3" customFormat="1">
      <c r="A54" s="3" t="s">
        <v>865</v>
      </c>
      <c r="C54" s="993">
        <v>1.03</v>
      </c>
      <c r="E54" s="1000">
        <v>25000</v>
      </c>
      <c r="F54" s="995"/>
      <c r="G54" s="995">
        <f t="shared" ref="G54:AG57" si="1">E54*$C$53</f>
        <v>25750</v>
      </c>
      <c r="H54" s="995"/>
      <c r="I54" s="995">
        <f t="shared" si="1"/>
        <v>26522.5</v>
      </c>
      <c r="J54" s="995"/>
      <c r="K54" s="995">
        <f t="shared" si="1"/>
        <v>27318.174999999999</v>
      </c>
      <c r="L54" s="995"/>
      <c r="M54" s="995">
        <f t="shared" si="1"/>
        <v>28137.720249999998</v>
      </c>
      <c r="N54" s="995"/>
      <c r="O54" s="995">
        <f t="shared" si="1"/>
        <v>28981.851857499998</v>
      </c>
      <c r="P54" s="995"/>
      <c r="Q54" s="995">
        <f t="shared" si="1"/>
        <v>29851.307413225</v>
      </c>
      <c r="R54" s="995"/>
      <c r="S54" s="995">
        <f t="shared" si="1"/>
        <v>30746.84663562175</v>
      </c>
      <c r="T54" s="995"/>
      <c r="U54" s="995">
        <f t="shared" si="1"/>
        <v>31669.252034690402</v>
      </c>
      <c r="V54" s="995"/>
      <c r="W54" s="995">
        <f t="shared" si="1"/>
        <v>32619.329595731117</v>
      </c>
      <c r="X54" s="995"/>
      <c r="Y54" s="995">
        <f t="shared" si="1"/>
        <v>33597.909483603049</v>
      </c>
      <c r="Z54" s="995"/>
      <c r="AA54" s="995">
        <f t="shared" si="1"/>
        <v>34605.846768111143</v>
      </c>
      <c r="AB54" s="995"/>
      <c r="AC54" s="995">
        <f t="shared" si="1"/>
        <v>35644.02217115448</v>
      </c>
      <c r="AD54" s="995"/>
      <c r="AE54" s="995">
        <f t="shared" ref="AE54" si="2">AC54*$C$53</f>
        <v>36713.342836289114</v>
      </c>
      <c r="AF54" s="995"/>
      <c r="AG54" s="995">
        <f t="shared" ref="AG54" si="3">AE54*$C$53</f>
        <v>37814.743121377789</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33500</v>
      </c>
      <c r="F58" s="995"/>
      <c r="G58" s="995">
        <f>SUM(G53:G57)</f>
        <v>34505</v>
      </c>
      <c r="H58" s="995"/>
      <c r="I58" s="995">
        <f>SUM(I53:I57)</f>
        <v>35540.15</v>
      </c>
      <c r="J58" s="995"/>
      <c r="K58" s="995">
        <f>SUM(K53:K57)</f>
        <v>36606.354500000001</v>
      </c>
      <c r="L58" s="995"/>
      <c r="M58" s="995">
        <f>SUM(M53:M57)</f>
        <v>37704.545135</v>
      </c>
      <c r="N58" s="995"/>
      <c r="O58" s="995">
        <f>SUM(O53:O57)</f>
        <v>38835.681489049995</v>
      </c>
      <c r="P58" s="995"/>
      <c r="Q58" s="995">
        <f>SUM(Q53:Q57)</f>
        <v>40000.751933721505</v>
      </c>
      <c r="R58" s="995"/>
      <c r="S58" s="995">
        <f>SUM(S53:S57)</f>
        <v>41200.774491733144</v>
      </c>
      <c r="T58" s="995"/>
      <c r="U58" s="995">
        <f>SUM(U53:U57)</f>
        <v>42436.797726485143</v>
      </c>
      <c r="V58" s="995"/>
      <c r="W58" s="995">
        <f>SUM(W53:W57)</f>
        <v>43709.901658279698</v>
      </c>
      <c r="X58" s="995"/>
      <c r="Y58" s="995">
        <f>SUM(Y53:Y57)</f>
        <v>45021.198708028089</v>
      </c>
      <c r="Z58" s="995"/>
      <c r="AA58" s="995">
        <f>SUM(AA53:AA57)</f>
        <v>46371.834669268937</v>
      </c>
      <c r="AB58" s="995"/>
      <c r="AC58" s="995">
        <f>SUM(AC53:AC57)</f>
        <v>47762.989709347006</v>
      </c>
      <c r="AD58" s="995"/>
      <c r="AE58" s="995">
        <f>SUM(AE53:AE57)</f>
        <v>49195.879400627411</v>
      </c>
      <c r="AF58" s="995"/>
      <c r="AG58" s="995">
        <f>SUM(AG53:AG57)</f>
        <v>50671.755782646243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39158.874171881587</v>
      </c>
      <c r="G60" s="997">
        <f>G45-G58</f>
        <v>42637.544171881513</v>
      </c>
      <c r="I60" s="997">
        <f>I45-I58</f>
        <v>45836.099771881498</v>
      </c>
      <c r="K60" s="997">
        <f>K45-K58</f>
        <v>48734.702834131676</v>
      </c>
      <c r="M60" s="997">
        <f>M45-M58</f>
        <v>51312.570535216619</v>
      </c>
      <c r="O60" s="997">
        <f>O45-O58</f>
        <v>53547.936060874534</v>
      </c>
      <c r="Q60" s="997">
        <f>Q45-Q58</f>
        <v>55418.007769682183</v>
      </c>
      <c r="S60" s="997">
        <f>S45-S58</f>
        <v>56898.926768148231</v>
      </c>
      <c r="U60" s="997">
        <f>U45-U58</f>
        <v>57965.722837652233</v>
      </c>
      <c r="W60" s="997">
        <f>W45-W58</f>
        <v>58592.268651482656</v>
      </c>
      <c r="Y60" s="997">
        <f>Y45-Y58</f>
        <v>58751.232217955265</v>
      </c>
      <c r="AA60" s="997">
        <f>AA45-AA58</f>
        <v>58414.027483267579</v>
      </c>
      <c r="AC60" s="997">
        <f>AC45-AC58</f>
        <v>57550.763025306063</v>
      </c>
      <c r="AE60" s="997">
        <f>AE45-AE58</f>
        <v>56130.188767098982</v>
      </c>
      <c r="AG60" s="997">
        <f>AG45-AG58</f>
        <v>54119.640636017546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39158.874171881587</v>
      </c>
      <c r="G62" s="997">
        <f>G60*$C$62</f>
        <v>42637.544171881513</v>
      </c>
      <c r="I62" s="997">
        <f>I60*$C$62</f>
        <v>45836.099771881498</v>
      </c>
      <c r="K62" s="997">
        <f>K60*$C$62</f>
        <v>48734.702834131676</v>
      </c>
      <c r="M62" s="997">
        <f>M60*$C$62</f>
        <v>51312.570535216619</v>
      </c>
      <c r="O62" s="997">
        <f>O60*$C$62</f>
        <v>53547.936060874534</v>
      </c>
      <c r="Q62" s="997">
        <f>Q60*$C$62</f>
        <v>55418.007769682183</v>
      </c>
      <c r="S62" s="997">
        <f>S60*$C$62</f>
        <v>56898.926768148231</v>
      </c>
      <c r="U62" s="997">
        <f>U60*$C$62</f>
        <v>57965.722837652233</v>
      </c>
      <c r="W62" s="997">
        <f>W60*$C$62</f>
        <v>58592.268651482656</v>
      </c>
      <c r="Y62" s="997">
        <f>Y60*$C$62</f>
        <v>58751.232217955265</v>
      </c>
      <c r="AA62" s="997">
        <f>AA60*$C$62</f>
        <v>58414.027483267579</v>
      </c>
      <c r="AC62" s="997">
        <f>AC60*$C$62</f>
        <v>57550.763025306063</v>
      </c>
      <c r="AE62" s="997">
        <f>AE60*$C$62</f>
        <v>56130.188767098982</v>
      </c>
      <c r="AG62" s="997">
        <f>AG60*$C$62</f>
        <v>54119.640636017546</v>
      </c>
    </row>
    <row r="63" spans="1:35" s="997" customFormat="1">
      <c r="A63" s="2679" t="s">
        <v>2775</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2776</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t="s">
        <v>2766</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7" t="s">
        <v>1909</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23"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v>
      </c>
      <c r="C5" s="286">
        <f>'Sources and Uses Budget'!$C4</f>
        <v>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31500</v>
      </c>
      <c r="C7" s="286">
        <f>'Sources and Uses Budget'!$C6</f>
        <v>31500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31501</v>
      </c>
      <c r="C9" s="290">
        <f>SUM(C5:C8)</f>
        <v>31501</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498000</v>
      </c>
      <c r="C11" s="286">
        <f>'Sources and Uses Budget'!$C10</f>
        <v>498000</v>
      </c>
      <c r="D11" s="290">
        <f t="shared" si="0"/>
        <v>0</v>
      </c>
      <c r="E11" s="288"/>
      <c r="F11" s="287"/>
      <c r="G11" s="383"/>
    </row>
    <row r="12" spans="1:7" s="380" customFormat="1">
      <c r="A12" s="396" t="s">
        <v>603</v>
      </c>
      <c r="B12" s="290">
        <f>SUM(B10:B11)</f>
        <v>498000</v>
      </c>
      <c r="C12" s="290">
        <f>SUM(C10:C11)</f>
        <v>498000</v>
      </c>
      <c r="D12" s="290">
        <f t="shared" si="0"/>
        <v>0</v>
      </c>
      <c r="E12" s="288"/>
      <c r="F12" s="287"/>
      <c r="G12" s="383"/>
    </row>
    <row r="13" spans="1:7" s="380" customFormat="1">
      <c r="A13" s="396" t="s">
        <v>84</v>
      </c>
      <c r="B13" s="290">
        <f>SUM(B9+B12)</f>
        <v>529501</v>
      </c>
      <c r="C13" s="290">
        <f>SUM(C9+C12)</f>
        <v>529501</v>
      </c>
      <c r="D13" s="290">
        <f t="shared" si="0"/>
        <v>0</v>
      </c>
      <c r="E13" s="288"/>
      <c r="F13" s="287"/>
      <c r="G13" s="383"/>
    </row>
    <row r="14" spans="1:7" s="380" customFormat="1">
      <c r="A14" s="397" t="s">
        <v>916</v>
      </c>
      <c r="B14" s="286">
        <f>'Sources and Uses Budget'!$C13</f>
        <v>90000</v>
      </c>
      <c r="C14" s="286">
        <f>'Sources and Uses Budget'!$C13</f>
        <v>90000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2728338</v>
      </c>
      <c r="C30" s="286">
        <f>'Sources and Uses Budget'!$C29</f>
        <v>2728338</v>
      </c>
      <c r="D30" s="290">
        <f t="shared" si="0"/>
        <v>0</v>
      </c>
      <c r="E30" s="288"/>
      <c r="F30" s="287"/>
      <c r="G30" s="383"/>
    </row>
    <row r="31" spans="1:7" s="380" customFormat="1">
      <c r="A31" s="145" t="s">
        <v>606</v>
      </c>
      <c r="B31" s="286">
        <f>'Sources and Uses Budget'!$C30</f>
        <v>51528463</v>
      </c>
      <c r="C31" s="286">
        <f>'Sources and Uses Budget'!$C30</f>
        <v>51528463</v>
      </c>
      <c r="D31" s="290">
        <f t="shared" si="0"/>
        <v>0</v>
      </c>
      <c r="E31" s="288"/>
      <c r="F31" s="287"/>
      <c r="G31" s="383"/>
    </row>
    <row r="32" spans="1:7" s="380" customFormat="1">
      <c r="A32" s="145" t="s">
        <v>607</v>
      </c>
      <c r="B32" s="286">
        <f>'Sources and Uses Budget'!$C31</f>
        <v>4112074</v>
      </c>
      <c r="C32" s="286">
        <f>'Sources and Uses Budget'!$C31</f>
        <v>4112074</v>
      </c>
      <c r="D32" s="290">
        <f t="shared" si="0"/>
        <v>0</v>
      </c>
      <c r="E32" s="288"/>
      <c r="F32" s="287"/>
      <c r="G32" s="383"/>
    </row>
    <row r="33" spans="1:7" s="380" customFormat="1">
      <c r="A33" s="145" t="s">
        <v>137</v>
      </c>
      <c r="B33" s="286">
        <f>'Sources and Uses Budget'!$C32</f>
        <v>906722</v>
      </c>
      <c r="C33" s="286">
        <f>'Sources and Uses Budget'!$C32</f>
        <v>906722</v>
      </c>
      <c r="D33" s="290">
        <f t="shared" si="0"/>
        <v>0</v>
      </c>
      <c r="E33" s="288"/>
      <c r="F33" s="287"/>
      <c r="G33" s="383"/>
    </row>
    <row r="34" spans="1:7" s="380" customFormat="1">
      <c r="A34" s="145" t="s">
        <v>138</v>
      </c>
      <c r="B34" s="286">
        <f>'Sources and Uses Budget'!$C33</f>
        <v>906722</v>
      </c>
      <c r="C34" s="286">
        <f>'Sources and Uses Budget'!$C33</f>
        <v>906722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1377898</v>
      </c>
      <c r="C36" s="286">
        <f>'Sources and Uses Budget'!$C35</f>
        <v>1377898</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Demolition</v>
      </c>
      <c r="B38" s="286">
        <f>'Sources and Uses Budget'!$C37</f>
        <v>280035</v>
      </c>
      <c r="C38" s="286">
        <f>'Sources and Uses Budget'!$C37</f>
        <v>280035</v>
      </c>
      <c r="D38" s="290">
        <f t="shared" si="0"/>
        <v>0</v>
      </c>
      <c r="E38" s="288"/>
      <c r="F38" s="287"/>
      <c r="G38" s="383"/>
    </row>
    <row r="39" spans="1:7" s="380" customFormat="1">
      <c r="A39" s="291" t="s">
        <v>143</v>
      </c>
      <c r="B39" s="290">
        <f>SUM(B30:B38)</f>
        <v>61840252</v>
      </c>
      <c r="C39" s="290">
        <f>SUM(C30:C38)</f>
        <v>61840252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1218000</v>
      </c>
      <c r="C41" s="286">
        <f>'Sources and Uses Budget'!$C40</f>
        <v>1218000</v>
      </c>
      <c r="D41" s="290">
        <f t="shared" si="0"/>
        <v>0</v>
      </c>
      <c r="E41" s="288"/>
      <c r="F41" s="287"/>
      <c r="G41" s="383"/>
    </row>
    <row r="42" spans="1:7" s="380" customFormat="1">
      <c r="A42" s="289" t="s">
        <v>146</v>
      </c>
      <c r="B42" s="286">
        <f>'Sources and Uses Budget'!$C41</f>
        <v>646000</v>
      </c>
      <c r="C42" s="286">
        <f>'Sources and Uses Budget'!$C41</f>
        <v>646000</v>
      </c>
      <c r="D42" s="290">
        <f t="shared" si="0"/>
        <v>0</v>
      </c>
      <c r="E42" s="288"/>
      <c r="F42" s="287"/>
      <c r="G42" s="383"/>
    </row>
    <row r="43" spans="1:7" s="380" customFormat="1">
      <c r="A43" s="291" t="s">
        <v>147</v>
      </c>
      <c r="B43" s="290">
        <f>SUM(B41:B42)</f>
        <v>1864000</v>
      </c>
      <c r="C43" s="290">
        <f>SUM(C41:C42)</f>
        <v>1864000</v>
      </c>
      <c r="D43" s="290">
        <f t="shared" si="0"/>
        <v>0</v>
      </c>
      <c r="E43" s="288"/>
      <c r="F43" s="287"/>
      <c r="G43" s="383"/>
    </row>
    <row r="44" spans="1:7" s="380" customFormat="1">
      <c r="A44" s="291" t="s">
        <v>148</v>
      </c>
      <c r="B44" s="286">
        <f>'Sources and Uses Budget'!$C43</f>
        <v>759000</v>
      </c>
      <c r="C44" s="286">
        <f>'Sources and Uses Budget'!$C43</f>
        <v>759000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6966645</v>
      </c>
      <c r="C46" s="286">
        <f>'Sources and Uses Budget'!$C45</f>
        <v>6966645</v>
      </c>
      <c r="D46" s="290">
        <f t="shared" si="0"/>
        <v>0</v>
      </c>
      <c r="E46" s="288"/>
      <c r="F46" s="287"/>
      <c r="G46" s="383"/>
    </row>
    <row r="47" spans="1:7" s="380" customFormat="1">
      <c r="A47" s="145" t="s">
        <v>151</v>
      </c>
      <c r="B47" s="286">
        <f>'Sources and Uses Budget'!$C46</f>
        <v>427436</v>
      </c>
      <c r="C47" s="286">
        <f>'Sources and Uses Budget'!$C46</f>
        <v>427436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32153</v>
      </c>
      <c r="C49" s="286">
        <f>'Sources and Uses Budget'!$C48</f>
        <v>32153</v>
      </c>
      <c r="D49" s="290">
        <f t="shared" si="0"/>
        <v>0</v>
      </c>
      <c r="E49" s="288"/>
      <c r="F49" s="287"/>
      <c r="G49" s="383"/>
    </row>
    <row r="50" spans="1:7" s="380" customFormat="1">
      <c r="A50" s="145" t="s">
        <v>57</v>
      </c>
      <c r="B50" s="286">
        <f>'Sources and Uses Budget'!$C49</f>
        <v>393037</v>
      </c>
      <c r="C50" s="286">
        <f>'Sources and Uses Budget'!$C49</f>
        <v>393037</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25000</v>
      </c>
      <c r="C52" s="286">
        <f>'Sources and Uses Budget'!$C51</f>
        <v>25000</v>
      </c>
      <c r="D52" s="290">
        <f t="shared" si="0"/>
        <v>0</v>
      </c>
      <c r="E52" s="288"/>
      <c r="F52" s="287"/>
      <c r="G52" s="383"/>
    </row>
    <row r="53" spans="1:7" s="380" customFormat="1">
      <c r="A53" s="145" t="s">
        <v>155</v>
      </c>
      <c r="B53" s="286">
        <f>'Sources and Uses Budget'!$C52</f>
        <v>1283950</v>
      </c>
      <c r="C53" s="286">
        <f>'Sources and Uses Budget'!$C52</f>
        <v>1283950</v>
      </c>
      <c r="D53" s="290">
        <f t="shared" si="0"/>
        <v>0</v>
      </c>
      <c r="E53" s="288"/>
      <c r="F53" s="287"/>
      <c r="G53" s="383"/>
    </row>
    <row r="54" spans="1:7" s="380" customFormat="1">
      <c r="A54" s="155" t="str">
        <f>'Sources and Uses Budget'!A53</f>
        <v>Other: Owner Legal - Construction Closing</v>
      </c>
      <c r="B54" s="286">
        <f>'Sources and Uses Budget'!$C53</f>
        <v>90000</v>
      </c>
      <c r="C54" s="286">
        <f>'Sources and Uses Budget'!$C53</f>
        <v>90000</v>
      </c>
      <c r="D54" s="290">
        <f t="shared" si="0"/>
        <v>0</v>
      </c>
      <c r="E54" s="288"/>
      <c r="F54" s="287"/>
      <c r="G54" s="383"/>
    </row>
    <row r="55" spans="1:7" s="381" customFormat="1">
      <c r="A55" s="291" t="s">
        <v>157</v>
      </c>
      <c r="B55" s="293">
        <f>SUM(B46:B54)</f>
        <v>9278221</v>
      </c>
      <c r="C55" s="293">
        <f>SUM(C46:C54)</f>
        <v>9278221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51500</v>
      </c>
      <c r="C57" s="286">
        <f>'Sources and Uses Budget'!$C56</f>
        <v>51500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Owner Legal - Perm</v>
      </c>
      <c r="B62" s="286">
        <f>'Sources and Uses Budget'!$C61</f>
        <v>110000</v>
      </c>
      <c r="C62" s="286">
        <f>'Sources and Uses Budget'!$C61</f>
        <v>110000</v>
      </c>
      <c r="D62" s="290">
        <f t="shared" si="0"/>
        <v>0</v>
      </c>
      <c r="E62" s="288"/>
      <c r="F62" s="287"/>
      <c r="G62" s="383"/>
    </row>
    <row r="63" spans="1:7" s="380" customFormat="1" ht="13.7" customHeight="1">
      <c r="A63" s="291" t="s">
        <v>302</v>
      </c>
      <c r="B63" s="290">
        <f>SUM(B57:B62)</f>
        <v>176500</v>
      </c>
      <c r="C63" s="290">
        <f>SUM(C57:C62)</f>
        <v>176500</v>
      </c>
      <c r="D63" s="290">
        <f t="shared" si="0"/>
        <v>0</v>
      </c>
      <c r="E63" s="288"/>
      <c r="F63" s="287"/>
      <c r="G63" s="383"/>
    </row>
    <row r="64" spans="1:7" s="380" customFormat="1">
      <c r="A64" s="294" t="s">
        <v>303</v>
      </c>
      <c r="B64" s="290">
        <f>SUM(B9+B12+B14+B15+B17+B26+B28+B39+B43+B44+B55+B63)</f>
        <v>74537474</v>
      </c>
      <c r="C64" s="290">
        <f>SUM(C9+C12+C14+C15+C17+C26+C28+C39+C43+C44+C55+C63)</f>
        <v>74537474</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ht="24">
      <c r="A70" s="155" t="str">
        <f>'Sources and Uses Budget'!A69</f>
        <v>Other: Estimating and Construction Supervision</v>
      </c>
      <c r="B70" s="286">
        <f>'Sources and Uses Budget'!$C69</f>
        <v>265000</v>
      </c>
      <c r="C70" s="286">
        <f>'Sources and Uses Budget'!$C69</f>
        <v>265000</v>
      </c>
      <c r="D70" s="290">
        <f t="shared" si="0"/>
        <v>0</v>
      </c>
      <c r="E70" s="288"/>
      <c r="F70" s="287"/>
      <c r="G70" s="383"/>
    </row>
    <row r="71" spans="1:7" s="380" customFormat="1">
      <c r="A71" s="149" t="s">
        <v>1756</v>
      </c>
      <c r="B71" s="290">
        <f>SUM(B66:B70)</f>
        <v>415000</v>
      </c>
      <c r="C71" s="290">
        <f>SUM(C66:C70)</f>
        <v>415000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46000</v>
      </c>
      <c r="C75" s="286">
        <f>'Sources and Uses Budget'!$C74</f>
        <v>46000</v>
      </c>
      <c r="D75" s="290">
        <f t="shared" si="0"/>
        <v>0</v>
      </c>
      <c r="E75" s="288"/>
      <c r="F75" s="287"/>
      <c r="G75" s="383"/>
    </row>
    <row r="76" spans="1:7" s="380" customFormat="1">
      <c r="A76" s="289" t="s">
        <v>612</v>
      </c>
      <c r="B76" s="286">
        <f>'Sources and Uses Budget'!$C75</f>
        <v>391641</v>
      </c>
      <c r="C76" s="286">
        <f>'Sources and Uses Budget'!$C75</f>
        <v>391641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437641</v>
      </c>
      <c r="C78" s="290">
        <f>SUM(C73:C77)</f>
        <v>437641</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3116913</v>
      </c>
      <c r="C80" s="286">
        <f>'Sources and Uses Budget'!$C79</f>
        <v>3116913</v>
      </c>
      <c r="D80" s="290">
        <f t="shared" si="1"/>
        <v>0</v>
      </c>
      <c r="E80" s="288"/>
      <c r="F80" s="287"/>
      <c r="G80" s="383"/>
    </row>
    <row r="81" spans="1:7" s="380" customFormat="1">
      <c r="A81" s="544" t="s">
        <v>58</v>
      </c>
      <c r="B81" s="286">
        <f>'Sources and Uses Budget'!$C80</f>
        <v>263574</v>
      </c>
      <c r="C81" s="286">
        <f>'Sources and Uses Budget'!$C80</f>
        <v>263574</v>
      </c>
      <c r="D81" s="290">
        <f>C81-B81</f>
        <v>0</v>
      </c>
      <c r="E81" s="288"/>
      <c r="F81" s="287"/>
      <c r="G81" s="383"/>
    </row>
    <row r="82" spans="1:7" s="380" customFormat="1">
      <c r="A82" s="291" t="s">
        <v>1313</v>
      </c>
      <c r="B82" s="290">
        <f>SUM(B80:B81)</f>
        <v>3380487</v>
      </c>
      <c r="C82" s="290">
        <f>SUM(C80:C81)</f>
        <v>3380487</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110817</v>
      </c>
      <c r="C84" s="286">
        <f>'Sources and Uses Budget'!$C83</f>
        <v>110817</v>
      </c>
      <c r="D84" s="290">
        <f t="shared" si="1"/>
        <v>0</v>
      </c>
      <c r="E84" s="288"/>
      <c r="F84" s="287"/>
      <c r="G84" s="383"/>
    </row>
    <row r="85" spans="1:7" s="380" customFormat="1">
      <c r="A85" s="289" t="s">
        <v>775</v>
      </c>
      <c r="B85" s="286">
        <f>'Sources and Uses Budget'!$C84</f>
        <v>230000</v>
      </c>
      <c r="C85" s="286">
        <f>'Sources and Uses Budget'!$C84</f>
        <v>230000</v>
      </c>
      <c r="D85" s="290">
        <f t="shared" si="1"/>
        <v>0</v>
      </c>
      <c r="E85" s="288"/>
      <c r="F85" s="287"/>
      <c r="G85" s="383"/>
    </row>
    <row r="86" spans="1:7" s="380" customFormat="1">
      <c r="A86" s="289" t="s">
        <v>776</v>
      </c>
      <c r="B86" s="286">
        <f>'Sources and Uses Budget'!$C85</f>
        <v>420271</v>
      </c>
      <c r="C86" s="286">
        <f>'Sources and Uses Budget'!$C85</f>
        <v>420271</v>
      </c>
      <c r="D86" s="290">
        <f t="shared" si="1"/>
        <v>0</v>
      </c>
      <c r="E86" s="288"/>
      <c r="F86" s="287"/>
      <c r="G86" s="383"/>
    </row>
    <row r="87" spans="1:7" s="380" customFormat="1">
      <c r="A87" s="289" t="s">
        <v>777</v>
      </c>
      <c r="B87" s="286">
        <f>'Sources and Uses Budget'!$C86</f>
        <v>1147322</v>
      </c>
      <c r="C87" s="286">
        <f>'Sources and Uses Budget'!$C86</f>
        <v>1147322</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276000</v>
      </c>
      <c r="C89" s="286">
        <f>'Sources and Uses Budget'!$C88</f>
        <v>276000</v>
      </c>
      <c r="D89" s="290">
        <f t="shared" si="1"/>
        <v>0</v>
      </c>
      <c r="E89" s="288"/>
      <c r="F89" s="287"/>
      <c r="G89" s="383"/>
    </row>
    <row r="90" spans="1:7" s="380" customFormat="1">
      <c r="A90" s="289" t="s">
        <v>780</v>
      </c>
      <c r="B90" s="286">
        <f>'Sources and Uses Budget'!$C89</f>
        <v>192000</v>
      </c>
      <c r="C90" s="286">
        <f>'Sources and Uses Budget'!$C89</f>
        <v>192000</v>
      </c>
      <c r="D90" s="290">
        <f t="shared" si="1"/>
        <v>0</v>
      </c>
      <c r="E90" s="288"/>
      <c r="F90" s="287"/>
      <c r="G90" s="383"/>
    </row>
    <row r="91" spans="1:7" s="380" customFormat="1">
      <c r="A91" s="289" t="s">
        <v>781</v>
      </c>
      <c r="B91" s="286">
        <f>'Sources and Uses Budget'!$C90</f>
        <v>35000</v>
      </c>
      <c r="C91" s="286">
        <f>'Sources and Uses Budget'!$C90</f>
        <v>35000</v>
      </c>
      <c r="D91" s="290">
        <f t="shared" si="1"/>
        <v>0</v>
      </c>
      <c r="E91" s="288"/>
      <c r="F91" s="287"/>
      <c r="G91" s="383"/>
    </row>
    <row r="92" spans="1:7" s="380" customFormat="1">
      <c r="A92" s="289" t="s">
        <v>373</v>
      </c>
      <c r="B92" s="286">
        <f>'Sources and Uses Budget'!$C91</f>
        <v>2500</v>
      </c>
      <c r="C92" s="286">
        <f>'Sources and Uses Budget'!$C91</f>
        <v>2500</v>
      </c>
      <c r="D92" s="290">
        <f t="shared" si="1"/>
        <v>0</v>
      </c>
      <c r="E92" s="288"/>
      <c r="F92" s="287"/>
      <c r="G92" s="383"/>
    </row>
    <row r="93" spans="1:7" s="380" customFormat="1">
      <c r="A93" s="544" t="s">
        <v>1315</v>
      </c>
      <c r="B93" s="286">
        <f>'Sources and Uses Budget'!$C92</f>
        <v>4000</v>
      </c>
      <c r="C93" s="286">
        <f>'Sources and Uses Budget'!$C92</f>
        <v>4000</v>
      </c>
      <c r="D93" s="290">
        <f t="shared" si="1"/>
        <v>0</v>
      </c>
      <c r="E93" s="288"/>
      <c r="F93" s="287"/>
      <c r="G93" s="383"/>
    </row>
    <row r="94" spans="1:7" s="380" customFormat="1">
      <c r="A94" s="292" t="s">
        <v>34</v>
      </c>
      <c r="B94" s="286">
        <f>'Sources and Uses Budget'!$C93</f>
        <v>55000</v>
      </c>
      <c r="C94" s="286">
        <f>'Sources and Uses Budget'!$C93</f>
        <v>55000</v>
      </c>
      <c r="D94" s="290">
        <f t="shared" si="1"/>
        <v>0</v>
      </c>
      <c r="E94" s="288"/>
      <c r="F94" s="287"/>
      <c r="G94" s="383"/>
    </row>
    <row r="95" spans="1:7" s="380" customFormat="1">
      <c r="A95" s="292" t="s">
        <v>34</v>
      </c>
      <c r="B95" s="286">
        <f>'Sources and Uses Budget'!$C94</f>
        <v>650000</v>
      </c>
      <c r="C95" s="286">
        <f>'Sources and Uses Budget'!$C94</f>
        <v>650000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3122910</v>
      </c>
      <c r="C97" s="290">
        <f>SUM(C84:C96)</f>
        <v>3122910</v>
      </c>
      <c r="D97" s="290">
        <f t="shared" si="1"/>
        <v>0</v>
      </c>
      <c r="E97" s="288"/>
      <c r="F97" s="287"/>
      <c r="G97" s="383"/>
    </row>
    <row r="98" spans="1:7" s="380" customFormat="1">
      <c r="A98" s="291" t="s">
        <v>783</v>
      </c>
      <c r="B98" s="290">
        <f>SUM(B64+B71+B78+B82+B97)</f>
        <v>81893512</v>
      </c>
      <c r="C98" s="290">
        <f>SUM(C64+C71+C78+C82+C97)</f>
        <v>81893512</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11392342</v>
      </c>
      <c r="C100" s="286">
        <f>'Sources and Uses Budget'!$C99</f>
        <v>11392342</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11392342</v>
      </c>
      <c r="C105" s="290">
        <f>SUM(C100:C104)</f>
        <v>11392342</v>
      </c>
      <c r="D105" s="290">
        <f t="shared" si="1"/>
        <v>0</v>
      </c>
      <c r="E105" s="288"/>
      <c r="F105" s="287"/>
      <c r="G105" s="383"/>
    </row>
    <row r="106" spans="1:7" s="380" customFormat="1">
      <c r="A106" s="291" t="s">
        <v>788</v>
      </c>
      <c r="B106" s="293">
        <f>SUM(B98+B105)</f>
        <v>93285854</v>
      </c>
      <c r="C106" s="293">
        <f>SUM(C98+C105)</f>
        <v>93285854</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1066</v>
      </c>
      <c r="B2" s="1304"/>
      <c r="C2" s="1268"/>
      <c r="D2" s="1268"/>
      <c r="E2" s="1268"/>
      <c r="F2" s="1268"/>
      <c r="G2" s="1268"/>
    </row>
    <row r="3" spans="1:9" s="173" customFormat="1">
      <c r="A3" s="1304" t="s">
        <v>1007</v>
      </c>
      <c r="B3" s="1304"/>
      <c r="C3" s="1268"/>
      <c r="D3" s="1268"/>
      <c r="E3" s="1268"/>
      <c r="F3" s="1268"/>
      <c r="G3" s="1268"/>
      <c r="I3" t="s">
        <v>308</v>
      </c>
    </row>
    <row r="4" spans="1:9">
      <c r="I4" s="3" t="s">
        <v>1067</v>
      </c>
    </row>
    <row r="5" spans="1:9">
      <c r="A5" s="1306" t="s">
        <v>1008</v>
      </c>
      <c r="B5" s="1306"/>
      <c r="C5" s="1268"/>
      <c r="D5" s="1268"/>
      <c r="E5" s="1268"/>
      <c r="F5" s="1268"/>
      <c r="G5" s="1268"/>
      <c r="I5" s="3" t="s">
        <v>1068</v>
      </c>
    </row>
    <row r="6" spans="1:9">
      <c r="A6" s="1306" t="s">
        <v>827</v>
      </c>
      <c r="B6" s="1306"/>
      <c r="C6" s="1268"/>
      <c r="D6" s="1268"/>
      <c r="E6" s="1268"/>
      <c r="F6" s="1268"/>
      <c r="G6" s="1268"/>
      <c r="I6" t="s">
        <v>598</v>
      </c>
    </row>
    <row r="7" spans="1:9" ht="11.85" customHeight="1"/>
    <row r="8" spans="1:9">
      <c r="A8" s="1304" t="s">
        <v>1163</v>
      </c>
      <c r="B8" s="1304"/>
      <c r="C8" s="1305"/>
      <c r="D8" s="1305"/>
      <c r="E8" s="1305"/>
      <c r="F8" s="1305"/>
      <c r="G8" s="1305"/>
    </row>
    <row r="9" spans="1:9">
      <c r="A9" s="1304" t="s">
        <v>1164</v>
      </c>
      <c r="B9" s="1304"/>
      <c r="C9" s="1305"/>
      <c r="D9" s="1305"/>
      <c r="E9" s="1305"/>
      <c r="F9" s="1305"/>
      <c r="G9" s="1305"/>
    </row>
    <row r="10" spans="1:9">
      <c r="A10" s="174"/>
      <c r="B10" s="174"/>
      <c r="C10" s="172"/>
      <c r="D10" s="172"/>
      <c r="E10" s="172"/>
      <c r="F10" s="172"/>
    </row>
    <row r="11" spans="1:9">
      <c r="A11" s="1287" t="s">
        <v>1166</v>
      </c>
      <c r="B11" s="1287"/>
      <c r="C11" s="1287"/>
      <c r="D11" s="1287"/>
      <c r="E11" s="1287"/>
      <c r="F11" s="1287"/>
      <c r="G11" s="1287"/>
    </row>
    <row r="12" spans="1:9">
      <c r="A12" s="172"/>
      <c r="B12" s="172"/>
      <c r="E12" s="2"/>
    </row>
    <row r="13" spans="1:9" ht="13.35" customHeight="1">
      <c r="C13" s="172"/>
      <c r="D13" s="1289" t="s">
        <v>1165</v>
      </c>
      <c r="E13" s="1289"/>
      <c r="F13" s="1289"/>
    </row>
    <row r="14" spans="1:9">
      <c r="C14" s="172"/>
      <c r="D14" s="1289"/>
      <c r="E14" s="1289"/>
      <c r="F14" s="1289"/>
    </row>
    <row r="15" spans="1:9">
      <c r="A15" s="175"/>
      <c r="B15" s="175"/>
      <c r="C15" s="175"/>
      <c r="D15" s="1286" t="s">
        <v>1148</v>
      </c>
      <c r="E15" s="1286"/>
      <c r="F15" s="1286"/>
    </row>
    <row r="16" spans="1:9">
      <c r="A16" s="175"/>
      <c r="B16" s="175"/>
      <c r="C16" s="175"/>
      <c r="D16" s="218"/>
    </row>
    <row r="17" spans="1:6" ht="14.25">
      <c r="A17" s="176"/>
      <c r="B17" s="468" t="s">
        <v>308</v>
      </c>
      <c r="C17" s="175"/>
      <c r="D17" s="1266" t="s">
        <v>1149</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1150</v>
      </c>
      <c r="E21" s="1290"/>
      <c r="F21" s="1290"/>
    </row>
    <row r="22" spans="1:6" ht="14.25">
      <c r="A22" s="176"/>
      <c r="B22" s="176"/>
      <c r="D22" s="35"/>
    </row>
    <row r="23" spans="1:6" ht="14.25">
      <c r="A23" s="176"/>
      <c r="B23" s="468" t="s">
        <v>308</v>
      </c>
      <c r="D23" s="1266" t="s">
        <v>1151</v>
      </c>
      <c r="E23" s="1266"/>
      <c r="F23" s="1266"/>
    </row>
    <row r="24" spans="1:6" ht="14.25">
      <c r="A24" s="176"/>
      <c r="B24" s="176"/>
      <c r="D24" s="1266"/>
      <c r="E24" s="1266"/>
      <c r="F24" s="1266"/>
    </row>
    <row r="25" spans="1:6"/>
    <row r="26" spans="1:6" ht="14.25">
      <c r="A26" s="176"/>
      <c r="B26" s="468" t="s">
        <v>308</v>
      </c>
      <c r="D26" s="1266" t="s">
        <v>1152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1153</v>
      </c>
      <c r="E32" s="1266"/>
      <c r="F32" s="1266"/>
    </row>
    <row r="33" spans="1:6">
      <c r="D33" s="1266"/>
      <c r="E33" s="1266"/>
      <c r="F33" s="1266"/>
    </row>
    <row r="34" spans="1:6" ht="14.25">
      <c r="A34" s="176"/>
      <c r="B34" s="176"/>
      <c r="D34" s="220"/>
    </row>
    <row r="35" spans="1:6" ht="14.45" customHeight="1">
      <c r="A35" s="176"/>
      <c r="B35" s="468" t="s">
        <v>308</v>
      </c>
      <c r="D35" s="1266" t="s">
        <v>1154</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1155</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1156</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1157</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1158</v>
      </c>
      <c r="E54" s="1266"/>
      <c r="F54" s="1266"/>
      <c r="G54" s="3"/>
    </row>
    <row r="55" spans="1:7" ht="14.25">
      <c r="A55" s="176"/>
      <c r="B55" s="176"/>
      <c r="C55" s="385"/>
      <c r="D55" s="1266"/>
      <c r="E55" s="1266"/>
      <c r="F55" s="1266"/>
      <c r="G55" s="3"/>
    </row>
    <row r="56" spans="1:7">
      <c r="D56" s="220"/>
    </row>
    <row r="57" spans="1:7" ht="14.25">
      <c r="A57" s="176"/>
      <c r="B57" s="468" t="s">
        <v>308</v>
      </c>
      <c r="D57" s="1266" t="s">
        <v>1159</v>
      </c>
      <c r="E57" s="1266"/>
      <c r="F57" s="1266"/>
    </row>
    <row r="58" spans="1:7">
      <c r="D58" s="1266"/>
      <c r="E58" s="1266"/>
      <c r="F58" s="1266"/>
    </row>
    <row r="59" spans="1:7">
      <c r="D59" s="1266"/>
      <c r="E59" s="1266"/>
      <c r="F59" s="1266"/>
    </row>
    <row r="60" spans="1:7">
      <c r="D60" s="3"/>
    </row>
    <row r="61" spans="1:7" ht="14.25">
      <c r="A61" s="176"/>
      <c r="B61" s="468" t="s">
        <v>308</v>
      </c>
      <c r="D61" s="1266" t="s">
        <v>1160</v>
      </c>
      <c r="E61" s="1266"/>
      <c r="F61" s="1266"/>
    </row>
    <row r="62" spans="1:7">
      <c r="D62" s="1266"/>
      <c r="E62" s="1266"/>
      <c r="F62" s="1266"/>
    </row>
    <row r="63" spans="1:7"/>
    <row r="64" spans="1:7" ht="14.25">
      <c r="A64" s="176"/>
      <c r="B64" s="468" t="s">
        <v>308</v>
      </c>
      <c r="D64" s="1266" t="s">
        <v>1161</v>
      </c>
      <c r="E64" s="1266"/>
      <c r="F64" s="1266"/>
    </row>
    <row r="65" spans="1:7">
      <c r="D65" s="1266"/>
      <c r="E65" s="1266"/>
      <c r="F65" s="1266"/>
    </row>
    <row r="66" spans="1:7">
      <c r="D66" s="1266"/>
      <c r="E66" s="1266"/>
      <c r="F66" s="1266"/>
    </row>
    <row r="67" spans="1:7">
      <c r="D67"/>
    </row>
    <row r="68" spans="1:7" ht="14.25">
      <c r="A68" s="176"/>
      <c r="B68" s="468" t="s">
        <v>308</v>
      </c>
      <c r="D68" s="1266" t="s">
        <v>1162</v>
      </c>
      <c r="E68" s="1266"/>
      <c r="F68" s="1266"/>
    </row>
    <row r="69" spans="1:7">
      <c r="D69" s="1266"/>
      <c r="E69" s="1266"/>
      <c r="F69" s="1266"/>
    </row>
    <row r="70" spans="1:7" ht="14.25">
      <c r="A70" s="176"/>
      <c r="B70" s="176"/>
      <c r="D70" s="35"/>
    </row>
    <row r="71" spans="1:7">
      <c r="A71" s="1287" t="s">
        <v>1069</v>
      </c>
      <c r="B71" s="1287"/>
      <c r="C71" s="1287"/>
      <c r="D71" s="1287"/>
      <c r="E71" s="1287"/>
      <c r="F71" s="1287"/>
      <c r="G71" s="1287"/>
    </row>
    <row r="72" spans="1:7"/>
    <row r="73" spans="1:7">
      <c r="C73" s="177"/>
      <c r="D73" s="1298" t="s">
        <v>1167</v>
      </c>
      <c r="E73" s="1298"/>
      <c r="F73" s="1298"/>
    </row>
    <row r="74" spans="1:7">
      <c r="A74" s="35"/>
      <c r="B74" s="35"/>
      <c r="D74" s="1266" t="s">
        <v>1194</v>
      </c>
      <c r="E74" s="1266"/>
      <c r="F74" s="1266"/>
    </row>
    <row r="75" spans="1:7">
      <c r="A75" s="35"/>
      <c r="B75" s="35"/>
    </row>
    <row r="76" spans="1:7" ht="14.25">
      <c r="A76" s="176"/>
      <c r="B76" s="468" t="s">
        <v>308</v>
      </c>
      <c r="D76" s="1266" t="s">
        <v>1168</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1267</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1169</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1170</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1171</v>
      </c>
      <c r="E114" s="1308"/>
      <c r="F114" s="1308"/>
      <c r="G114"/>
    </row>
    <row r="115" spans="1:7" ht="14.25">
      <c r="A115" s="176"/>
      <c r="B115" s="176"/>
      <c r="C115"/>
      <c r="D115" s="1308"/>
      <c r="E115" s="1308"/>
      <c r="F115" s="1308"/>
      <c r="G115"/>
    </row>
    <row r="116" spans="1:7"/>
    <row r="117" spans="1:7" ht="14.25">
      <c r="A117" s="176"/>
      <c r="B117" s="468" t="s">
        <v>308</v>
      </c>
      <c r="D117" s="1266" t="s">
        <v>1172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1173</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1281</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1174</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1175</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1176</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1070</v>
      </c>
      <c r="B168" s="1287"/>
      <c r="C168" s="1287"/>
      <c r="D168" s="1287"/>
      <c r="E168" s="1287"/>
      <c r="F168" s="1287"/>
      <c r="G168" s="1287"/>
    </row>
    <row r="169" spans="1:7" ht="12" customHeight="1">
      <c r="D169" s="35"/>
      <c r="E169" s="35"/>
      <c r="F169" s="35"/>
    </row>
    <row r="170" spans="1:7">
      <c r="B170" s="1284" t="s">
        <v>447</v>
      </c>
      <c r="C170" s="1284"/>
      <c r="D170" s="1284"/>
      <c r="E170" s="1284"/>
      <c r="F170" s="1284"/>
    </row>
    <row r="171" spans="1:7" ht="12" customHeight="1">
      <c r="A171" s="172"/>
      <c r="B171" s="172"/>
      <c r="C171" s="172"/>
    </row>
    <row r="172" spans="1:7">
      <c r="A172" s="1287" t="s">
        <v>1071</v>
      </c>
      <c r="B172" s="1287"/>
      <c r="C172" s="1287"/>
      <c r="D172" s="1287"/>
      <c r="E172" s="1287"/>
      <c r="F172" s="1287"/>
      <c r="G172" s="1287"/>
    </row>
    <row r="173" spans="1:7" ht="12" customHeight="1">
      <c r="A173" s="2"/>
      <c r="B173" s="2"/>
      <c r="E173" s="2"/>
    </row>
    <row r="174" spans="1:7" ht="13.35" customHeight="1">
      <c r="A174" s="2"/>
      <c r="B174" s="2"/>
      <c r="D174" s="1309" t="s">
        <v>1179</v>
      </c>
      <c r="E174" s="1309"/>
      <c r="F174" s="1309"/>
    </row>
    <row r="175" spans="1:7">
      <c r="A175" s="2"/>
      <c r="B175" s="2"/>
      <c r="D175" s="1309"/>
      <c r="E175" s="1309"/>
      <c r="F175" s="1309"/>
    </row>
    <row r="176" spans="1:7">
      <c r="A176" s="2"/>
      <c r="B176" s="2"/>
      <c r="D176" s="1296" t="s">
        <v>1180</v>
      </c>
      <c r="E176" s="1296"/>
      <c r="F176" s="1296"/>
    </row>
    <row r="177" spans="1:7" ht="12" customHeight="1">
      <c r="A177" s="2"/>
      <c r="B177" s="2"/>
      <c r="E177" s="2"/>
    </row>
    <row r="178" spans="1:7" ht="14.25">
      <c r="A178" s="176"/>
      <c r="B178" s="468" t="s">
        <v>308</v>
      </c>
      <c r="D178" s="1281" t="s">
        <v>1178</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1087</v>
      </c>
      <c r="E183" s="1302"/>
      <c r="F183" s="1302"/>
    </row>
    <row r="184" spans="1:7">
      <c r="D184" s="1302"/>
      <c r="E184" s="1302"/>
      <c r="F184" s="1302"/>
    </row>
    <row r="185" spans="1:7">
      <c r="D185" s="475"/>
      <c r="E185" s="475"/>
      <c r="F185" s="475"/>
    </row>
    <row r="186" spans="1:7" ht="14.25">
      <c r="A186" s="176"/>
      <c r="B186" s="468" t="s">
        <v>308</v>
      </c>
      <c r="C186" s="385"/>
      <c r="D186" s="1266" t="s">
        <v>1177</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1072</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1201</v>
      </c>
      <c r="E194" s="1292"/>
      <c r="F194" s="1292"/>
    </row>
    <row r="195" spans="1:6" ht="12" customHeight="1">
      <c r="A195" s="13"/>
      <c r="B195" s="13"/>
      <c r="C195" s="13"/>
    </row>
    <row r="196" spans="1:6" ht="13.35" customHeight="1">
      <c r="A196" s="13"/>
      <c r="C196" s="13"/>
      <c r="D196" s="1285" t="s">
        <v>553</v>
      </c>
      <c r="E196" s="1285"/>
      <c r="F196" s="1285"/>
    </row>
    <row r="197" spans="1:6" ht="14.25">
      <c r="A197" s="176"/>
      <c r="B197" s="468" t="s">
        <v>308</v>
      </c>
      <c r="D197" s="1266" t="s">
        <v>1195</v>
      </c>
      <c r="E197" s="1266"/>
      <c r="F197" s="1266"/>
    </row>
    <row r="198" spans="1:6" ht="14.25">
      <c r="A198" s="176"/>
      <c r="B198" s="176"/>
      <c r="D198" s="1266"/>
      <c r="E198" s="1266"/>
      <c r="F198" s="1266"/>
    </row>
    <row r="199" spans="1:6"/>
    <row r="200" spans="1:6" ht="14.25">
      <c r="A200" s="176"/>
      <c r="B200" s="468" t="s">
        <v>308</v>
      </c>
      <c r="D200" s="1266" t="s">
        <v>1196</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1197</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1198</v>
      </c>
      <c r="E210" s="1266"/>
      <c r="F210" s="1266"/>
    </row>
    <row r="211" spans="1:7" ht="14.25">
      <c r="A211" s="176"/>
      <c r="B211" s="176"/>
      <c r="D211" s="1266"/>
      <c r="E211" s="1266"/>
      <c r="F211" s="1266"/>
    </row>
    <row r="212" spans="1:7" ht="14.25">
      <c r="A212" s="176"/>
      <c r="B212" s="176"/>
      <c r="D212" s="1284" t="s">
        <v>908</v>
      </c>
      <c r="E212" s="1284"/>
      <c r="F212" s="1284"/>
    </row>
    <row r="213" spans="1:7" ht="14.25">
      <c r="A213" s="176"/>
      <c r="B213" s="176"/>
      <c r="D213" s="35"/>
      <c r="E213" s="35"/>
      <c r="F213" s="35"/>
    </row>
    <row r="214" spans="1:7" ht="14.45" customHeight="1">
      <c r="A214" s="176"/>
      <c r="B214" s="468" t="s">
        <v>308</v>
      </c>
      <c r="D214" s="1266" t="s">
        <v>1200</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1199</v>
      </c>
      <c r="E220" s="1266"/>
      <c r="F220" s="1266"/>
    </row>
    <row r="221" spans="1:7" ht="14.25">
      <c r="A221" s="176"/>
      <c r="B221" s="176"/>
      <c r="D221" s="1266"/>
      <c r="E221" s="1266"/>
      <c r="F221" s="1266"/>
    </row>
    <row r="222" spans="1:7">
      <c r="D222" s="19"/>
    </row>
    <row r="223" spans="1:7">
      <c r="A223" s="1287" t="s">
        <v>1073</v>
      </c>
      <c r="B223" s="1287"/>
      <c r="C223" s="1287"/>
      <c r="D223" s="1287"/>
      <c r="E223" s="1287"/>
      <c r="F223" s="1287"/>
      <c r="G223" s="1287"/>
    </row>
    <row r="224" spans="1:7">
      <c r="D224" s="19"/>
    </row>
    <row r="225" spans="1:6">
      <c r="C225" s="177"/>
      <c r="D225" s="1285" t="s">
        <v>1202</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1203</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1204</v>
      </c>
      <c r="E231" s="1266"/>
      <c r="F231" s="1266"/>
    </row>
    <row r="232" spans="1:6">
      <c r="D232" s="1266"/>
      <c r="E232" s="1266"/>
      <c r="F232" s="1266"/>
    </row>
    <row r="233" spans="1:6">
      <c r="D233" s="1292" t="s">
        <v>900</v>
      </c>
      <c r="E233" s="1292"/>
      <c r="F233" s="1292"/>
    </row>
    <row r="234" spans="1:6">
      <c r="D234" s="35"/>
      <c r="E234" s="35"/>
      <c r="F234" s="35"/>
    </row>
    <row r="235" spans="1:6" ht="14.45" customHeight="1">
      <c r="A235" s="176"/>
      <c r="B235" s="468" t="s">
        <v>308</v>
      </c>
      <c r="D235" s="1266" t="s">
        <v>1206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1205</v>
      </c>
      <c r="E241" s="1266"/>
      <c r="F241" s="1266"/>
    </row>
    <row r="242" spans="1:7">
      <c r="D242" s="1266"/>
      <c r="E242" s="1266"/>
      <c r="F242" s="1266"/>
    </row>
    <row r="243" spans="1:7">
      <c r="D243" s="1266"/>
      <c r="E243" s="1266"/>
      <c r="F243" s="1266"/>
    </row>
    <row r="244" spans="1:7">
      <c r="D244" s="178"/>
      <c r="E244" s="35"/>
      <c r="F244" s="35"/>
    </row>
    <row r="245" spans="1:7">
      <c r="A245" s="1287" t="s">
        <v>1074</v>
      </c>
      <c r="B245" s="1287"/>
      <c r="C245" s="1287"/>
      <c r="D245" s="1287"/>
      <c r="E245" s="1287"/>
      <c r="F245" s="1287"/>
      <c r="G245" s="1287"/>
    </row>
    <row r="246" spans="1:7">
      <c r="D246" s="178"/>
      <c r="E246" s="35"/>
      <c r="F246" s="35"/>
    </row>
    <row r="247" spans="1:7">
      <c r="C247" s="172"/>
      <c r="D247" s="1298" t="s">
        <v>1207</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1208</v>
      </c>
      <c r="E251" s="1291"/>
      <c r="F251" s="1291"/>
    </row>
    <row r="252" spans="1:7">
      <c r="E252" s="35"/>
      <c r="F252" s="35"/>
    </row>
    <row r="253" spans="1:7" ht="14.25">
      <c r="A253" s="176"/>
      <c r="B253" s="468" t="s">
        <v>308</v>
      </c>
      <c r="D253" s="1266" t="s">
        <v>1209</v>
      </c>
      <c r="E253" s="1266"/>
      <c r="F253" s="1266"/>
    </row>
    <row r="254" spans="1:7" ht="14.25">
      <c r="A254" s="176"/>
      <c r="B254" s="176"/>
      <c r="D254" s="1266"/>
      <c r="E254" s="1266"/>
      <c r="F254" s="1266"/>
    </row>
    <row r="255" spans="1:7">
      <c r="D255" s="35"/>
      <c r="E255" s="35"/>
      <c r="F255" s="35"/>
    </row>
    <row r="256" spans="1:7" ht="14.25">
      <c r="A256" s="176"/>
      <c r="B256" s="468" t="s">
        <v>308</v>
      </c>
      <c r="D256" s="1266" t="s">
        <v>1210</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1211</v>
      </c>
      <c r="E260" s="1266"/>
      <c r="F260" s="1266"/>
    </row>
    <row r="261" spans="1:7" ht="14.25">
      <c r="A261" s="176"/>
      <c r="B261" s="176"/>
      <c r="D261" s="1266"/>
      <c r="E261" s="1266"/>
      <c r="F261" s="1266"/>
    </row>
    <row r="262" spans="1:7">
      <c r="A262" s="13"/>
      <c r="B262" s="13"/>
      <c r="E262" s="35"/>
      <c r="F262" s="35"/>
    </row>
    <row r="263" spans="1:7">
      <c r="A263" s="1287" t="s">
        <v>1075</v>
      </c>
      <c r="B263" s="1287"/>
      <c r="C263" s="1287"/>
      <c r="D263" s="1287"/>
      <c r="E263" s="1287"/>
      <c r="F263" s="1287"/>
      <c r="G263" s="1287"/>
    </row>
    <row r="264" spans="1:7">
      <c r="A264" s="13"/>
      <c r="B264" s="13"/>
      <c r="D264" s="35"/>
      <c r="E264" s="35"/>
      <c r="F264" s="35"/>
    </row>
    <row r="265" spans="1:7">
      <c r="C265" s="13"/>
      <c r="D265" s="1285" t="s">
        <v>689</v>
      </c>
      <c r="E265" s="1285"/>
      <c r="F265" s="1285"/>
    </row>
    <row r="266" spans="1:7">
      <c r="C266" s="13"/>
      <c r="D266" s="1286" t="s">
        <v>1212</v>
      </c>
      <c r="E266" s="1286"/>
      <c r="F266" s="1286"/>
    </row>
    <row r="267" spans="1:7">
      <c r="C267" s="13"/>
      <c r="D267" s="173"/>
    </row>
    <row r="268" spans="1:7">
      <c r="B268" s="468" t="s">
        <v>308</v>
      </c>
      <c r="D268" s="1286" t="s">
        <v>1213</v>
      </c>
      <c r="E268" s="1286"/>
      <c r="F268" s="1286"/>
    </row>
    <row r="269" spans="1:7" ht="14.25">
      <c r="A269" s="176"/>
      <c r="B269" s="176"/>
      <c r="D269" s="341"/>
      <c r="E269" s="342"/>
      <c r="F269" s="342"/>
    </row>
    <row r="270" spans="1:7" ht="13.35" customHeight="1">
      <c r="B270" s="468" t="s">
        <v>308</v>
      </c>
      <c r="D270" s="1316" t="s">
        <v>1214</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35" customHeight="1">
      <c r="B276" s="468" t="s">
        <v>308</v>
      </c>
      <c r="D276" s="1316" t="s">
        <v>1215</v>
      </c>
      <c r="E276" s="1316"/>
      <c r="F276" s="1316"/>
    </row>
    <row r="277" spans="1:6">
      <c r="D277" s="1316"/>
      <c r="E277" s="1316"/>
      <c r="F277" s="1316"/>
    </row>
    <row r="278" spans="1:6" ht="14.25">
      <c r="A278" s="176"/>
      <c r="B278" s="176"/>
      <c r="D278" s="341"/>
      <c r="E278" s="342"/>
      <c r="F278" s="342"/>
    </row>
    <row r="279" spans="1:6">
      <c r="B279" s="468" t="s">
        <v>308</v>
      </c>
      <c r="D279" s="1286" t="s">
        <v>1216</v>
      </c>
      <c r="E279" s="1286"/>
      <c r="F279" s="1286"/>
    </row>
    <row r="280" spans="1:6">
      <c r="E280" s="35"/>
      <c r="F280" s="35"/>
    </row>
    <row r="281" spans="1:6" ht="14.25">
      <c r="A281" s="176"/>
      <c r="B281" s="468" t="s">
        <v>308</v>
      </c>
      <c r="D281" s="1266" t="s">
        <v>1217</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1219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996</v>
      </c>
      <c r="E314" s="1312"/>
      <c r="F314" s="1312"/>
      <c r="G314"/>
    </row>
    <row r="315" spans="1:7" ht="13.5" thickTop="1">
      <c r="D315" s="1313" t="s">
        <v>1220</v>
      </c>
      <c r="E315" s="1313"/>
      <c r="F315" s="1313"/>
      <c r="G315"/>
    </row>
    <row r="316" spans="1:7">
      <c r="A316" s="218"/>
      <c r="B316" s="218"/>
      <c r="C316" s="218"/>
      <c r="D316" s="220"/>
      <c r="E316" s="220"/>
      <c r="F316" s="35"/>
      <c r="G316"/>
    </row>
    <row r="317" spans="1:7" ht="14.25">
      <c r="A317" s="176"/>
      <c r="B317" s="468" t="s">
        <v>308</v>
      </c>
      <c r="C317" s="218"/>
      <c r="D317" s="1314" t="s">
        <v>1221</v>
      </c>
      <c r="E317" s="1314"/>
      <c r="F317" s="1314"/>
      <c r="G317"/>
    </row>
    <row r="318" spans="1:7">
      <c r="A318" s="218"/>
      <c r="B318" s="218"/>
      <c r="C318" s="218"/>
      <c r="D318" s="220"/>
      <c r="E318" s="220"/>
      <c r="F318" s="35"/>
      <c r="G318"/>
    </row>
    <row r="319" spans="1:7">
      <c r="A319" s="218"/>
      <c r="B319" s="468" t="s">
        <v>308</v>
      </c>
      <c r="C319" s="218"/>
      <c r="D319" s="1269" t="s">
        <v>1222</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1223</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1224</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1225</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1226</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1227</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1228</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1229</v>
      </c>
      <c r="E405" s="1286"/>
      <c r="F405" s="1286"/>
    </row>
    <row r="406" spans="1:7">
      <c r="D406" s="1311" t="s">
        <v>1004</v>
      </c>
      <c r="E406" s="1311"/>
      <c r="F406" s="1311"/>
    </row>
    <row r="407" spans="1:7">
      <c r="D407" s="1266" t="s">
        <v>1230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1231</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1232</v>
      </c>
      <c r="E416" s="1266"/>
      <c r="F416" s="1266"/>
      <c r="G416"/>
    </row>
    <row r="417" spans="1:7">
      <c r="D417" s="1266"/>
      <c r="E417" s="1266"/>
      <c r="F417" s="1266"/>
      <c r="G417"/>
    </row>
    <row r="418" spans="1:7">
      <c r="D418" s="35"/>
      <c r="E418" s="35"/>
      <c r="F418" s="35"/>
      <c r="G418"/>
    </row>
    <row r="419" spans="1:7" ht="14.25">
      <c r="B419" s="468" t="s">
        <v>308</v>
      </c>
      <c r="C419" s="176"/>
      <c r="D419" s="1266" t="s">
        <v>1233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1235</v>
      </c>
      <c r="E440" s="1286"/>
      <c r="F440" s="1286"/>
    </row>
    <row r="441" spans="1:7">
      <c r="A441" s="35"/>
      <c r="B441" s="35"/>
    </row>
    <row r="442" spans="1:7">
      <c r="A442" s="1287" t="s">
        <v>1076</v>
      </c>
      <c r="B442" s="1287"/>
      <c r="C442" s="1287"/>
      <c r="D442" s="1287"/>
      <c r="E442" s="1287"/>
      <c r="F442" s="1287"/>
      <c r="G442" s="1287"/>
    </row>
    <row r="443" spans="1:7">
      <c r="A443" s="35"/>
      <c r="B443" s="35"/>
    </row>
    <row r="444" spans="1:7">
      <c r="D444" s="1317" t="s">
        <v>894</v>
      </c>
      <c r="E444" s="1317"/>
      <c r="F444" s="1317"/>
    </row>
    <row r="445" spans="1:7" ht="14.25">
      <c r="A445" s="176"/>
      <c r="B445" s="176"/>
      <c r="D445" s="1314" t="s">
        <v>1236</v>
      </c>
      <c r="E445" s="1314"/>
      <c r="F445" s="1314"/>
    </row>
    <row r="446" spans="1:7" ht="14.25">
      <c r="A446" s="176"/>
      <c r="B446" s="176"/>
      <c r="D446" s="481"/>
      <c r="E446" s="3"/>
      <c r="F446" s="3"/>
    </row>
    <row r="447" spans="1:7" ht="14.25">
      <c r="A447" s="176"/>
      <c r="B447" s="468" t="s">
        <v>308</v>
      </c>
      <c r="D447" s="1269" t="s">
        <v>1237</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1238</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1239</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1240</v>
      </c>
      <c r="E459" s="1286"/>
      <c r="F459" s="1286"/>
      <c r="G459"/>
    </row>
    <row r="460" spans="1:7" ht="14.25">
      <c r="A460" s="176"/>
      <c r="B460" s="176"/>
      <c r="D460" s="118"/>
      <c r="E460" s="3"/>
      <c r="F460" s="3"/>
      <c r="G460"/>
    </row>
    <row r="461" spans="1:7" ht="14.25">
      <c r="A461" s="176"/>
      <c r="B461" s="468" t="s">
        <v>308</v>
      </c>
      <c r="D461" s="1266" t="s">
        <v>1241</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1242</v>
      </c>
      <c r="E464" s="1286"/>
      <c r="F464" s="1286"/>
      <c r="G464"/>
    </row>
    <row r="465" spans="1:7" ht="14.25">
      <c r="A465" s="176"/>
      <c r="B465" s="176"/>
      <c r="D465" s="35"/>
    </row>
    <row r="466" spans="1:7">
      <c r="A466" s="1287" t="s">
        <v>1077</v>
      </c>
      <c r="B466" s="1287"/>
      <c r="C466" s="1287"/>
      <c r="D466" s="1287"/>
      <c r="E466" s="1287"/>
      <c r="F466" s="1287"/>
      <c r="G466" s="1287"/>
    </row>
    <row r="467" spans="1:7" ht="12" customHeight="1">
      <c r="A467" s="176"/>
      <c r="B467" s="176"/>
      <c r="D467" s="35"/>
    </row>
    <row r="468" spans="1:7">
      <c r="C468" s="172"/>
      <c r="D468" s="1285" t="s">
        <v>801</v>
      </c>
      <c r="E468" s="1285"/>
      <c r="F468" s="1285"/>
    </row>
    <row r="469" spans="1:7" ht="13.35" customHeight="1">
      <c r="A469" s="175"/>
      <c r="B469" s="175"/>
      <c r="C469" s="175"/>
      <c r="D469" s="1318" t="s">
        <v>1120</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1111</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1114</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1112</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1113</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308</v>
      </c>
      <c r="C500" s="175"/>
      <c r="D500" s="1269" t="s">
        <v>1257</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1115</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1078</v>
      </c>
      <c r="B510" s="1287"/>
      <c r="C510" s="1287"/>
      <c r="D510" s="1287"/>
      <c r="E510" s="1287"/>
      <c r="F510" s="1287"/>
      <c r="G510" s="1287"/>
    </row>
    <row r="511" spans="1:7">
      <c r="A511" s="35"/>
      <c r="B511" s="35"/>
      <c r="C511" s="179"/>
      <c r="F511" s="57"/>
    </row>
    <row r="512" spans="1:7">
      <c r="B512" s="1284" t="s">
        <v>447</v>
      </c>
      <c r="C512" s="1284"/>
      <c r="D512" s="1284"/>
      <c r="E512" s="1284"/>
      <c r="F512" s="1284"/>
    </row>
    <row r="513" spans="1:7">
      <c r="A513" s="35"/>
      <c r="B513" s="35"/>
      <c r="C513" s="179"/>
      <c r="D513" s="35"/>
      <c r="F513" s="35"/>
    </row>
    <row r="514" spans="1:7">
      <c r="A514" s="1288" t="s">
        <v>1079</v>
      </c>
      <c r="B514" s="1288"/>
      <c r="C514" s="1288"/>
      <c r="D514" s="1288"/>
      <c r="E514" s="1288"/>
      <c r="F514" s="1288"/>
      <c r="G514" s="1288"/>
    </row>
    <row r="515" spans="1:7">
      <c r="A515" s="35"/>
      <c r="B515" s="35"/>
      <c r="C515" s="179"/>
      <c r="D515" s="35"/>
      <c r="F515" s="35"/>
    </row>
    <row r="516" spans="1:7">
      <c r="C516" s="179"/>
      <c r="D516" s="1285" t="s">
        <v>690</v>
      </c>
      <c r="E516" s="1285"/>
      <c r="F516" s="1285"/>
    </row>
    <row r="517" spans="1:7">
      <c r="C517" s="179"/>
      <c r="D517" s="1286" t="s">
        <v>1136</v>
      </c>
      <c r="E517" s="1286"/>
      <c r="F517" s="1286"/>
    </row>
    <row r="518" spans="1:7">
      <c r="C518" s="179"/>
      <c r="D518" s="118"/>
      <c r="E518" s="118"/>
      <c r="F518" s="118"/>
    </row>
    <row r="519" spans="1:7" ht="13.35" customHeight="1">
      <c r="A519" s="176"/>
      <c r="B519" s="468" t="s">
        <v>308</v>
      </c>
      <c r="C519" s="179"/>
      <c r="D519" s="1286" t="s">
        <v>895</v>
      </c>
      <c r="E519" s="1286"/>
      <c r="F519" s="1286"/>
      <c r="G519"/>
    </row>
    <row r="520" spans="1:7" ht="13.35" customHeight="1">
      <c r="A520" s="179"/>
      <c r="B520" s="179"/>
      <c r="C520" s="179"/>
      <c r="D520" s="118"/>
      <c r="E520"/>
      <c r="F520"/>
      <c r="G520"/>
    </row>
    <row r="521" spans="1:7" ht="14.25">
      <c r="A521" s="176"/>
      <c r="B521" s="468" t="s">
        <v>308</v>
      </c>
      <c r="C521" s="179"/>
      <c r="D521" s="1266" t="s">
        <v>1137</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1138</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1139</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1258</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1141</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1142</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1143</v>
      </c>
      <c r="E543" s="1286"/>
      <c r="F543" s="1286"/>
    </row>
    <row r="544" spans="1:7">
      <c r="A544" s="13"/>
      <c r="B544" s="13"/>
      <c r="C544" s="179"/>
      <c r="D544" s="1286" t="s">
        <v>828</v>
      </c>
      <c r="E544" s="1286"/>
      <c r="F544" s="1286"/>
    </row>
    <row r="545" spans="1:7">
      <c r="A545" s="13"/>
      <c r="B545" s="13"/>
      <c r="C545" s="179"/>
      <c r="D545" s="3"/>
      <c r="E545" s="1291" t="s">
        <v>1144</v>
      </c>
      <c r="F545" s="1291"/>
    </row>
    <row r="546" spans="1:7" ht="14.25">
      <c r="A546" s="176"/>
      <c r="B546" s="176"/>
      <c r="C546" s="179"/>
      <c r="E546" s="35"/>
      <c r="F546" s="35"/>
    </row>
    <row r="547" spans="1:7" ht="14.25">
      <c r="A547" s="176"/>
      <c r="B547" s="468" t="s">
        <v>308</v>
      </c>
      <c r="C547" s="179"/>
      <c r="D547" s="1286" t="s">
        <v>1145</v>
      </c>
      <c r="E547" s="1286"/>
      <c r="F547" s="1286"/>
    </row>
    <row r="548" spans="1:7">
      <c r="C548" s="179"/>
      <c r="D548" s="1266" t="s">
        <v>1146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1147</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1080</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1096</v>
      </c>
      <c r="E560" s="1303"/>
      <c r="F560" s="1303"/>
    </row>
    <row r="561" spans="1:6">
      <c r="A561"/>
      <c r="B561"/>
      <c r="C561" s="175"/>
      <c r="D561" s="255"/>
    </row>
    <row r="562" spans="1:6">
      <c r="A562" s="175"/>
      <c r="B562" s="468" t="s">
        <v>308</v>
      </c>
      <c r="D562" s="1303" t="s">
        <v>901</v>
      </c>
      <c r="E562" s="1303"/>
      <c r="F562" s="1303"/>
    </row>
    <row r="563" spans="1:6">
      <c r="A563" s="13"/>
      <c r="B563" s="13"/>
      <c r="D563" s="218"/>
    </row>
    <row r="564" spans="1:6">
      <c r="A564" s="13"/>
      <c r="B564" s="468" t="s">
        <v>308</v>
      </c>
      <c r="D564" s="1303" t="s">
        <v>1097</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1098</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1099</v>
      </c>
      <c r="E573" s="1303"/>
      <c r="F573" s="1303"/>
    </row>
    <row r="574" spans="1:6">
      <c r="A574" s="13"/>
      <c r="B574" s="13"/>
      <c r="D574" s="1303"/>
      <c r="E574" s="1303"/>
      <c r="F574" s="1303"/>
    </row>
    <row r="575" spans="1:6">
      <c r="A575" s="13"/>
      <c r="B575" s="13"/>
      <c r="D575" s="255"/>
    </row>
    <row r="576" spans="1:6">
      <c r="A576" s="13"/>
      <c r="B576" s="468" t="s">
        <v>308</v>
      </c>
      <c r="D576" s="1303" t="s">
        <v>1100</v>
      </c>
      <c r="E576" s="1303"/>
      <c r="F576" s="1303"/>
    </row>
    <row r="577" spans="1:7">
      <c r="A577" s="13"/>
      <c r="B577" s="13"/>
      <c r="D577" s="1303"/>
      <c r="E577" s="1303"/>
      <c r="F577" s="1303"/>
    </row>
    <row r="578" spans="1:7">
      <c r="A578" s="13"/>
      <c r="B578" s="13"/>
      <c r="D578" s="255"/>
    </row>
    <row r="579" spans="1:7" ht="14.25">
      <c r="A579" s="176"/>
      <c r="B579" s="468" t="s">
        <v>308</v>
      </c>
      <c r="D579" s="1303" t="s">
        <v>896</v>
      </c>
      <c r="E579" s="1303"/>
      <c r="F579" s="1303"/>
    </row>
    <row r="580" spans="1:7" ht="14.25">
      <c r="A580" s="176"/>
      <c r="B580" s="176"/>
      <c r="D580" s="255"/>
    </row>
    <row r="581" spans="1:7" ht="14.25">
      <c r="A581" s="176"/>
      <c r="B581" s="468" t="s">
        <v>308</v>
      </c>
      <c r="D581" s="1303" t="s">
        <v>1101</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1081</v>
      </c>
      <c r="B588" s="1287"/>
      <c r="C588" s="1287"/>
      <c r="D588" s="1287"/>
      <c r="E588" s="1287"/>
      <c r="F588" s="1287"/>
      <c r="G588" s="1287"/>
    </row>
    <row r="589" spans="1:7"/>
    <row r="590" spans="1:7">
      <c r="D590" s="1279" t="s">
        <v>1181</v>
      </c>
      <c r="E590" s="1279"/>
      <c r="F590" s="1279"/>
    </row>
    <row r="591" spans="1:7">
      <c r="D591" s="1280" t="s">
        <v>1182</v>
      </c>
      <c r="E591" s="1280"/>
      <c r="F591" s="1280"/>
    </row>
    <row r="592" spans="1:7">
      <c r="D592" s="478"/>
      <c r="E592" s="433"/>
      <c r="F592" s="433"/>
    </row>
    <row r="593" spans="1:7" ht="14.25">
      <c r="A593" s="176"/>
      <c r="B593" s="468" t="s">
        <v>308</v>
      </c>
      <c r="D593" s="1281" t="s">
        <v>1183</v>
      </c>
      <c r="E593" s="1281"/>
      <c r="F593" s="1281"/>
    </row>
    <row r="594" spans="1:7">
      <c r="D594" s="1281"/>
      <c r="E594" s="1281"/>
      <c r="F594" s="1281"/>
    </row>
    <row r="595" spans="1:7">
      <c r="D595" s="1281"/>
      <c r="E595" s="1281"/>
      <c r="F595" s="1281"/>
    </row>
    <row r="596" spans="1:7"/>
    <row r="597" spans="1:7">
      <c r="A597" s="1287" t="s">
        <v>1082</v>
      </c>
      <c r="B597" s="1287"/>
      <c r="C597" s="1287"/>
      <c r="D597" s="1287"/>
      <c r="E597" s="1287"/>
      <c r="F597" s="1287"/>
      <c r="G597" s="1287"/>
    </row>
    <row r="598" spans="1:7">
      <c r="A598" s="35"/>
      <c r="B598" s="35"/>
    </row>
    <row r="599" spans="1:7">
      <c r="A599" s="172"/>
      <c r="B599" s="172"/>
      <c r="C599" s="172"/>
      <c r="D599" s="1282" t="s">
        <v>1184</v>
      </c>
      <c r="E599" s="1282"/>
      <c r="F599" s="1282"/>
    </row>
    <row r="600" spans="1:7">
      <c r="A600" s="172"/>
      <c r="B600" s="172"/>
      <c r="C600" s="172"/>
      <c r="D600" s="1282"/>
      <c r="E600" s="1282"/>
      <c r="F600" s="1282"/>
    </row>
    <row r="601" spans="1:7">
      <c r="C601" s="175"/>
      <c r="D601" s="1280" t="s">
        <v>1185</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1186</v>
      </c>
      <c r="E605" s="1283"/>
      <c r="F605" s="1283"/>
    </row>
    <row r="606" spans="1:7">
      <c r="D606" s="1283"/>
      <c r="E606" s="1283"/>
      <c r="F606" s="1283"/>
    </row>
    <row r="607" spans="1:7">
      <c r="D607"/>
    </row>
    <row r="608" spans="1:7">
      <c r="B608" s="468" t="s">
        <v>308</v>
      </c>
      <c r="D608" s="1283" t="s">
        <v>1187</v>
      </c>
      <c r="E608" s="1283"/>
      <c r="F608" s="1283"/>
    </row>
    <row r="609" spans="1:7">
      <c r="C609" s="180"/>
      <c r="D609" s="1283"/>
      <c r="E609" s="1283"/>
      <c r="F609" s="1283"/>
    </row>
    <row r="610" spans="1:7">
      <c r="C610" s="180"/>
    </row>
    <row r="611" spans="1:7">
      <c r="B611" s="468" t="s">
        <v>308</v>
      </c>
      <c r="C611" s="180"/>
      <c r="D611" s="1283" t="s">
        <v>1188</v>
      </c>
      <c r="E611" s="1283"/>
      <c r="F611" s="1283"/>
    </row>
    <row r="612" spans="1:7">
      <c r="C612" s="180"/>
      <c r="D612" s="1283"/>
      <c r="E612" s="1283"/>
      <c r="F612" s="1283"/>
    </row>
    <row r="613" spans="1:7">
      <c r="C613" s="180"/>
    </row>
    <row r="614" spans="1:7">
      <c r="A614" s="1287" t="s">
        <v>1083</v>
      </c>
      <c r="B614" s="1287"/>
      <c r="C614" s="1287"/>
      <c r="D614" s="1287"/>
      <c r="E614" s="1287"/>
      <c r="F614" s="1287"/>
      <c r="G614" s="1287"/>
    </row>
    <row r="615" spans="1:7">
      <c r="A615" s="172"/>
      <c r="B615" s="172"/>
      <c r="C615" s="172"/>
    </row>
    <row r="616" spans="1:7">
      <c r="C616" s="13"/>
      <c r="D616" s="1279" t="s">
        <v>1189</v>
      </c>
      <c r="E616" s="1279"/>
      <c r="F616" s="1279"/>
    </row>
    <row r="617" spans="1:7">
      <c r="A617" s="13"/>
      <c r="B617" s="13"/>
      <c r="D617" s="2"/>
    </row>
    <row r="618" spans="1:7" ht="14.25">
      <c r="A618" s="176"/>
      <c r="B618" s="468" t="s">
        <v>308</v>
      </c>
      <c r="D618" s="1281" t="s">
        <v>1190</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1191</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1192</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1193</v>
      </c>
      <c r="E633" s="1310"/>
      <c r="F633" s="1310"/>
    </row>
    <row r="634" spans="1:7">
      <c r="A634" s="179"/>
      <c r="B634" s="179"/>
      <c r="C634" s="179"/>
      <c r="D634" s="480"/>
      <c r="E634" s="480"/>
      <c r="F634" s="480"/>
    </row>
    <row r="635" spans="1:7">
      <c r="A635" s="1287" t="s">
        <v>1084</v>
      </c>
      <c r="B635" s="1287"/>
      <c r="C635" s="1287"/>
      <c r="D635" s="1287"/>
      <c r="E635" s="1287"/>
      <c r="F635" s="1287"/>
      <c r="G635" s="1287"/>
    </row>
    <row r="636" spans="1:7">
      <c r="A636" s="35"/>
      <c r="B636" s="35"/>
      <c r="C636" s="179"/>
      <c r="D636" s="35"/>
      <c r="E636" s="35"/>
      <c r="F636" s="35"/>
    </row>
    <row r="637" spans="1:7">
      <c r="C637" s="172"/>
      <c r="D637" s="1285" t="s">
        <v>1243</v>
      </c>
      <c r="E637" s="1285"/>
      <c r="F637" s="1285"/>
    </row>
    <row r="638" spans="1:7">
      <c r="A638" s="175"/>
      <c r="B638" s="175"/>
      <c r="C638" s="175"/>
      <c r="D638" s="1286" t="s">
        <v>1244</v>
      </c>
      <c r="E638" s="1286"/>
      <c r="F638" s="1286"/>
    </row>
    <row r="639" spans="1:7">
      <c r="A639" s="175"/>
      <c r="B639" s="175"/>
      <c r="C639" s="175"/>
      <c r="D639" s="118"/>
      <c r="E639" s="118"/>
      <c r="F639" s="118"/>
    </row>
    <row r="640" spans="1:7" ht="14.45" customHeight="1">
      <c r="A640" s="176"/>
      <c r="B640" s="468" t="s">
        <v>308</v>
      </c>
      <c r="C640" s="179"/>
      <c r="D640" s="1266" t="s">
        <v>1245</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1095</v>
      </c>
      <c r="E646" s="1300"/>
      <c r="F646" s="1300"/>
    </row>
    <row r="647" spans="1:11" ht="14.25">
      <c r="A647" s="176"/>
      <c r="B647" s="176"/>
      <c r="C647" s="179"/>
      <c r="D647" s="1299" t="s">
        <v>1246</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1247</v>
      </c>
      <c r="E652" s="1301"/>
      <c r="F652" s="1301"/>
    </row>
    <row r="653" spans="1:11">
      <c r="A653" s="179"/>
      <c r="B653" s="179"/>
      <c r="C653" s="179"/>
      <c r="D653" s="35"/>
      <c r="E653" s="35"/>
      <c r="F653" s="35"/>
    </row>
    <row r="654" spans="1:11">
      <c r="A654" s="1287" t="s">
        <v>1085</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1121</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897</v>
      </c>
      <c r="E660" s="1286"/>
      <c r="F660" s="1286"/>
      <c r="H660" s="181"/>
      <c r="I660" s="181"/>
      <c r="J660" s="181"/>
      <c r="K660" s="181"/>
    </row>
    <row r="661" spans="1:11">
      <c r="A661" s="175"/>
      <c r="B661" s="175"/>
      <c r="C661" s="175"/>
      <c r="D661" s="1286" t="s">
        <v>907</v>
      </c>
      <c r="E661" s="1286"/>
      <c r="F661" s="1286"/>
      <c r="H661" s="181"/>
      <c r="I661" s="181"/>
      <c r="J661" s="181"/>
      <c r="K661" s="181"/>
    </row>
    <row r="662" spans="1:11">
      <c r="A662" s="175"/>
      <c r="B662" s="175"/>
      <c r="C662" s="175"/>
      <c r="D662" s="3"/>
      <c r="E662" s="1270" t="s">
        <v>1122</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1123</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935</v>
      </c>
      <c r="E669" s="1286"/>
      <c r="F669" s="1286"/>
      <c r="H669" s="181"/>
      <c r="I669" s="181"/>
      <c r="J669" s="181"/>
      <c r="K669" s="181"/>
    </row>
    <row r="670" spans="1:11" ht="14.25">
      <c r="A670" s="176"/>
      <c r="B670" s="176"/>
      <c r="C670" s="175"/>
      <c r="D670" s="1286" t="s">
        <v>907</v>
      </c>
      <c r="E670" s="1286"/>
      <c r="F670" s="1286"/>
      <c r="H670" s="181"/>
      <c r="I670" s="181"/>
      <c r="J670" s="181"/>
      <c r="K670" s="181"/>
    </row>
    <row r="671" spans="1:11">
      <c r="A671" s="175"/>
      <c r="B671" s="175"/>
      <c r="C671" s="175"/>
      <c r="D671" s="3"/>
      <c r="E671" s="1291" t="s">
        <v>1124</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1134</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1125</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1135</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1132</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1133</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1126</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1127</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1128</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1261</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1129</v>
      </c>
      <c r="E724" s="1293"/>
      <c r="F724" s="1293"/>
      <c r="H724" s="181"/>
      <c r="I724" s="181"/>
      <c r="J724" s="181"/>
      <c r="K724" s="181"/>
    </row>
    <row r="725" spans="1:11">
      <c r="A725" s="175"/>
      <c r="B725" s="175"/>
      <c r="C725" s="175"/>
      <c r="D725" s="369"/>
      <c r="H725" s="181"/>
      <c r="I725" s="181"/>
      <c r="J725" s="181"/>
      <c r="K725" s="181"/>
    </row>
    <row r="726" spans="1:11">
      <c r="A726" s="1288" t="s">
        <v>1086</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1102</v>
      </c>
      <c r="E728" s="1298"/>
      <c r="F728" s="1298"/>
      <c r="G728" s="183"/>
      <c r="H728" s="181"/>
      <c r="I728" s="181"/>
      <c r="J728" s="181"/>
      <c r="K728" s="181"/>
    </row>
    <row r="729" spans="1:11">
      <c r="A729" s="175"/>
      <c r="B729" s="175"/>
      <c r="C729" s="175"/>
      <c r="D729" s="1290" t="s">
        <v>1103</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1106</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1107</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1109</v>
      </c>
      <c r="B754" s="1287"/>
      <c r="C754" s="1287"/>
      <c r="D754" s="1287"/>
      <c r="E754" s="1287"/>
      <c r="F754" s="1287"/>
      <c r="G754" s="1287"/>
    </row>
    <row r="755" spans="1:11">
      <c r="A755" s="175"/>
      <c r="B755" s="175"/>
      <c r="C755" s="175"/>
      <c r="D755" s="184"/>
      <c r="F755" s="35"/>
      <c r="G755" s="183"/>
    </row>
    <row r="756" spans="1:11">
      <c r="D756" s="1295" t="s">
        <v>1093</v>
      </c>
      <c r="E756" s="1295"/>
      <c r="F756" s="1295"/>
      <c r="G756" s="183"/>
    </row>
    <row r="757" spans="1:11">
      <c r="A757" s="345"/>
      <c r="B757" s="345"/>
      <c r="C757" s="345"/>
      <c r="D757" s="1296" t="s">
        <v>1110</v>
      </c>
      <c r="E757" s="1296"/>
      <c r="F757" s="1296"/>
      <c r="G757" s="183"/>
    </row>
    <row r="758" spans="1:11">
      <c r="D758" s="433"/>
      <c r="E758" s="433"/>
      <c r="F758" s="433"/>
      <c r="G758" s="183"/>
    </row>
    <row r="759" spans="1:11" ht="14.25">
      <c r="A759" s="176"/>
      <c r="B759" s="468" t="s">
        <v>308</v>
      </c>
      <c r="D759" s="1296" t="s">
        <v>1003</v>
      </c>
      <c r="E759" s="1296"/>
      <c r="F759" s="1296"/>
      <c r="G759" s="183"/>
    </row>
    <row r="760" spans="1:11">
      <c r="D760" s="433"/>
      <c r="E760" s="1297" t="s">
        <v>1094</v>
      </c>
      <c r="F760" s="1297"/>
      <c r="G760" s="183"/>
    </row>
    <row r="761" spans="1:11">
      <c r="A761" s="172"/>
      <c r="B761" s="172"/>
      <c r="C761" s="172"/>
      <c r="D761" s="35"/>
      <c r="G761" s="183"/>
    </row>
    <row r="762" spans="1:11">
      <c r="A762" s="1294" t="s">
        <v>448</v>
      </c>
      <c r="B762" s="1294"/>
      <c r="C762" s="1294"/>
      <c r="D762" s="1294"/>
      <c r="E762" s="1294"/>
      <c r="F762" s="1294"/>
      <c r="G762" s="1294"/>
    </row>
    <row r="763" spans="1:11">
      <c r="A763" s="172"/>
      <c r="B763" s="172"/>
      <c r="C763" s="179"/>
      <c r="D763" s="183"/>
      <c r="E763" s="183"/>
      <c r="F763" s="183"/>
      <c r="G763" s="183"/>
    </row>
    <row r="764" spans="1:11">
      <c r="A764" s="35"/>
      <c r="B764" s="1290" t="s">
        <v>1002</v>
      </c>
      <c r="C764" s="1290"/>
      <c r="D764" s="1290"/>
      <c r="E764" s="1290"/>
      <c r="F764" s="1290"/>
      <c r="G764" s="183"/>
    </row>
    <row r="765" spans="1:11">
      <c r="A765" s="13"/>
      <c r="B765" s="13"/>
      <c r="G765" s="183"/>
    </row>
    <row r="766" spans="1:11">
      <c r="A766" s="1294" t="s">
        <v>449</v>
      </c>
      <c r="B766" s="1294"/>
      <c r="C766" s="1294"/>
      <c r="D766" s="1294"/>
      <c r="E766" s="1294"/>
      <c r="F766" s="1294"/>
      <c r="G766" s="1294"/>
    </row>
    <row r="767" spans="1:11">
      <c r="A767" s="172"/>
      <c r="B767" s="172"/>
      <c r="C767" s="172"/>
      <c r="D767" s="178"/>
      <c r="G767" s="183"/>
    </row>
    <row r="768" spans="1:11">
      <c r="A768" s="35"/>
      <c r="B768" s="1286" t="s">
        <v>447</v>
      </c>
      <c r="C768" s="1286"/>
      <c r="D768" s="1286"/>
      <c r="E768" s="1286"/>
      <c r="F768" s="1286"/>
      <c r="G768" s="183"/>
    </row>
    <row r="769" spans="1:7" ht="14.25">
      <c r="A769" s="176"/>
      <c r="B769" s="176"/>
      <c r="D769" s="35"/>
      <c r="E769" s="35"/>
      <c r="F769" s="183"/>
      <c r="G769" s="183"/>
    </row>
    <row r="770" spans="1:7">
      <c r="A770" s="1294" t="s">
        <v>450</v>
      </c>
      <c r="B770" s="1294"/>
      <c r="C770" s="1294"/>
      <c r="D770" s="1294"/>
      <c r="E770" s="1294"/>
      <c r="F770" s="1294"/>
      <c r="G770" s="1294"/>
    </row>
    <row r="771" spans="1:7">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c r="A777" s="179"/>
      <c r="B777" s="179"/>
      <c r="C777" s="179"/>
      <c r="D777" s="174"/>
      <c r="F777" s="183"/>
    </row>
    <row r="778" spans="1:7">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c r="A781" s="179"/>
      <c r="B781" s="179"/>
      <c r="C781" s="179"/>
      <c r="D781" s="174"/>
      <c r="F781" s="183"/>
    </row>
    <row r="782" spans="1:7">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447</v>
      </c>
      <c r="C788" s="1286"/>
      <c r="D788" s="1286"/>
      <c r="E788" s="1286"/>
      <c r="F788" s="1286"/>
    </row>
    <row r="789" spans="1:7">
      <c r="A789" s="35"/>
      <c r="B789" s="35"/>
      <c r="D789" s="174"/>
    </row>
    <row r="790" spans="1:7">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2058</v>
      </c>
      <c r="B2" s="1320"/>
      <c r="C2" s="1320"/>
      <c r="D2" s="1320"/>
      <c r="E2" s="1320"/>
      <c r="F2" s="1320"/>
      <c r="G2" s="1320"/>
      <c r="H2" s="1320"/>
      <c r="I2" s="1320"/>
      <c r="J2" s="1320"/>
    </row>
    <row r="3" spans="1:10" ht="15">
      <c r="A3" s="1323" t="s">
        <v>1376</v>
      </c>
      <c r="B3" s="1324"/>
      <c r="C3" s="1324"/>
      <c r="D3" s="1324"/>
      <c r="E3" s="1324"/>
      <c r="F3" s="1324"/>
      <c r="G3" s="1324"/>
      <c r="H3" s="1324"/>
      <c r="I3" s="1324"/>
      <c r="J3" s="1324"/>
    </row>
    <row r="4" spans="1:10" ht="12.75"/>
    <row r="5" spans="1:10" ht="12.75" customHeight="1">
      <c r="A5" s="1321" t="s">
        <v>2359</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5" t="s">
        <v>2063</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1293</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1294</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2059</v>
      </c>
      <c r="B72" s="1322"/>
      <c r="C72" s="1322"/>
      <c r="D72" s="1322"/>
      <c r="E72" s="1322"/>
      <c r="F72" s="1322"/>
      <c r="G72" s="1322"/>
      <c r="H72" s="1322"/>
      <c r="I72" s="1322"/>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zoomScale="90" zoomScaleNormal="90" workbookViewId="0">
      <selection activeCell="B853" sqref="B853"/>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6" t="s">
        <v>2581</v>
      </c>
      <c r="B2" s="1326"/>
      <c r="C2" s="1326"/>
      <c r="D2" s="1326"/>
      <c r="E2" s="1326"/>
      <c r="F2" s="1326"/>
      <c r="G2" s="1326"/>
      <c r="H2" s="1326"/>
      <c r="I2" s="1326"/>
    </row>
    <row r="3" spans="1:13">
      <c r="A3" s="1327" t="s">
        <v>2627</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2626</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7" t="s">
        <v>1166</v>
      </c>
      <c r="B9" s="1287"/>
      <c r="C9" s="1287"/>
      <c r="D9" s="1287"/>
      <c r="E9" s="1287"/>
      <c r="F9" s="1287"/>
      <c r="G9" s="1287"/>
      <c r="H9" s="1063"/>
      <c r="I9" s="1064"/>
    </row>
    <row r="10" spans="1:13">
      <c r="A10" s="516"/>
      <c r="B10" s="516"/>
      <c r="E10" s="435"/>
    </row>
    <row r="11" spans="1:13" ht="13.7" customHeight="1">
      <c r="C11" s="516"/>
      <c r="D11" s="1340" t="s">
        <v>1165</v>
      </c>
      <c r="E11" s="1340"/>
      <c r="F11" s="1340"/>
    </row>
    <row r="12" spans="1:13">
      <c r="C12" s="516"/>
      <c r="D12" s="1340"/>
      <c r="E12" s="1340"/>
      <c r="F12" s="1340"/>
    </row>
    <row r="13" spans="1:13">
      <c r="A13" s="517"/>
      <c r="B13" s="517"/>
      <c r="C13" s="517"/>
      <c r="D13" s="1310" t="s">
        <v>1148</v>
      </c>
      <c r="E13" s="1310"/>
      <c r="F13" s="1310"/>
      <c r="M13" s="96"/>
    </row>
    <row r="14" spans="1:13">
      <c r="A14" s="517"/>
      <c r="B14" s="517"/>
      <c r="C14" s="517"/>
      <c r="D14" s="510"/>
      <c r="L14" s="336"/>
    </row>
    <row r="15" spans="1:13" ht="14.25">
      <c r="A15" s="518"/>
      <c r="B15" s="519" t="s">
        <v>2780</v>
      </c>
      <c r="C15" s="517"/>
      <c r="D15" s="1281" t="s">
        <v>2220</v>
      </c>
      <c r="E15" s="1281"/>
      <c r="F15" s="1281"/>
      <c r="I15" s="524" t="s">
        <v>2071</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2218</v>
      </c>
      <c r="F18" s="479"/>
      <c r="I18" s="524"/>
    </row>
    <row r="19" spans="1:9">
      <c r="A19" s="517"/>
      <c r="B19" s="517"/>
      <c r="C19" s="517"/>
      <c r="I19" s="524"/>
    </row>
    <row r="20" spans="1:9" ht="14.25">
      <c r="A20" s="518"/>
      <c r="B20" s="519" t="s">
        <v>2780</v>
      </c>
      <c r="D20" s="1281" t="s">
        <v>2221</v>
      </c>
      <c r="E20" s="1281"/>
      <c r="F20" s="1281"/>
      <c r="I20" s="524" t="s">
        <v>2072</v>
      </c>
    </row>
    <row r="21" spans="1:9" ht="14.25">
      <c r="A21" s="518"/>
      <c r="D21" s="1281"/>
      <c r="E21" s="1281"/>
      <c r="F21" s="1281"/>
      <c r="I21" s="524"/>
    </row>
    <row r="22" spans="1:9" ht="14.25">
      <c r="A22" s="518"/>
      <c r="D22" s="423"/>
      <c r="E22" s="96" t="s">
        <v>2217</v>
      </c>
      <c r="F22" s="423"/>
      <c r="I22" s="524"/>
    </row>
    <row r="23" spans="1:9" ht="14.25">
      <c r="A23" s="518"/>
      <c r="B23" s="518"/>
      <c r="D23" s="480"/>
      <c r="I23" s="524"/>
    </row>
    <row r="24" spans="1:9" ht="14.25">
      <c r="A24" s="518"/>
      <c r="B24" s="519" t="s">
        <v>2781</v>
      </c>
      <c r="D24" s="1281" t="s">
        <v>1151</v>
      </c>
      <c r="E24" s="1281"/>
      <c r="F24" s="1281"/>
      <c r="I24" s="524" t="s">
        <v>2072</v>
      </c>
    </row>
    <row r="25" spans="1:9" ht="14.25">
      <c r="A25" s="518"/>
      <c r="B25" s="518"/>
      <c r="D25" s="1281"/>
      <c r="E25" s="1281"/>
      <c r="F25" s="1281"/>
      <c r="I25" s="524"/>
    </row>
    <row r="26" spans="1:9">
      <c r="I26" s="524"/>
    </row>
    <row r="27" spans="1:9" ht="14.25">
      <c r="A27" s="518"/>
      <c r="B27" s="519" t="s">
        <v>2781</v>
      </c>
      <c r="D27" s="1281" t="s">
        <v>2360</v>
      </c>
      <c r="E27" s="1281"/>
      <c r="F27" s="1281"/>
      <c r="I27" s="524" t="s">
        <v>2075</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2781</v>
      </c>
      <c r="D33" s="1281" t="s">
        <v>2361</v>
      </c>
      <c r="E33" s="1281"/>
      <c r="F33" s="1281"/>
      <c r="I33" s="524" t="s">
        <v>2071</v>
      </c>
    </row>
    <row r="34" spans="1:9">
      <c r="D34" s="1281"/>
      <c r="E34" s="1281"/>
      <c r="F34" s="1281"/>
      <c r="I34" s="524"/>
    </row>
    <row r="35" spans="1:9" ht="14.25">
      <c r="A35" s="518"/>
      <c r="B35" s="518"/>
      <c r="D35" s="481"/>
      <c r="I35" s="524"/>
    </row>
    <row r="36" spans="1:9" ht="14.45" customHeight="1">
      <c r="A36" s="518"/>
      <c r="B36" s="519" t="s">
        <v>2781</v>
      </c>
      <c r="D36" s="1281" t="s">
        <v>1318</v>
      </c>
      <c r="E36" s="1281"/>
      <c r="F36" s="1281"/>
      <c r="I36" s="524" t="s">
        <v>2142</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2781</v>
      </c>
      <c r="D41" s="1281" t="s">
        <v>1155</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2781</v>
      </c>
      <c r="D47" s="1281" t="s">
        <v>1156</v>
      </c>
      <c r="E47" s="1281"/>
      <c r="F47" s="1281"/>
      <c r="I47" s="524" t="s">
        <v>2142</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2781</v>
      </c>
      <c r="D52" s="1281" t="s">
        <v>1157</v>
      </c>
      <c r="E52" s="1281"/>
      <c r="F52" s="1281"/>
      <c r="I52" s="524" t="s">
        <v>2142</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2780</v>
      </c>
      <c r="D56" s="1337" t="s">
        <v>1158</v>
      </c>
      <c r="E56" s="1337"/>
      <c r="F56" s="1337"/>
      <c r="I56" s="524"/>
    </row>
    <row r="57" spans="1:9" ht="14.25">
      <c r="A57" s="518"/>
      <c r="B57" s="518"/>
      <c r="D57" s="1337"/>
      <c r="E57" s="1337"/>
      <c r="F57" s="1337"/>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2780</v>
      </c>
      <c r="D61" s="1281" t="s">
        <v>1159</v>
      </c>
      <c r="E61" s="1281"/>
      <c r="F61" s="1281"/>
      <c r="I61" s="524" t="s">
        <v>2073</v>
      </c>
    </row>
    <row r="62" spans="1:9">
      <c r="D62" s="1281"/>
      <c r="E62" s="1281"/>
      <c r="F62" s="1281"/>
      <c r="I62" s="524"/>
    </row>
    <row r="63" spans="1:9">
      <c r="D63" s="1281"/>
      <c r="E63" s="1281"/>
      <c r="F63" s="1281"/>
      <c r="I63" s="524"/>
    </row>
    <row r="64" spans="1:9">
      <c r="I64" s="524"/>
    </row>
    <row r="65" spans="1:9" ht="14.25">
      <c r="A65" s="518"/>
      <c r="B65" s="519" t="s">
        <v>2781</v>
      </c>
      <c r="D65" s="1281" t="s">
        <v>1160</v>
      </c>
      <c r="E65" s="1281"/>
      <c r="F65" s="1281"/>
      <c r="I65" s="524" t="s">
        <v>2074</v>
      </c>
    </row>
    <row r="66" spans="1:9">
      <c r="D66" s="1281"/>
      <c r="E66" s="1281"/>
      <c r="F66" s="1281"/>
      <c r="I66" s="524"/>
    </row>
    <row r="67" spans="1:9">
      <c r="I67" s="524"/>
    </row>
    <row r="68" spans="1:9" ht="14.25">
      <c r="A68" s="518"/>
      <c r="B68" s="519" t="s">
        <v>2781</v>
      </c>
      <c r="D68" s="1281" t="s">
        <v>1161</v>
      </c>
      <c r="E68" s="1281"/>
      <c r="F68" s="1281"/>
      <c r="I68" s="524"/>
    </row>
    <row r="69" spans="1:9">
      <c r="D69" s="1281"/>
      <c r="E69" s="1281"/>
      <c r="F69" s="1281"/>
      <c r="I69" s="524" t="s">
        <v>2075</v>
      </c>
    </row>
    <row r="70" spans="1:9">
      <c r="D70" s="1281"/>
      <c r="E70" s="1281"/>
      <c r="F70" s="1281"/>
      <c r="I70" s="524"/>
    </row>
    <row r="71" spans="1:9">
      <c r="I71" s="524"/>
    </row>
    <row r="72" spans="1:9" ht="14.25">
      <c r="A72" s="518"/>
      <c r="B72" s="519" t="s">
        <v>2781</v>
      </c>
      <c r="D72" s="1281" t="s">
        <v>1162</v>
      </c>
      <c r="E72" s="1281"/>
      <c r="F72" s="1281"/>
      <c r="I72" s="524" t="s">
        <v>2075</v>
      </c>
    </row>
    <row r="73" spans="1:9">
      <c r="D73" s="1281"/>
      <c r="E73" s="1281"/>
      <c r="F73" s="1281"/>
      <c r="I73" s="524"/>
    </row>
    <row r="74" spans="1:9" ht="14.25">
      <c r="A74" s="518"/>
      <c r="B74" s="518"/>
      <c r="D74" s="480"/>
      <c r="I74" s="524"/>
    </row>
    <row r="75" spans="1:9">
      <c r="A75" s="1287" t="s">
        <v>1069</v>
      </c>
      <c r="B75" s="1287"/>
      <c r="C75" s="1287"/>
      <c r="D75" s="1287"/>
      <c r="E75" s="1287"/>
      <c r="F75" s="1287"/>
      <c r="G75" s="1287"/>
      <c r="H75" s="1063"/>
      <c r="I75" s="1259"/>
    </row>
    <row r="76" spans="1:9">
      <c r="I76" s="524"/>
    </row>
    <row r="77" spans="1:9">
      <c r="C77" s="520"/>
      <c r="D77" s="1309" t="s">
        <v>1167</v>
      </c>
      <c r="E77" s="1309"/>
      <c r="F77" s="1309"/>
      <c r="I77" s="524"/>
    </row>
    <row r="78" spans="1:9">
      <c r="A78" s="480"/>
      <c r="B78" s="480"/>
      <c r="D78" s="1281" t="s">
        <v>1194</v>
      </c>
      <c r="E78" s="1281"/>
      <c r="F78" s="1281"/>
      <c r="I78" s="524"/>
    </row>
    <row r="79" spans="1:9">
      <c r="A79" s="480"/>
      <c r="B79" s="480"/>
      <c r="I79" s="524"/>
    </row>
    <row r="80" spans="1:9" ht="13.7" customHeight="1">
      <c r="A80" s="518"/>
      <c r="B80" s="519" t="s">
        <v>2780</v>
      </c>
      <c r="D80" s="1281" t="s">
        <v>1351</v>
      </c>
      <c r="E80" s="1281"/>
      <c r="F80" s="1281"/>
      <c r="I80" s="524" t="s">
        <v>2076</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2780</v>
      </c>
      <c r="D89" s="1281" t="s">
        <v>1930</v>
      </c>
      <c r="E89" s="1281"/>
      <c r="F89" s="1281"/>
      <c r="I89" s="524" t="s">
        <v>2077</v>
      </c>
    </row>
    <row r="90" spans="1:9" ht="14.25">
      <c r="A90" s="518"/>
      <c r="B90" s="518"/>
      <c r="D90" s="1281"/>
      <c r="E90" s="1281"/>
      <c r="F90" s="1281"/>
      <c r="I90" s="524"/>
    </row>
    <row r="91" spans="1:9" ht="14.25">
      <c r="A91" s="518"/>
      <c r="B91" s="518"/>
      <c r="D91" s="479"/>
      <c r="E91" s="479"/>
      <c r="F91" s="479"/>
      <c r="I91" s="524"/>
    </row>
    <row r="92" spans="1:9" ht="14.25">
      <c r="A92" s="518"/>
      <c r="B92" s="519" t="s">
        <v>2780</v>
      </c>
      <c r="D92" s="1281" t="s">
        <v>1933</v>
      </c>
      <c r="E92" s="1281"/>
      <c r="F92" s="1281"/>
      <c r="I92" s="524" t="s">
        <v>2078</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2780</v>
      </c>
      <c r="D96" s="1281" t="s">
        <v>1932</v>
      </c>
      <c r="E96" s="1281"/>
      <c r="F96" s="1281"/>
      <c r="I96" s="524" t="s">
        <v>2123</v>
      </c>
    </row>
    <row r="97" spans="1:9" s="1022" customFormat="1" ht="14.25">
      <c r="A97" s="1020"/>
      <c r="B97" s="1020"/>
      <c r="C97" s="1021"/>
      <c r="D97" s="1281"/>
      <c r="E97" s="1281"/>
      <c r="F97" s="1281"/>
      <c r="I97" s="1260"/>
    </row>
    <row r="98" spans="1:9" ht="14.25">
      <c r="A98" s="518"/>
      <c r="B98" s="518"/>
      <c r="D98" s="423"/>
      <c r="E98" s="336" t="s">
        <v>2222</v>
      </c>
      <c r="F98" s="479"/>
      <c r="I98" s="524"/>
    </row>
    <row r="99" spans="1:9" ht="14.25">
      <c r="A99" s="518"/>
      <c r="B99" s="518"/>
      <c r="D99" s="416"/>
      <c r="E99" s="416"/>
      <c r="F99" s="416"/>
      <c r="I99" s="524"/>
    </row>
    <row r="100" spans="1:9" ht="14.25">
      <c r="A100" s="518"/>
      <c r="B100" s="519" t="s">
        <v>2781</v>
      </c>
      <c r="D100" s="1281" t="s">
        <v>1931</v>
      </c>
      <c r="E100" s="1281"/>
      <c r="F100" s="1281"/>
      <c r="I100" s="524" t="s">
        <v>2079</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2781</v>
      </c>
      <c r="D103" s="1281" t="s">
        <v>1298</v>
      </c>
      <c r="E103" s="1281"/>
      <c r="F103" s="1281"/>
      <c r="I103" s="524" t="s">
        <v>2080</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2781</v>
      </c>
      <c r="D119" s="1308" t="s">
        <v>1169</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2780</v>
      </c>
      <c r="C128" s="433"/>
      <c r="D128" s="1308" t="s">
        <v>2362</v>
      </c>
      <c r="E128" s="1308"/>
      <c r="F128" s="1308"/>
      <c r="I128" s="524" t="s">
        <v>2081</v>
      </c>
    </row>
    <row r="129" spans="1:9" ht="14.25">
      <c r="A129" s="518"/>
      <c r="B129" s="518"/>
      <c r="C129" s="433"/>
      <c r="D129" s="1308"/>
      <c r="E129" s="1308"/>
      <c r="F129" s="1308"/>
      <c r="I129" s="524"/>
    </row>
    <row r="130" spans="1:9">
      <c r="I130" s="524"/>
    </row>
    <row r="131" spans="1:9" ht="14.25">
      <c r="A131" s="518"/>
      <c r="B131" s="519" t="s">
        <v>2780</v>
      </c>
      <c r="D131" s="1281" t="s">
        <v>1172</v>
      </c>
      <c r="E131" s="1281"/>
      <c r="F131" s="1281"/>
      <c r="I131" s="524" t="s">
        <v>2081</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2780</v>
      </c>
      <c r="D137" s="1281" t="s">
        <v>1173</v>
      </c>
      <c r="E137" s="1281"/>
      <c r="F137" s="1281"/>
      <c r="I137" s="524" t="s">
        <v>2082</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2781</v>
      </c>
      <c r="D151" s="1281" t="s">
        <v>1281</v>
      </c>
      <c r="E151" s="1281"/>
      <c r="F151" s="1281"/>
      <c r="I151" s="524" t="s">
        <v>2083</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2386</v>
      </c>
      <c r="E169" s="1339"/>
      <c r="F169" s="1339"/>
      <c r="G169" s="541"/>
      <c r="I169" s="524"/>
    </row>
    <row r="170" spans="1:9" ht="13.7" customHeight="1">
      <c r="D170" s="1314"/>
      <c r="E170" s="1314"/>
      <c r="F170" s="1314"/>
      <c r="G170" s="1314"/>
      <c r="I170" s="524"/>
    </row>
    <row r="171" spans="1:9" ht="14.45" customHeight="1">
      <c r="A171" s="523"/>
      <c r="B171" s="519" t="s">
        <v>2781</v>
      </c>
      <c r="C171" s="510"/>
      <c r="D171" s="1269" t="s">
        <v>2576</v>
      </c>
      <c r="E171" s="1269"/>
      <c r="F171" s="1269"/>
      <c r="G171" s="510"/>
      <c r="I171" s="524" t="s">
        <v>2078</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2781</v>
      </c>
      <c r="C177" s="510"/>
      <c r="D177" s="1269" t="s">
        <v>1175</v>
      </c>
      <c r="E177" s="1269"/>
      <c r="F177" s="1269"/>
      <c r="G177" s="510"/>
      <c r="I177" s="524" t="s">
        <v>2084</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2781</v>
      </c>
      <c r="D182" s="1303" t="s">
        <v>2363</v>
      </c>
      <c r="E182" s="1303"/>
      <c r="F182" s="1303"/>
      <c r="I182" s="524" t="s">
        <v>2085</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2364</v>
      </c>
      <c r="B186" s="1287"/>
      <c r="C186" s="1287"/>
      <c r="D186" s="1287"/>
      <c r="E186" s="1287"/>
      <c r="F186" s="1287"/>
      <c r="G186" s="1287"/>
      <c r="H186" s="1063"/>
      <c r="I186" s="1259"/>
    </row>
    <row r="187" spans="1:9" ht="12" customHeight="1">
      <c r="D187" s="480"/>
      <c r="E187" s="480"/>
      <c r="F187" s="480"/>
      <c r="I187" s="524"/>
    </row>
    <row r="188" spans="1:9">
      <c r="B188" s="1296" t="s">
        <v>447</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7" t="s">
        <v>1071</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1934</v>
      </c>
      <c r="E193" s="1309"/>
      <c r="F193" s="1309"/>
      <c r="I193" s="524"/>
    </row>
    <row r="194" spans="1:9">
      <c r="A194" s="435"/>
      <c r="B194" s="435"/>
      <c r="D194" s="1309"/>
      <c r="E194" s="1309"/>
      <c r="F194" s="1309"/>
      <c r="I194" s="524"/>
    </row>
    <row r="195" spans="1:9">
      <c r="A195" s="435"/>
      <c r="B195" s="435"/>
      <c r="D195" s="1296" t="s">
        <v>1299</v>
      </c>
      <c r="E195" s="1296"/>
      <c r="F195" s="1296"/>
      <c r="I195" s="524"/>
    </row>
    <row r="196" spans="1:9">
      <c r="A196" s="435"/>
      <c r="B196" s="435"/>
      <c r="D196" s="423"/>
      <c r="E196" s="423"/>
      <c r="F196" s="423"/>
      <c r="I196" s="524"/>
    </row>
    <row r="197" spans="1:9">
      <c r="A197" s="435"/>
      <c r="B197" s="519" t="s">
        <v>2780</v>
      </c>
      <c r="D197" s="1286" t="s">
        <v>1935</v>
      </c>
      <c r="E197" s="1286"/>
      <c r="F197" s="1286"/>
      <c r="I197" s="524" t="s">
        <v>2134</v>
      </c>
    </row>
    <row r="198" spans="1:9">
      <c r="A198" s="435"/>
      <c r="B198" s="435"/>
      <c r="D198" s="1290" t="s">
        <v>2200</v>
      </c>
      <c r="E198" s="1290"/>
      <c r="F198" s="1290"/>
      <c r="I198" s="524"/>
    </row>
    <row r="199" spans="1:9">
      <c r="A199" s="435"/>
      <c r="B199" s="435"/>
      <c r="D199" s="96" t="s">
        <v>1936</v>
      </c>
      <c r="E199" s="1338" t="s">
        <v>2223</v>
      </c>
      <c r="F199" s="1338"/>
      <c r="I199" s="524"/>
    </row>
    <row r="200" spans="1:9">
      <c r="A200" s="435"/>
      <c r="B200" s="435"/>
      <c r="D200" s="3"/>
      <c r="E200" s="3"/>
      <c r="F200" s="3"/>
      <c r="I200" s="524"/>
    </row>
    <row r="201" spans="1:9">
      <c r="A201" s="435"/>
      <c r="B201" s="519" t="s">
        <v>2781</v>
      </c>
      <c r="D201" s="1290" t="s">
        <v>1937</v>
      </c>
      <c r="E201" s="1290"/>
      <c r="F201" s="1290"/>
      <c r="I201" s="524" t="s">
        <v>2135</v>
      </c>
    </row>
    <row r="202" spans="1:9">
      <c r="A202" s="435"/>
      <c r="B202" s="435"/>
      <c r="D202" s="1286" t="s">
        <v>2200</v>
      </c>
      <c r="E202" s="1286"/>
      <c r="F202" s="1286"/>
      <c r="I202" s="524"/>
    </row>
    <row r="203" spans="1:9">
      <c r="A203" s="435"/>
      <c r="B203" s="435"/>
      <c r="D203" s="57" t="s">
        <v>1938</v>
      </c>
      <c r="E203" s="1338" t="s">
        <v>2224</v>
      </c>
      <c r="F203" s="1338"/>
      <c r="I203" s="524"/>
    </row>
    <row r="204" spans="1:9">
      <c r="A204" s="435"/>
      <c r="B204" s="435"/>
      <c r="D204" s="3"/>
      <c r="E204" s="3"/>
      <c r="F204" s="3"/>
      <c r="I204" s="524"/>
    </row>
    <row r="205" spans="1:9">
      <c r="A205" s="435"/>
      <c r="B205" s="519" t="s">
        <v>2781</v>
      </c>
      <c r="D205" s="1290" t="s">
        <v>1939</v>
      </c>
      <c r="E205" s="1290"/>
      <c r="F205" s="1290"/>
      <c r="I205" s="524" t="s">
        <v>2136</v>
      </c>
    </row>
    <row r="206" spans="1:9">
      <c r="A206" s="435"/>
      <c r="B206" s="435"/>
      <c r="D206" s="1286" t="s">
        <v>2200</v>
      </c>
      <c r="E206" s="1286"/>
      <c r="F206" s="1286"/>
      <c r="I206" s="524"/>
    </row>
    <row r="207" spans="1:9">
      <c r="A207" s="435"/>
      <c r="B207" s="435"/>
      <c r="D207" s="57" t="s">
        <v>1936</v>
      </c>
      <c r="E207" s="1338" t="s">
        <v>2225</v>
      </c>
      <c r="F207" s="1338"/>
      <c r="I207" s="524"/>
    </row>
    <row r="208" spans="1:9">
      <c r="A208" s="435"/>
      <c r="B208" s="435"/>
      <c r="D208" s="423"/>
      <c r="E208" s="423"/>
      <c r="F208" s="423"/>
      <c r="I208" s="524"/>
    </row>
    <row r="209" spans="1:9" ht="14.25" customHeight="1">
      <c r="A209" s="518"/>
      <c r="B209" s="519" t="s">
        <v>2781</v>
      </c>
      <c r="D209" s="417" t="s">
        <v>2193</v>
      </c>
      <c r="E209" s="416"/>
      <c r="F209" s="416"/>
      <c r="I209" s="524" t="s">
        <v>2137</v>
      </c>
    </row>
    <row r="210" spans="1:9" ht="14.25">
      <c r="A210" s="518"/>
      <c r="B210" s="518"/>
      <c r="D210" s="1286" t="s">
        <v>2200</v>
      </c>
      <c r="E210" s="1286"/>
      <c r="F210" s="1286"/>
      <c r="I210" s="524"/>
    </row>
    <row r="211" spans="1:9">
      <c r="D211" s="416"/>
      <c r="E211" s="1338" t="s">
        <v>2226</v>
      </c>
      <c r="F211" s="1338"/>
      <c r="I211" s="524"/>
    </row>
    <row r="212" spans="1:9">
      <c r="D212" s="481"/>
      <c r="I212" s="524"/>
    </row>
    <row r="213" spans="1:9">
      <c r="B213" s="519" t="s">
        <v>2781</v>
      </c>
      <c r="D213" s="1290" t="s">
        <v>1940</v>
      </c>
      <c r="E213" s="1290"/>
      <c r="F213" s="1290"/>
      <c r="I213" s="524" t="s">
        <v>2138</v>
      </c>
    </row>
    <row r="214" spans="1:9">
      <c r="D214" s="1286" t="s">
        <v>2200</v>
      </c>
      <c r="E214" s="1286"/>
      <c r="F214" s="1286"/>
      <c r="I214" s="524"/>
    </row>
    <row r="215" spans="1:9">
      <c r="D215" s="57" t="s">
        <v>1936</v>
      </c>
      <c r="E215" s="1338" t="s">
        <v>2227</v>
      </c>
      <c r="F215" s="1338"/>
      <c r="I215" s="524"/>
    </row>
    <row r="216" spans="1:9">
      <c r="D216" s="485"/>
      <c r="E216" s="485"/>
      <c r="F216" s="485"/>
      <c r="I216" s="524"/>
    </row>
    <row r="217" spans="1:9" ht="14.25">
      <c r="A217" s="518"/>
      <c r="B217" s="519" t="s">
        <v>2781</v>
      </c>
      <c r="D217" s="1281" t="s">
        <v>1320</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1072</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1201</v>
      </c>
      <c r="E225" s="1310"/>
      <c r="F225" s="1310"/>
      <c r="I225" s="524"/>
    </row>
    <row r="226" spans="1:9" ht="12" customHeight="1">
      <c r="A226" s="524"/>
      <c r="B226" s="524"/>
      <c r="C226" s="524"/>
      <c r="I226" s="524"/>
    </row>
    <row r="227" spans="1:9" ht="13.7" customHeight="1">
      <c r="A227" s="524"/>
      <c r="C227" s="524"/>
      <c r="D227" s="1279" t="s">
        <v>553</v>
      </c>
      <c r="E227" s="1279"/>
      <c r="F227" s="1279"/>
      <c r="I227" s="524" t="s">
        <v>2086</v>
      </c>
    </row>
    <row r="228" spans="1:9" ht="14.25">
      <c r="A228" s="518"/>
      <c r="B228" s="519" t="s">
        <v>2780</v>
      </c>
      <c r="D228" s="1281" t="s">
        <v>1941</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2780</v>
      </c>
      <c r="D233" s="1281" t="s">
        <v>1942</v>
      </c>
      <c r="E233" s="1281"/>
      <c r="F233" s="1281"/>
      <c r="I233" s="524" t="s">
        <v>2087</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1197</v>
      </c>
      <c r="E239" s="1281"/>
      <c r="F239" s="1281"/>
      <c r="I239" s="524" t="s">
        <v>2086</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2780</v>
      </c>
      <c r="D245" s="1281" t="s">
        <v>2365</v>
      </c>
      <c r="E245" s="1281"/>
      <c r="F245" s="1281"/>
      <c r="I245" s="524" t="s">
        <v>2125</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2781</v>
      </c>
      <c r="D250" s="1281" t="s">
        <v>2366</v>
      </c>
      <c r="E250" s="1281"/>
      <c r="F250" s="1281"/>
      <c r="I250" s="524" t="s">
        <v>2143</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2780</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2780</v>
      </c>
      <c r="D259" s="1281" t="s">
        <v>1199</v>
      </c>
      <c r="E259" s="1281"/>
      <c r="F259" s="1281"/>
      <c r="I259" s="524"/>
    </row>
    <row r="260" spans="1:9" ht="14.25">
      <c r="A260" s="518"/>
      <c r="B260" s="518"/>
      <c r="D260" s="1281"/>
      <c r="E260" s="1281"/>
      <c r="F260" s="1281"/>
      <c r="I260" s="524"/>
    </row>
    <row r="261" spans="1:9">
      <c r="D261" s="525"/>
      <c r="I261" s="524"/>
    </row>
    <row r="262" spans="1:9">
      <c r="A262" s="1287" t="s">
        <v>1073</v>
      </c>
      <c r="B262" s="1287"/>
      <c r="C262" s="1287"/>
      <c r="D262" s="1287"/>
      <c r="E262" s="1287"/>
      <c r="F262" s="1287"/>
      <c r="G262" s="1287"/>
      <c r="H262" s="1063"/>
      <c r="I262" s="1259"/>
    </row>
    <row r="263" spans="1:9">
      <c r="D263" s="525"/>
      <c r="I263" s="524"/>
    </row>
    <row r="264" spans="1:9">
      <c r="C264" s="520"/>
      <c r="D264" s="1279" t="s">
        <v>1202</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2126</v>
      </c>
    </row>
    <row r="267" spans="1:9" ht="14.45" customHeight="1">
      <c r="A267" s="518"/>
      <c r="B267" s="519" t="s">
        <v>2780</v>
      </c>
      <c r="D267" s="1281" t="s">
        <v>1300</v>
      </c>
      <c r="E267" s="1281"/>
      <c r="F267" s="1281"/>
      <c r="I267" s="524"/>
    </row>
    <row r="268" spans="1:9">
      <c r="D268" s="1281"/>
      <c r="E268" s="1281"/>
      <c r="F268" s="1281"/>
      <c r="I268" s="524"/>
    </row>
    <row r="269" spans="1:9">
      <c r="E269" s="1071" t="s">
        <v>2196</v>
      </c>
      <c r="I269" s="524"/>
    </row>
    <row r="270" spans="1:9">
      <c r="D270" s="480"/>
      <c r="E270" s="480"/>
      <c r="F270" s="480"/>
      <c r="I270" s="524"/>
    </row>
    <row r="271" spans="1:9" ht="14.45" customHeight="1">
      <c r="A271" s="518"/>
      <c r="B271" s="519" t="s">
        <v>2781</v>
      </c>
      <c r="D271" s="1281" t="s">
        <v>2368</v>
      </c>
      <c r="E271" s="1281"/>
      <c r="F271" s="1281"/>
      <c r="I271" s="524" t="s">
        <v>2144</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2781</v>
      </c>
      <c r="D278" s="1281" t="s">
        <v>1205</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1074</v>
      </c>
      <c r="B282" s="1287"/>
      <c r="C282" s="1287"/>
      <c r="D282" s="1287"/>
      <c r="E282" s="1287"/>
      <c r="F282" s="1287"/>
      <c r="G282" s="1287"/>
      <c r="H282" s="1063"/>
      <c r="I282" s="1259"/>
    </row>
    <row r="283" spans="1:9">
      <c r="D283" s="526"/>
      <c r="E283" s="480"/>
      <c r="F283" s="480"/>
      <c r="I283" s="524"/>
    </row>
    <row r="284" spans="1:9">
      <c r="C284" s="516"/>
      <c r="D284" s="1309" t="s">
        <v>1207</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1208</v>
      </c>
      <c r="E288" s="1334"/>
      <c r="F288" s="1334"/>
      <c r="I288" s="524"/>
    </row>
    <row r="289" spans="1:9">
      <c r="E289" s="480"/>
      <c r="F289" s="480"/>
      <c r="I289" s="524"/>
    </row>
    <row r="290" spans="1:9" ht="14.25">
      <c r="A290" s="518"/>
      <c r="B290" s="519" t="s">
        <v>2781</v>
      </c>
      <c r="D290" s="1281" t="s">
        <v>1209</v>
      </c>
      <c r="E290" s="1281"/>
      <c r="F290" s="1281"/>
      <c r="I290" s="524" t="s">
        <v>2088</v>
      </c>
    </row>
    <row r="291" spans="1:9" ht="14.25">
      <c r="A291" s="518"/>
      <c r="B291" s="518"/>
      <c r="D291" s="1281"/>
      <c r="E291" s="1281"/>
      <c r="F291" s="1281"/>
      <c r="I291" s="524"/>
    </row>
    <row r="292" spans="1:9">
      <c r="D292" s="480"/>
      <c r="E292" s="480"/>
      <c r="F292" s="480"/>
      <c r="I292" s="524"/>
    </row>
    <row r="293" spans="1:9" ht="14.25">
      <c r="A293" s="518"/>
      <c r="B293" s="519" t="s">
        <v>2781</v>
      </c>
      <c r="D293" s="1281" t="s">
        <v>1210</v>
      </c>
      <c r="E293" s="1281"/>
      <c r="F293" s="1281"/>
      <c r="I293" s="524" t="s">
        <v>2088</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2781</v>
      </c>
      <c r="D297" s="1281" t="s">
        <v>1211</v>
      </c>
      <c r="E297" s="1281"/>
      <c r="F297" s="1281"/>
      <c r="I297" s="524" t="s">
        <v>2088</v>
      </c>
    </row>
    <row r="298" spans="1:9" ht="14.25">
      <c r="A298" s="518"/>
      <c r="B298" s="518"/>
      <c r="D298" s="1281"/>
      <c r="E298" s="1281"/>
      <c r="F298" s="1281"/>
      <c r="I298" s="524"/>
    </row>
    <row r="299" spans="1:9">
      <c r="A299" s="524"/>
      <c r="B299" s="524"/>
      <c r="E299" s="480"/>
      <c r="F299" s="480"/>
      <c r="I299" s="524"/>
    </row>
    <row r="300" spans="1:9">
      <c r="A300" s="1287" t="s">
        <v>1075</v>
      </c>
      <c r="B300" s="1287"/>
      <c r="C300" s="1287"/>
      <c r="D300" s="1287"/>
      <c r="E300" s="1287"/>
      <c r="F300" s="1287"/>
      <c r="G300" s="1287"/>
      <c r="H300" s="1063"/>
      <c r="I300" s="1259"/>
    </row>
    <row r="301" spans="1:9">
      <c r="A301" s="524"/>
      <c r="B301" s="524"/>
      <c r="D301" s="480"/>
      <c r="E301" s="480"/>
      <c r="F301" s="480"/>
      <c r="I301" s="524"/>
    </row>
    <row r="302" spans="1:9">
      <c r="C302" s="524"/>
      <c r="D302" s="1279" t="s">
        <v>689</v>
      </c>
      <c r="E302" s="1279"/>
      <c r="F302" s="1279"/>
      <c r="I302" s="524"/>
    </row>
    <row r="303" spans="1:9">
      <c r="C303" s="524"/>
      <c r="D303" s="1310" t="s">
        <v>1212</v>
      </c>
      <c r="E303" s="1310"/>
      <c r="F303" s="1310"/>
      <c r="I303" s="524"/>
    </row>
    <row r="304" spans="1:9">
      <c r="C304" s="524"/>
      <c r="D304" s="527"/>
      <c r="I304" s="524"/>
    </row>
    <row r="305" spans="1:9">
      <c r="B305" s="519" t="s">
        <v>2781</v>
      </c>
      <c r="D305" s="1310" t="s">
        <v>1213</v>
      </c>
      <c r="E305" s="1310"/>
      <c r="F305" s="1310"/>
      <c r="I305" s="524" t="s">
        <v>2089</v>
      </c>
    </row>
    <row r="306" spans="1:9" ht="14.25">
      <c r="A306" s="518"/>
      <c r="B306" s="518"/>
      <c r="D306" s="528"/>
      <c r="E306" s="529"/>
      <c r="F306" s="529"/>
      <c r="I306" s="524"/>
    </row>
    <row r="307" spans="1:9" ht="13.7" customHeight="1">
      <c r="B307" s="519" t="s">
        <v>2781</v>
      </c>
      <c r="D307" s="1331" t="s">
        <v>1323</v>
      </c>
      <c r="E307" s="1331"/>
      <c r="F307" s="1331"/>
      <c r="I307" s="524" t="s">
        <v>2089</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2781</v>
      </c>
      <c r="D313" s="1331" t="s">
        <v>1215</v>
      </c>
      <c r="E313" s="1331"/>
      <c r="F313" s="1331"/>
      <c r="I313" s="524" t="s">
        <v>2089</v>
      </c>
    </row>
    <row r="314" spans="1:9">
      <c r="D314" s="1331"/>
      <c r="E314" s="1331"/>
      <c r="F314" s="1331"/>
      <c r="I314" s="524"/>
    </row>
    <row r="315" spans="1:9" ht="14.25">
      <c r="A315" s="518"/>
      <c r="B315" s="518"/>
      <c r="D315" s="528"/>
      <c r="E315" s="529"/>
      <c r="F315" s="529"/>
      <c r="I315" s="524"/>
    </row>
    <row r="316" spans="1:9">
      <c r="B316" s="519" t="s">
        <v>2781</v>
      </c>
      <c r="D316" s="1310" t="s">
        <v>1216</v>
      </c>
      <c r="E316" s="1310"/>
      <c r="F316" s="1310"/>
      <c r="I316" s="524" t="s">
        <v>2075</v>
      </c>
    </row>
    <row r="317" spans="1:9">
      <c r="E317" s="480"/>
      <c r="F317" s="480"/>
      <c r="I317" s="524"/>
    </row>
    <row r="318" spans="1:9" ht="14.25">
      <c r="A318" s="518"/>
      <c r="B318" s="519" t="s">
        <v>2781</v>
      </c>
      <c r="D318" s="1281" t="s">
        <v>2387</v>
      </c>
      <c r="E318" s="1281"/>
      <c r="F318" s="1281"/>
      <c r="I318" s="524" t="s">
        <v>2090</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2781</v>
      </c>
      <c r="D334" s="1281" t="s">
        <v>1218</v>
      </c>
      <c r="E334" s="1281"/>
      <c r="F334" s="1281"/>
      <c r="I334" s="524" t="s">
        <v>2090</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2781</v>
      </c>
      <c r="D344" s="1281" t="s">
        <v>2201</v>
      </c>
      <c r="E344" s="1281"/>
      <c r="F344" s="1281"/>
      <c r="I344" s="524" t="s">
        <v>2127</v>
      </c>
    </row>
    <row r="345" spans="1:9">
      <c r="D345" s="1281"/>
      <c r="E345" s="1281"/>
      <c r="F345" s="1281"/>
      <c r="I345" s="524"/>
    </row>
    <row r="346" spans="1:9">
      <c r="D346" s="1281"/>
      <c r="E346" s="1281"/>
      <c r="F346" s="1281"/>
      <c r="I346" s="524"/>
    </row>
    <row r="347" spans="1:9">
      <c r="D347" s="1281"/>
      <c r="E347" s="1281"/>
      <c r="F347" s="1281"/>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6" t="s">
        <v>996</v>
      </c>
      <c r="E351" s="1336"/>
      <c r="F351" s="1336"/>
      <c r="G351" s="1062"/>
      <c r="H351" s="1062"/>
      <c r="I351" s="1262"/>
    </row>
    <row r="352" spans="1:9" ht="13.5" thickTop="1">
      <c r="D352" s="1332" t="s">
        <v>1220</v>
      </c>
      <c r="E352" s="1332"/>
      <c r="F352" s="1332"/>
      <c r="I352" s="524"/>
    </row>
    <row r="353" spans="1:9">
      <c r="D353" s="480"/>
      <c r="E353" s="480"/>
      <c r="F353" s="480"/>
      <c r="I353" s="524"/>
    </row>
    <row r="354" spans="1:9">
      <c r="A354" s="510"/>
      <c r="B354" s="510"/>
      <c r="C354" s="510"/>
      <c r="D354" s="481"/>
      <c r="E354" s="481"/>
      <c r="F354" s="480"/>
      <c r="I354" s="524" t="s">
        <v>2091</v>
      </c>
    </row>
    <row r="355" spans="1:9" ht="14.25">
      <c r="A355" s="518"/>
      <c r="B355" s="519" t="s">
        <v>2781</v>
      </c>
      <c r="C355" s="521"/>
      <c r="D355" s="1310" t="s">
        <v>2199</v>
      </c>
      <c r="E355" s="1310"/>
      <c r="F355" s="1310"/>
      <c r="I355" s="1328" t="s">
        <v>2141</v>
      </c>
    </row>
    <row r="356" spans="1:9" ht="12.75" customHeight="1">
      <c r="D356" s="1072"/>
      <c r="E356" s="96" t="s">
        <v>2198</v>
      </c>
      <c r="F356" s="1072"/>
      <c r="I356" s="1329"/>
    </row>
    <row r="357" spans="1:9">
      <c r="D357" s="1281" t="s">
        <v>1344</v>
      </c>
      <c r="E357" s="1281"/>
      <c r="F357" s="1281"/>
      <c r="I357" s="1329"/>
    </row>
    <row r="358" spans="1:9">
      <c r="D358" s="1281"/>
      <c r="E358" s="1281"/>
      <c r="F358" s="1281"/>
      <c r="I358" s="1329"/>
    </row>
    <row r="359" spans="1:9">
      <c r="D359" s="1281"/>
      <c r="E359" s="1281"/>
      <c r="F359" s="1281"/>
      <c r="I359" s="1330"/>
    </row>
    <row r="360" spans="1:9" ht="14.25">
      <c r="A360" s="518"/>
      <c r="B360" s="519" t="s">
        <v>2781</v>
      </c>
      <c r="C360" s="510"/>
      <c r="D360" s="1314" t="s">
        <v>2369</v>
      </c>
      <c r="E360" s="1314"/>
      <c r="F360" s="1314"/>
      <c r="I360" s="514"/>
    </row>
    <row r="361" spans="1:9">
      <c r="A361" s="510"/>
      <c r="B361" s="510"/>
      <c r="C361" s="510"/>
      <c r="D361" s="481"/>
      <c r="E361" s="481"/>
      <c r="F361" s="480"/>
      <c r="I361" s="524"/>
    </row>
    <row r="362" spans="1:9">
      <c r="A362" s="510"/>
      <c r="B362" s="519" t="s">
        <v>2781</v>
      </c>
      <c r="C362" s="510"/>
      <c r="D362" s="1269" t="s">
        <v>2370</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2781</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2781</v>
      </c>
      <c r="C387" s="510"/>
      <c r="D387" s="1269" t="s">
        <v>1223</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1224</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1225</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2781</v>
      </c>
      <c r="C420" s="510"/>
      <c r="D420" s="1269" t="s">
        <v>1226</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2781</v>
      </c>
      <c r="D423" s="1269" t="s">
        <v>2128</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2781</v>
      </c>
      <c r="C429" s="510"/>
      <c r="D429" s="1269" t="s">
        <v>1345</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2388</v>
      </c>
      <c r="E433" s="1269"/>
      <c r="F433" s="1269"/>
      <c r="I433" s="524"/>
    </row>
    <row r="434" spans="1:9">
      <c r="D434" s="480"/>
      <c r="E434" s="480"/>
      <c r="F434" s="480"/>
      <c r="I434" s="524"/>
    </row>
    <row r="435" spans="1:9" ht="14.25">
      <c r="A435" s="518"/>
      <c r="B435" s="519" t="s">
        <v>2781</v>
      </c>
      <c r="C435" s="521"/>
      <c r="D435" s="1281" t="s">
        <v>2371</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2781</v>
      </c>
      <c r="C467" s="521"/>
      <c r="D467" s="1281" t="s">
        <v>1231</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2781</v>
      </c>
      <c r="C471" s="518"/>
      <c r="D471" s="1281" t="s">
        <v>1301</v>
      </c>
      <c r="E471" s="1281"/>
      <c r="F471" s="1281"/>
      <c r="I471" s="524"/>
    </row>
    <row r="472" spans="1:9">
      <c r="D472" s="1281"/>
      <c r="E472" s="1281"/>
      <c r="F472" s="1281"/>
      <c r="I472" s="524"/>
    </row>
    <row r="473" spans="1:9">
      <c r="D473" s="480"/>
      <c r="E473" s="480"/>
      <c r="F473" s="480"/>
      <c r="I473" s="524"/>
    </row>
    <row r="474" spans="1:9" ht="14.25">
      <c r="B474" s="519" t="s">
        <v>2781</v>
      </c>
      <c r="C474" s="518"/>
      <c r="D474" s="1281" t="s">
        <v>1233</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2781</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2781</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2781</v>
      </c>
      <c r="C486" s="433"/>
      <c r="D486" s="1281"/>
      <c r="E486" s="1281"/>
      <c r="F486" s="1281"/>
      <c r="I486" s="524"/>
    </row>
    <row r="487" spans="1:9">
      <c r="A487" s="433"/>
      <c r="C487" s="433"/>
      <c r="D487" s="1281"/>
      <c r="E487" s="1281"/>
      <c r="F487" s="1281"/>
      <c r="I487" s="524"/>
    </row>
    <row r="488" spans="1:9">
      <c r="A488" s="433"/>
      <c r="B488" s="519" t="s">
        <v>2781</v>
      </c>
      <c r="C488" s="433"/>
      <c r="D488" s="1281" t="s">
        <v>1234</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2781</v>
      </c>
      <c r="D494" s="1310" t="s">
        <v>1235</v>
      </c>
      <c r="E494" s="1310"/>
      <c r="F494" s="1310"/>
      <c r="I494" s="524"/>
    </row>
    <row r="495" spans="1:9">
      <c r="A495" s="480"/>
      <c r="B495" s="480"/>
      <c r="I495" s="524"/>
    </row>
    <row r="496" spans="1:9">
      <c r="A496" s="1287" t="s">
        <v>1076</v>
      </c>
      <c r="B496" s="1287"/>
      <c r="C496" s="1287"/>
      <c r="D496" s="1287"/>
      <c r="E496" s="1287"/>
      <c r="F496" s="1287"/>
      <c r="G496" s="1287"/>
      <c r="H496" s="1063"/>
      <c r="I496" s="1259"/>
    </row>
    <row r="497" spans="1:9">
      <c r="A497" s="480"/>
      <c r="B497" s="480"/>
      <c r="I497" s="524"/>
    </row>
    <row r="498" spans="1:9">
      <c r="D498" s="1317" t="s">
        <v>894</v>
      </c>
      <c r="E498" s="1317"/>
      <c r="F498" s="1317"/>
      <c r="I498" s="524"/>
    </row>
    <row r="499" spans="1:9" ht="14.25">
      <c r="A499" s="518"/>
      <c r="B499" s="518"/>
      <c r="D499" s="1314" t="s">
        <v>1236</v>
      </c>
      <c r="E499" s="1314"/>
      <c r="F499" s="1314"/>
      <c r="I499" s="524"/>
    </row>
    <row r="500" spans="1:9" ht="14.25">
      <c r="A500" s="518"/>
      <c r="B500" s="518"/>
      <c r="D500" s="481"/>
      <c r="I500" s="524"/>
    </row>
    <row r="501" spans="1:9" ht="14.25">
      <c r="A501" s="518"/>
      <c r="B501" s="519" t="s">
        <v>2781</v>
      </c>
      <c r="D501" s="1269" t="s">
        <v>1237</v>
      </c>
      <c r="E501" s="1269"/>
      <c r="F501" s="1269"/>
      <c r="I501" s="524" t="s">
        <v>2092</v>
      </c>
    </row>
    <row r="502" spans="1:9" ht="14.25">
      <c r="A502" s="518"/>
      <c r="B502" s="518"/>
      <c r="D502" s="1269"/>
      <c r="E502" s="1269"/>
      <c r="F502" s="1269"/>
      <c r="I502" s="524"/>
    </row>
    <row r="503" spans="1:9" ht="14.25">
      <c r="A503" s="518"/>
      <c r="B503" s="518"/>
      <c r="D503" s="480"/>
      <c r="I503" s="524"/>
    </row>
    <row r="504" spans="1:9" ht="12.75" customHeight="1">
      <c r="B504" s="519" t="s">
        <v>2781</v>
      </c>
      <c r="D504" s="1303" t="s">
        <v>1381</v>
      </c>
      <c r="E504" s="1303"/>
      <c r="F504" s="1303"/>
      <c r="I504" s="524" t="s">
        <v>2093</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2781</v>
      </c>
      <c r="D509" s="1310" t="s">
        <v>1240</v>
      </c>
      <c r="E509" s="1310"/>
      <c r="F509" s="1310"/>
      <c r="I509" s="524" t="s">
        <v>2094</v>
      </c>
    </row>
    <row r="510" spans="1:9" ht="14.25">
      <c r="A510" s="518"/>
      <c r="B510" s="518"/>
      <c r="D510" s="480"/>
      <c r="I510" s="524"/>
    </row>
    <row r="511" spans="1:9" ht="14.25">
      <c r="A511" s="518"/>
      <c r="B511" s="519" t="s">
        <v>2781</v>
      </c>
      <c r="D511" s="1281" t="s">
        <v>1241</v>
      </c>
      <c r="E511" s="1281"/>
      <c r="F511" s="1281"/>
      <c r="I511" s="524" t="s">
        <v>2094</v>
      </c>
    </row>
    <row r="512" spans="1:9" ht="14.25">
      <c r="A512" s="518"/>
      <c r="D512" s="1281"/>
      <c r="E512" s="1281"/>
      <c r="F512" s="1281"/>
      <c r="I512" s="524"/>
    </row>
    <row r="513" spans="1:9">
      <c r="A513" s="524"/>
      <c r="B513" s="524"/>
      <c r="D513" s="481"/>
      <c r="I513" s="524"/>
    </row>
    <row r="514" spans="1:9">
      <c r="A514" s="524"/>
      <c r="B514" s="519" t="s">
        <v>2781</v>
      </c>
      <c r="D514" s="1310" t="s">
        <v>1242</v>
      </c>
      <c r="E514" s="1310"/>
      <c r="F514" s="1310"/>
      <c r="I514" s="524" t="s">
        <v>2147</v>
      </c>
    </row>
    <row r="515" spans="1:9" ht="14.25">
      <c r="A515" s="518"/>
      <c r="B515" s="518"/>
      <c r="D515" s="480"/>
      <c r="I515" s="524"/>
    </row>
    <row r="516" spans="1:9">
      <c r="A516" s="1287" t="s">
        <v>1077</v>
      </c>
      <c r="B516" s="1287"/>
      <c r="C516" s="1287"/>
      <c r="D516" s="1287"/>
      <c r="E516" s="1287"/>
      <c r="F516" s="1287"/>
      <c r="G516" s="1287"/>
      <c r="H516" s="1063"/>
      <c r="I516" s="1259"/>
    </row>
    <row r="517" spans="1:9" ht="12" customHeight="1">
      <c r="A517" s="518"/>
      <c r="B517" s="518"/>
      <c r="D517" s="480"/>
      <c r="I517" s="524"/>
    </row>
    <row r="518" spans="1:9">
      <c r="C518" s="516"/>
      <c r="D518" s="1279" t="s">
        <v>801</v>
      </c>
      <c r="E518" s="1279"/>
      <c r="F518" s="1279"/>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2780</v>
      </c>
      <c r="C522" s="517"/>
      <c r="D522" s="1269" t="s">
        <v>2372</v>
      </c>
      <c r="E522" s="1269"/>
      <c r="F522" s="1269"/>
      <c r="I522" s="524" t="s">
        <v>2129</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2781</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2781</v>
      </c>
      <c r="C531" s="517"/>
      <c r="D531" s="1281" t="s">
        <v>2374</v>
      </c>
      <c r="E531" s="1281"/>
      <c r="F531" s="1281"/>
      <c r="I531" s="524" t="s">
        <v>2095</v>
      </c>
    </row>
    <row r="532" spans="1:9">
      <c r="A532" s="517"/>
      <c r="B532" s="517"/>
      <c r="C532" s="517"/>
      <c r="D532" s="1281"/>
      <c r="E532" s="1281"/>
      <c r="F532" s="1281"/>
      <c r="I532" s="524"/>
    </row>
    <row r="533" spans="1:9" ht="12" customHeight="1">
      <c r="A533" s="480"/>
      <c r="B533" s="480"/>
      <c r="C533" s="521"/>
      <c r="D533" s="480"/>
      <c r="F533" s="482"/>
      <c r="I533" s="524"/>
    </row>
    <row r="534" spans="1:9">
      <c r="A534" s="1287" t="s">
        <v>1078</v>
      </c>
      <c r="B534" s="1287"/>
      <c r="C534" s="1287"/>
      <c r="D534" s="1287"/>
      <c r="E534" s="1287"/>
      <c r="F534" s="1287"/>
      <c r="G534" s="1287"/>
      <c r="H534" s="1063"/>
      <c r="I534" s="1259"/>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1079</v>
      </c>
      <c r="B538" s="1288"/>
      <c r="C538" s="1288"/>
      <c r="D538" s="1288"/>
      <c r="E538" s="1288"/>
      <c r="F538" s="1288"/>
      <c r="G538" s="1288"/>
      <c r="H538" s="1063"/>
      <c r="I538" s="1259"/>
    </row>
    <row r="539" spans="1:9">
      <c r="A539" s="480"/>
      <c r="B539" s="480"/>
      <c r="C539" s="521"/>
      <c r="D539" s="480"/>
      <c r="F539" s="480"/>
      <c r="I539" s="524"/>
    </row>
    <row r="540" spans="1:9">
      <c r="C540" s="521"/>
      <c r="D540" s="1279" t="s">
        <v>690</v>
      </c>
      <c r="E540" s="1279"/>
      <c r="F540" s="1279"/>
      <c r="I540" s="524"/>
    </row>
    <row r="541" spans="1:9">
      <c r="C541" s="521"/>
      <c r="D541" s="1310" t="s">
        <v>1136</v>
      </c>
      <c r="E541" s="1310"/>
      <c r="F541" s="1310"/>
      <c r="I541" s="524"/>
    </row>
    <row r="542" spans="1:9">
      <c r="C542" s="521"/>
      <c r="D542" s="480"/>
      <c r="E542" s="480"/>
      <c r="F542" s="480"/>
      <c r="I542" s="524"/>
    </row>
    <row r="543" spans="1:9" ht="13.7" customHeight="1">
      <c r="A543" s="518"/>
      <c r="B543" s="519" t="s">
        <v>2780</v>
      </c>
      <c r="C543" s="521"/>
      <c r="D543" s="1310" t="s">
        <v>895</v>
      </c>
      <c r="E543" s="1310"/>
      <c r="F543" s="1310"/>
      <c r="I543" s="524" t="s">
        <v>2145</v>
      </c>
    </row>
    <row r="544" spans="1:9" ht="13.7" customHeight="1">
      <c r="A544" s="521"/>
      <c r="B544" s="521"/>
      <c r="C544" s="521"/>
      <c r="D544" s="480"/>
      <c r="I544" s="524"/>
    </row>
    <row r="545" spans="1:9" ht="14.25">
      <c r="A545" s="518"/>
      <c r="B545" s="519" t="s">
        <v>2780</v>
      </c>
      <c r="C545" s="521"/>
      <c r="D545" s="1281" t="s">
        <v>1137</v>
      </c>
      <c r="E545" s="1281"/>
      <c r="F545" s="1281"/>
      <c r="I545" s="524" t="s">
        <v>2145</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2780</v>
      </c>
      <c r="C548" s="521"/>
      <c r="D548" s="1281" t="s">
        <v>1138</v>
      </c>
      <c r="E548" s="1281"/>
      <c r="F548" s="1281"/>
      <c r="I548" s="524" t="s">
        <v>2096</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2780</v>
      </c>
      <c r="C551" s="521"/>
      <c r="D551" s="1281" t="s">
        <v>1139</v>
      </c>
      <c r="E551" s="1281"/>
      <c r="F551" s="1281"/>
      <c r="I551" s="524" t="s">
        <v>2097</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2780</v>
      </c>
      <c r="C554" s="521"/>
      <c r="D554" s="1281" t="s">
        <v>1140</v>
      </c>
      <c r="E554" s="1281"/>
      <c r="F554" s="1281"/>
      <c r="I554" s="524" t="s">
        <v>2146</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2781</v>
      </c>
      <c r="C558" s="521"/>
      <c r="D558" s="1281" t="s">
        <v>1258</v>
      </c>
      <c r="E558" s="1281"/>
      <c r="F558" s="1281"/>
      <c r="I558" s="524" t="s">
        <v>2145</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2780</v>
      </c>
      <c r="C561" s="521"/>
      <c r="D561" s="1281" t="s">
        <v>1142</v>
      </c>
      <c r="E561" s="1281"/>
      <c r="F561" s="1281"/>
      <c r="I561" s="524" t="s">
        <v>2145</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2780</v>
      </c>
      <c r="C564" s="521"/>
      <c r="D564" s="1310" t="s">
        <v>1143</v>
      </c>
      <c r="E564" s="1310"/>
      <c r="F564" s="1310"/>
      <c r="I564" s="524" t="s">
        <v>2148</v>
      </c>
    </row>
    <row r="565" spans="1:9">
      <c r="A565" s="524"/>
      <c r="B565" s="524"/>
      <c r="C565" s="521"/>
      <c r="D565" s="1310" t="s">
        <v>2205</v>
      </c>
      <c r="E565" s="1310"/>
      <c r="F565" s="1310"/>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2780</v>
      </c>
      <c r="C568" s="521"/>
      <c r="D568" s="1310" t="s">
        <v>1145</v>
      </c>
      <c r="E568" s="1310"/>
      <c r="F568" s="1310"/>
      <c r="I568" s="524" t="s">
        <v>2098</v>
      </c>
    </row>
    <row r="569" spans="1:9">
      <c r="C569" s="521"/>
      <c r="D569" s="1281" t="s">
        <v>1146</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2780</v>
      </c>
      <c r="C573" s="521"/>
      <c r="D573" s="1281" t="s">
        <v>2375</v>
      </c>
      <c r="E573" s="1281"/>
      <c r="F573" s="1281"/>
      <c r="I573" s="524" t="s">
        <v>2099</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1080</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1096</v>
      </c>
      <c r="E581" s="1303"/>
      <c r="F581" s="1303"/>
      <c r="I581" s="524"/>
    </row>
    <row r="582" spans="1:9">
      <c r="A582" s="433"/>
      <c r="B582" s="433"/>
      <c r="C582" s="517"/>
      <c r="D582" s="533"/>
      <c r="I582" s="524" t="s">
        <v>2100</v>
      </c>
    </row>
    <row r="583" spans="1:9">
      <c r="A583" s="517"/>
      <c r="B583" s="519" t="s">
        <v>2780</v>
      </c>
      <c r="D583" s="1303" t="s">
        <v>901</v>
      </c>
      <c r="E583" s="1303"/>
      <c r="F583" s="1303"/>
      <c r="I583" s="524"/>
    </row>
    <row r="584" spans="1:9">
      <c r="A584" s="524"/>
      <c r="B584" s="524"/>
      <c r="D584" s="510"/>
      <c r="I584" s="524"/>
    </row>
    <row r="585" spans="1:9">
      <c r="A585" s="524"/>
      <c r="B585" s="519" t="s">
        <v>2780</v>
      </c>
      <c r="D585" s="1303" t="s">
        <v>2376</v>
      </c>
      <c r="E585" s="1303"/>
      <c r="F585" s="1303"/>
      <c r="I585" s="524" t="s">
        <v>2102</v>
      </c>
    </row>
    <row r="586" spans="1:9">
      <c r="A586" s="524"/>
      <c r="B586" s="524"/>
      <c r="D586" s="1303"/>
      <c r="E586" s="1303"/>
      <c r="F586" s="1303"/>
      <c r="I586" s="524" t="s">
        <v>2101</v>
      </c>
    </row>
    <row r="587" spans="1:9">
      <c r="A587" s="524"/>
      <c r="B587" s="524"/>
      <c r="D587" s="1303"/>
      <c r="E587" s="1303"/>
      <c r="F587" s="1303"/>
      <c r="I587" s="524"/>
    </row>
    <row r="588" spans="1:9">
      <c r="A588" s="524"/>
      <c r="B588" s="524"/>
      <c r="D588" s="1303"/>
      <c r="E588" s="1303"/>
      <c r="F588" s="1303"/>
      <c r="I588" s="524"/>
    </row>
    <row r="589" spans="1:9">
      <c r="A589" s="524"/>
      <c r="B589" s="519" t="s">
        <v>2781</v>
      </c>
      <c r="D589" s="1303" t="s">
        <v>1098</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2780</v>
      </c>
      <c r="D594" s="1303" t="s">
        <v>2377</v>
      </c>
      <c r="E594" s="1303"/>
      <c r="F594" s="1303"/>
      <c r="I594" s="524"/>
    </row>
    <row r="595" spans="1:9">
      <c r="A595" s="524"/>
      <c r="B595" s="524"/>
      <c r="D595" s="1303"/>
      <c r="E595" s="1303"/>
      <c r="F595" s="1303"/>
      <c r="I595" s="524"/>
    </row>
    <row r="596" spans="1:9">
      <c r="A596" s="524"/>
      <c r="B596" s="524"/>
      <c r="D596" s="533"/>
      <c r="I596" s="524"/>
    </row>
    <row r="597" spans="1:9">
      <c r="A597" s="524"/>
      <c r="B597" s="519" t="s">
        <v>2781</v>
      </c>
      <c r="D597" s="1303" t="s">
        <v>1100</v>
      </c>
      <c r="E597" s="1303"/>
      <c r="F597" s="1303"/>
      <c r="I597" s="524" t="s">
        <v>2149</v>
      </c>
    </row>
    <row r="598" spans="1:9">
      <c r="A598" s="524"/>
      <c r="B598" s="524"/>
      <c r="D598" s="1303"/>
      <c r="E598" s="1303"/>
      <c r="F598" s="1303"/>
      <c r="I598" s="524"/>
    </row>
    <row r="599" spans="1:9" ht="14.25">
      <c r="A599" s="518"/>
      <c r="B599" s="518"/>
      <c r="D599" s="533"/>
      <c r="I599" s="524"/>
    </row>
    <row r="600" spans="1:9">
      <c r="A600" s="1287" t="s">
        <v>1081</v>
      </c>
      <c r="B600" s="1287"/>
      <c r="C600" s="1287"/>
      <c r="D600" s="1287"/>
      <c r="E600" s="1287"/>
      <c r="F600" s="1287"/>
      <c r="G600" s="1287"/>
      <c r="H600" s="1063"/>
      <c r="I600" s="1259"/>
    </row>
    <row r="601" spans="1:9">
      <c r="I601" s="524"/>
    </row>
    <row r="602" spans="1:9">
      <c r="D602" s="1279" t="s">
        <v>1181</v>
      </c>
      <c r="E602" s="1279"/>
      <c r="F602" s="1279"/>
      <c r="I602" s="524"/>
    </row>
    <row r="603" spans="1:9">
      <c r="D603" s="1280" t="s">
        <v>1182</v>
      </c>
      <c r="E603" s="1280"/>
      <c r="F603" s="1280"/>
      <c r="I603" s="524"/>
    </row>
    <row r="604" spans="1:9">
      <c r="D604" s="478"/>
      <c r="I604" s="524"/>
    </row>
    <row r="605" spans="1:9" ht="14.25" customHeight="1">
      <c r="A605" s="518"/>
      <c r="B605" s="519" t="s">
        <v>2780</v>
      </c>
      <c r="D605" s="1344" t="s">
        <v>2206</v>
      </c>
      <c r="E605" s="1344"/>
      <c r="F605" s="1344"/>
      <c r="I605" s="524" t="s">
        <v>2130</v>
      </c>
    </row>
    <row r="606" spans="1:9">
      <c r="D606" s="1344"/>
      <c r="E606" s="1344"/>
      <c r="F606" s="1344"/>
      <c r="I606" s="524"/>
    </row>
    <row r="607" spans="1:9">
      <c r="D607" s="416"/>
      <c r="E607" s="1071" t="s">
        <v>2207</v>
      </c>
      <c r="F607" s="416"/>
      <c r="I607" s="524"/>
    </row>
    <row r="608" spans="1:9">
      <c r="I608" s="524"/>
    </row>
    <row r="609" spans="1:9">
      <c r="A609" s="1287" t="s">
        <v>1082</v>
      </c>
      <c r="B609" s="1287"/>
      <c r="C609" s="1287"/>
      <c r="D609" s="1287"/>
      <c r="E609" s="1287"/>
      <c r="F609" s="1287"/>
      <c r="G609" s="1287"/>
      <c r="H609" s="1063"/>
      <c r="I609" s="1259"/>
    </row>
    <row r="610" spans="1:9">
      <c r="A610" s="480"/>
      <c r="B610" s="480"/>
      <c r="I610" s="524"/>
    </row>
    <row r="611" spans="1:9">
      <c r="A611" s="516"/>
      <c r="B611" s="516"/>
      <c r="C611" s="516"/>
      <c r="D611" s="1282" t="s">
        <v>1184</v>
      </c>
      <c r="E611" s="1282"/>
      <c r="F611" s="1282"/>
      <c r="I611" s="524"/>
    </row>
    <row r="612" spans="1:9">
      <c r="A612" s="516"/>
      <c r="B612" s="516"/>
      <c r="C612" s="516"/>
      <c r="D612" s="1282"/>
      <c r="E612" s="1282"/>
      <c r="F612" s="1282"/>
      <c r="I612" s="524"/>
    </row>
    <row r="613" spans="1:9">
      <c r="C613" s="517"/>
      <c r="D613" s="1280" t="s">
        <v>1185</v>
      </c>
      <c r="E613" s="1280"/>
      <c r="F613" s="1280"/>
      <c r="I613" s="524"/>
    </row>
    <row r="614" spans="1:9">
      <c r="C614" s="517"/>
      <c r="D614" s="478"/>
      <c r="E614" s="478"/>
      <c r="F614" s="478"/>
      <c r="I614" s="524"/>
    </row>
    <row r="615" spans="1:9" ht="12.75" customHeight="1">
      <c r="A615" s="524"/>
      <c r="B615" s="519" t="s">
        <v>2780</v>
      </c>
      <c r="D615" s="1283" t="s">
        <v>1186</v>
      </c>
      <c r="E615" s="1283"/>
      <c r="F615" s="1283"/>
      <c r="I615" s="524" t="s">
        <v>2150</v>
      </c>
    </row>
    <row r="616" spans="1:9">
      <c r="D616" s="1283"/>
      <c r="E616" s="1283"/>
      <c r="F616" s="1283"/>
      <c r="I616" s="524"/>
    </row>
    <row r="617" spans="1:9">
      <c r="I617" s="524"/>
    </row>
    <row r="618" spans="1:9">
      <c r="B618" s="519" t="s">
        <v>2780</v>
      </c>
      <c r="D618" s="1283" t="s">
        <v>1187</v>
      </c>
      <c r="E618" s="1283"/>
      <c r="F618" s="1283"/>
      <c r="I618" s="524" t="s">
        <v>2103</v>
      </c>
    </row>
    <row r="619" spans="1:9">
      <c r="C619" s="534"/>
      <c r="D619" s="1283"/>
      <c r="E619" s="1283"/>
      <c r="F619" s="1283"/>
      <c r="I619" s="524"/>
    </row>
    <row r="620" spans="1:9">
      <c r="C620" s="534"/>
      <c r="I620" s="524"/>
    </row>
    <row r="621" spans="1:9">
      <c r="B621" s="519" t="s">
        <v>2781</v>
      </c>
      <c r="C621" s="534"/>
      <c r="D621" s="1283" t="s">
        <v>1188</v>
      </c>
      <c r="E621" s="1283"/>
      <c r="F621" s="1283"/>
      <c r="I621" s="524" t="s">
        <v>2151</v>
      </c>
    </row>
    <row r="622" spans="1:9">
      <c r="C622" s="534"/>
      <c r="D622" s="1283"/>
      <c r="E622" s="1283"/>
      <c r="F622" s="1283"/>
      <c r="I622" s="534" t="s">
        <v>2152</v>
      </c>
    </row>
    <row r="623" spans="1:9">
      <c r="C623" s="534"/>
      <c r="I623" s="524"/>
    </row>
    <row r="624" spans="1:9">
      <c r="A624" s="1287" t="s">
        <v>1083</v>
      </c>
      <c r="B624" s="1287"/>
      <c r="C624" s="1287"/>
      <c r="D624" s="1287"/>
      <c r="E624" s="1287"/>
      <c r="F624" s="1287"/>
      <c r="G624" s="1287"/>
      <c r="H624" s="1063"/>
      <c r="I624" s="1259"/>
    </row>
    <row r="625" spans="1:9">
      <c r="A625" s="516"/>
      <c r="B625" s="516"/>
      <c r="C625" s="516"/>
      <c r="I625" s="524"/>
    </row>
    <row r="626" spans="1:9">
      <c r="C626" s="524"/>
      <c r="D626" s="1279" t="s">
        <v>1189</v>
      </c>
      <c r="E626" s="1279"/>
      <c r="F626" s="1279"/>
      <c r="I626" s="524"/>
    </row>
    <row r="627" spans="1:9">
      <c r="A627" s="524"/>
      <c r="B627" s="524"/>
      <c r="D627" s="435"/>
      <c r="I627" s="524"/>
    </row>
    <row r="628" spans="1:9" ht="14.25" customHeight="1">
      <c r="A628" s="518"/>
      <c r="B628" s="519" t="s">
        <v>2780</v>
      </c>
      <c r="D628" s="1344" t="s">
        <v>2378</v>
      </c>
      <c r="E628" s="1344"/>
      <c r="F628" s="1344"/>
      <c r="I628" s="524" t="s">
        <v>2131</v>
      </c>
    </row>
    <row r="629" spans="1:9">
      <c r="D629" s="1344"/>
      <c r="E629" s="1344"/>
      <c r="F629" s="1344"/>
      <c r="I629" s="524"/>
    </row>
    <row r="630" spans="1:9">
      <c r="D630" s="416"/>
      <c r="E630" s="1071" t="s">
        <v>2209</v>
      </c>
      <c r="F630" s="416"/>
      <c r="I630" s="524"/>
    </row>
    <row r="631" spans="1:9">
      <c r="D631" s="1281" t="s">
        <v>2208</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2781</v>
      </c>
      <c r="D635" s="1281" t="s">
        <v>1191</v>
      </c>
      <c r="E635" s="1281"/>
      <c r="F635" s="1281"/>
      <c r="I635" s="524" t="s">
        <v>2153</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2781</v>
      </c>
      <c r="C638" s="521"/>
      <c r="D638" s="1281" t="s">
        <v>1330</v>
      </c>
      <c r="E638" s="1281"/>
      <c r="F638" s="1281"/>
      <c r="I638" s="524" t="s">
        <v>2104</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2781</v>
      </c>
      <c r="C641" s="521"/>
      <c r="D641" s="1310" t="s">
        <v>1193</v>
      </c>
      <c r="E641" s="1310"/>
      <c r="F641" s="1310"/>
      <c r="I641" s="524" t="s">
        <v>2104</v>
      </c>
    </row>
    <row r="642" spans="1:9">
      <c r="A642" s="521"/>
      <c r="B642" s="521"/>
      <c r="C642" s="521"/>
      <c r="D642" s="480"/>
      <c r="E642" s="480"/>
      <c r="F642" s="480"/>
      <c r="I642" s="524"/>
    </row>
    <row r="643" spans="1:9">
      <c r="A643" s="1287" t="s">
        <v>1084</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1243</v>
      </c>
      <c r="E645" s="1279"/>
      <c r="F645" s="1279"/>
      <c r="I645" s="524"/>
    </row>
    <row r="646" spans="1:9">
      <c r="A646" s="517"/>
      <c r="B646" s="517"/>
      <c r="C646" s="517"/>
      <c r="D646" s="1310" t="s">
        <v>1244</v>
      </c>
      <c r="E646" s="1310"/>
      <c r="F646" s="1310"/>
      <c r="I646" s="524"/>
    </row>
    <row r="647" spans="1:9">
      <c r="A647" s="517"/>
      <c r="B647" s="517"/>
      <c r="C647" s="517"/>
      <c r="D647" s="480"/>
      <c r="E647" s="480"/>
      <c r="F647" s="480"/>
      <c r="I647" s="524"/>
    </row>
    <row r="648" spans="1:9" ht="12.75" customHeight="1">
      <c r="B648" s="519" t="s">
        <v>2780</v>
      </c>
      <c r="C648" s="521"/>
      <c r="D648" s="1281" t="s">
        <v>1389</v>
      </c>
      <c r="E648" s="1281"/>
      <c r="F648" s="1281"/>
      <c r="I648" s="524" t="s">
        <v>2156</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2781</v>
      </c>
      <c r="C653" s="521"/>
      <c r="D653" s="1281" t="s">
        <v>1391</v>
      </c>
      <c r="E653" s="1281"/>
      <c r="F653" s="1281"/>
      <c r="I653" s="524" t="s">
        <v>2156</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2781</v>
      </c>
      <c r="C659" s="521"/>
      <c r="D659" s="1281" t="s">
        <v>1390</v>
      </c>
      <c r="E659" s="1281"/>
      <c r="F659" s="1281"/>
      <c r="I659" s="524" t="s">
        <v>2156</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2781</v>
      </c>
      <c r="C664" s="521"/>
      <c r="D664" s="1281" t="s">
        <v>2379</v>
      </c>
      <c r="E664" s="1281"/>
      <c r="F664" s="1281"/>
      <c r="I664" s="524" t="s">
        <v>2156</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1085</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1121</v>
      </c>
      <c r="E678" s="1310"/>
      <c r="F678" s="1310"/>
      <c r="H678" s="535"/>
      <c r="I678" s="517"/>
      <c r="J678" s="535"/>
      <c r="K678" s="535"/>
    </row>
    <row r="679" spans="1:11">
      <c r="A679" s="517"/>
      <c r="B679" s="517"/>
      <c r="C679" s="517"/>
      <c r="H679" s="535"/>
      <c r="I679" s="517"/>
      <c r="J679" s="535"/>
      <c r="K679" s="535"/>
    </row>
    <row r="680" spans="1:11" ht="14.25">
      <c r="A680" s="518"/>
      <c r="B680" s="519" t="s">
        <v>2781</v>
      </c>
      <c r="C680" s="517"/>
      <c r="D680" s="1310" t="s">
        <v>897</v>
      </c>
      <c r="E680" s="1310"/>
      <c r="F680" s="1310"/>
      <c r="H680" s="535"/>
      <c r="I680" s="517" t="s">
        <v>2132</v>
      </c>
      <c r="J680" s="535"/>
      <c r="K680" s="535"/>
    </row>
    <row r="681" spans="1:11">
      <c r="A681" s="517"/>
      <c r="B681" s="517"/>
      <c r="C681" s="517"/>
      <c r="D681" s="1310" t="s">
        <v>907</v>
      </c>
      <c r="E681" s="1310"/>
      <c r="F681" s="1310"/>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2781</v>
      </c>
      <c r="C685" s="517"/>
      <c r="D685" s="1281" t="s">
        <v>2380</v>
      </c>
      <c r="E685" s="1281"/>
      <c r="F685" s="1281"/>
      <c r="H685" s="535"/>
      <c r="I685" s="517" t="s">
        <v>2154</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2133</v>
      </c>
      <c r="J688" s="535"/>
      <c r="K688" s="535"/>
    </row>
    <row r="689" spans="1:11" ht="14.25">
      <c r="A689" s="518"/>
      <c r="B689" s="519" t="s">
        <v>2780</v>
      </c>
      <c r="C689" s="517"/>
      <c r="D689" s="1310" t="s">
        <v>935</v>
      </c>
      <c r="E689" s="1310"/>
      <c r="F689" s="1310"/>
      <c r="H689" s="535"/>
      <c r="I689" s="517"/>
      <c r="J689" s="535"/>
      <c r="K689" s="535"/>
    </row>
    <row r="690" spans="1:11" ht="14.25">
      <c r="A690" s="518"/>
      <c r="B690" s="518"/>
      <c r="C690" s="517"/>
      <c r="D690" s="1310" t="s">
        <v>907</v>
      </c>
      <c r="E690" s="1310"/>
      <c r="F690" s="1310"/>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2780</v>
      </c>
      <c r="C693" s="517"/>
      <c r="D693" s="1281" t="s">
        <v>1134</v>
      </c>
      <c r="E693" s="1281"/>
      <c r="F693" s="1281"/>
      <c r="H693" s="535"/>
      <c r="I693" s="517" t="s">
        <v>2105</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2780</v>
      </c>
      <c r="C700" s="517"/>
      <c r="D700" s="1281" t="s">
        <v>1305</v>
      </c>
      <c r="E700" s="1281"/>
      <c r="F700" s="1281"/>
      <c r="H700" s="535"/>
      <c r="I700" s="517" t="s">
        <v>2105</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2781</v>
      </c>
      <c r="C703" s="517"/>
      <c r="D703" s="1281" t="s">
        <v>1125</v>
      </c>
      <c r="E703" s="1281"/>
      <c r="F703" s="1281"/>
      <c r="H703" s="535"/>
      <c r="I703" s="517" t="s">
        <v>2105</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2781</v>
      </c>
      <c r="C716" s="517"/>
      <c r="D716" s="1281" t="s">
        <v>1132</v>
      </c>
      <c r="E716" s="1281"/>
      <c r="F716" s="1281"/>
      <c r="H716" s="535"/>
      <c r="I716" s="517" t="s">
        <v>2155</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2781</v>
      </c>
      <c r="C719" s="517"/>
      <c r="D719" s="1281" t="s">
        <v>1126</v>
      </c>
      <c r="E719" s="1281"/>
      <c r="F719" s="1281"/>
      <c r="H719" s="535"/>
      <c r="I719" s="517" t="s">
        <v>2155</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2781</v>
      </c>
      <c r="C723" s="517"/>
      <c r="D723" s="1281" t="s">
        <v>1127</v>
      </c>
      <c r="E723" s="1281"/>
      <c r="F723" s="1281"/>
      <c r="H723" s="535"/>
      <c r="I723" s="517" t="s">
        <v>2155</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2781</v>
      </c>
      <c r="C727" s="517"/>
      <c r="D727" s="1281" t="s">
        <v>1128</v>
      </c>
      <c r="E727" s="1281"/>
      <c r="F727" s="1281"/>
      <c r="H727" s="535"/>
      <c r="I727" s="517" t="s">
        <v>2106</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2781</v>
      </c>
      <c r="C732" s="517"/>
      <c r="D732" s="1281" t="s">
        <v>2503</v>
      </c>
      <c r="E732" s="1281"/>
      <c r="F732" s="1281"/>
      <c r="H732" s="535"/>
      <c r="I732" s="517" t="s">
        <v>2122</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2389</v>
      </c>
      <c r="E739" s="1293"/>
      <c r="F739" s="1293"/>
      <c r="H739" s="535"/>
      <c r="I739" s="517"/>
      <c r="J739" s="535"/>
      <c r="K739" s="535"/>
    </row>
    <row r="740" spans="1:11">
      <c r="A740" s="517"/>
      <c r="B740" s="517"/>
      <c r="C740" s="517"/>
      <c r="D740" s="369"/>
      <c r="H740" s="535"/>
      <c r="I740" s="517"/>
      <c r="J740" s="535"/>
      <c r="K740" s="535"/>
    </row>
    <row r="741" spans="1:11">
      <c r="A741" s="1288" t="s">
        <v>1086</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1102</v>
      </c>
      <c r="E743" s="1309"/>
      <c r="F743" s="1309"/>
      <c r="G743" s="535"/>
      <c r="H743" s="535"/>
      <c r="I743" s="517"/>
      <c r="J743" s="535"/>
      <c r="K743" s="535"/>
    </row>
    <row r="744" spans="1:11">
      <c r="A744" s="517"/>
      <c r="B744" s="517"/>
      <c r="C744" s="517"/>
      <c r="D744" s="1296" t="s">
        <v>1103</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2780</v>
      </c>
      <c r="D746" s="1281" t="s">
        <v>1104</v>
      </c>
      <c r="E746" s="1281"/>
      <c r="F746" s="1281"/>
      <c r="G746" s="535"/>
      <c r="H746" s="535"/>
      <c r="I746" s="517" t="s">
        <v>2107</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2781</v>
      </c>
      <c r="C753" s="538"/>
      <c r="D753" s="1281" t="s">
        <v>1346</v>
      </c>
      <c r="E753" s="1281"/>
      <c r="F753" s="1281"/>
      <c r="I753" s="1264" t="s">
        <v>2107</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2781</v>
      </c>
      <c r="C758" s="538"/>
      <c r="D758" s="1283" t="s">
        <v>1347</v>
      </c>
      <c r="E758" s="1283"/>
      <c r="F758" s="1283"/>
      <c r="I758" s="1264" t="s">
        <v>2108</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2781</v>
      </c>
      <c r="D762" s="1281" t="s">
        <v>1302</v>
      </c>
      <c r="E762" s="1281"/>
      <c r="F762" s="1281"/>
      <c r="G762" s="535"/>
      <c r="H762" s="535"/>
      <c r="I762" s="517" t="s">
        <v>2107</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2781</v>
      </c>
      <c r="D765" s="1281" t="s">
        <v>1319</v>
      </c>
      <c r="E765" s="1281"/>
      <c r="F765" s="1281"/>
      <c r="G765" s="535"/>
      <c r="H765" s="535"/>
      <c r="I765" s="517" t="s">
        <v>2107</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1990</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2044</v>
      </c>
      <c r="E771" s="1345"/>
      <c r="F771" s="1345"/>
      <c r="G771" s="3"/>
      <c r="I771" s="524"/>
    </row>
    <row r="772" spans="1:9">
      <c r="A772" s="57"/>
      <c r="B772" s="57"/>
      <c r="C772" s="385"/>
      <c r="D772" s="1314" t="s">
        <v>1943</v>
      </c>
      <c r="E772" s="1314"/>
      <c r="F772" s="1314"/>
      <c r="G772" s="3"/>
      <c r="I772" s="524"/>
    </row>
    <row r="773" spans="1:9">
      <c r="A773" s="57"/>
      <c r="B773" s="57"/>
      <c r="C773" s="385"/>
      <c r="D773" s="481"/>
      <c r="E773" s="481"/>
      <c r="F773" s="481"/>
      <c r="G773" s="3"/>
      <c r="I773" s="524"/>
    </row>
    <row r="774" spans="1:9">
      <c r="A774" s="57"/>
      <c r="B774" s="519" t="s">
        <v>2780</v>
      </c>
      <c r="C774" s="385"/>
      <c r="D774" s="1299" t="s">
        <v>1944</v>
      </c>
      <c r="E774" s="1299"/>
      <c r="F774" s="1299"/>
      <c r="G774" s="3"/>
      <c r="I774" s="517" t="s">
        <v>2157</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2781</v>
      </c>
      <c r="C778" s="172"/>
      <c r="D778" s="1299" t="s">
        <v>1945</v>
      </c>
      <c r="E778" s="1299"/>
      <c r="F778" s="1299"/>
      <c r="G778" s="3"/>
      <c r="I778" s="517" t="s">
        <v>2157</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2781</v>
      </c>
      <c r="C782" s="1024"/>
      <c r="D782" s="1299" t="s">
        <v>1946</v>
      </c>
      <c r="E782" s="1299"/>
      <c r="F782" s="1299"/>
      <c r="G782" s="1023"/>
      <c r="I782" s="517" t="s">
        <v>2157</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2781</v>
      </c>
      <c r="C786" s="1024"/>
      <c r="D786" s="1299" t="s">
        <v>1947</v>
      </c>
      <c r="E786" s="1299"/>
      <c r="F786" s="1299"/>
      <c r="G786" s="1023"/>
      <c r="I786" s="517" t="s">
        <v>2157</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1991</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2781</v>
      </c>
      <c r="C796" s="1024"/>
      <c r="D796" s="1299" t="s">
        <v>1948</v>
      </c>
      <c r="E796" s="1299"/>
      <c r="F796" s="1299"/>
      <c r="G796" s="1023"/>
      <c r="I796" s="517" t="s">
        <v>2157</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2781</v>
      </c>
      <c r="C803" s="1024"/>
      <c r="D803" s="1299" t="s">
        <v>1949</v>
      </c>
      <c r="E803" s="1299"/>
      <c r="F803" s="1299"/>
      <c r="G803" s="1023"/>
      <c r="I803" s="517" t="s">
        <v>2157</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2781</v>
      </c>
      <c r="C810" s="1024"/>
      <c r="D810" s="1307" t="s">
        <v>1950</v>
      </c>
      <c r="E810" s="1307"/>
      <c r="F810" s="1307"/>
      <c r="G810" s="1023"/>
      <c r="I810" s="517" t="s">
        <v>2157</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1951</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1992</v>
      </c>
      <c r="E819" s="1298"/>
      <c r="F819" s="1298"/>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2780</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2390</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2780</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2781</v>
      </c>
      <c r="C840" s="1024"/>
      <c r="D840" s="1298" t="s">
        <v>1955</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2781</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2781</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1993</v>
      </c>
      <c r="E860" s="1285"/>
      <c r="F860" s="1285"/>
      <c r="G860" s="1023"/>
      <c r="I860" s="524"/>
    </row>
    <row r="861" spans="1:9" ht="12.75" customHeight="1">
      <c r="A861" s="385"/>
      <c r="B861" s="385"/>
      <c r="C861" s="175"/>
      <c r="D861" s="1342" t="s">
        <v>1960</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2780</v>
      </c>
      <c r="C863" s="385"/>
      <c r="D863" s="1286" t="s">
        <v>1961</v>
      </c>
      <c r="E863" s="1286"/>
      <c r="F863" s="1286"/>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2780</v>
      </c>
      <c r="C866" s="385"/>
      <c r="D866" s="1266" t="s">
        <v>1962</v>
      </c>
      <c r="E866" s="1315"/>
      <c r="F866" s="1315"/>
      <c r="G866" s="3"/>
      <c r="I866" s="524" t="s">
        <v>2144</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2781</v>
      </c>
      <c r="C869" s="385"/>
      <c r="D869" s="1346" t="s">
        <v>1963</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2781</v>
      </c>
      <c r="C878" s="385"/>
      <c r="D878" s="1290" t="s">
        <v>1956</v>
      </c>
      <c r="E878" s="1290"/>
      <c r="F878" s="1290"/>
      <c r="G878" s="1023"/>
      <c r="I878" s="524" t="s">
        <v>2126</v>
      </c>
    </row>
    <row r="879" spans="1:9" ht="12.75" customHeight="1">
      <c r="A879" s="176"/>
      <c r="B879" s="176"/>
      <c r="C879" s="385"/>
      <c r="D879" s="1290" t="s">
        <v>1957</v>
      </c>
      <c r="E879" s="1290"/>
      <c r="F879" s="129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2781</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1994</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2000</v>
      </c>
      <c r="E889" s="1300"/>
      <c r="F889" s="1300"/>
      <c r="G889" s="57"/>
      <c r="I889" s="524"/>
    </row>
    <row r="890" spans="1:9" ht="12.75" customHeight="1">
      <c r="A890" s="57"/>
      <c r="B890" s="57"/>
      <c r="C890" s="57"/>
      <c r="D890" s="1016"/>
      <c r="E890" s="1016"/>
      <c r="F890" s="1016"/>
      <c r="G890" s="57"/>
      <c r="I890" s="524"/>
    </row>
    <row r="891" spans="1:9" ht="12.75" customHeight="1">
      <c r="A891" s="57"/>
      <c r="B891" s="519" t="s">
        <v>2780</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0" t="s">
        <v>1995</v>
      </c>
      <c r="E893" s="1300"/>
      <c r="F893" s="1300"/>
      <c r="G893" s="1023"/>
      <c r="I893" s="524"/>
    </row>
    <row r="894" spans="1:9" ht="12.75" customHeight="1">
      <c r="A894" s="172"/>
      <c r="B894" s="172"/>
      <c r="C894" s="172"/>
      <c r="D894" s="1286" t="s">
        <v>1964</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2780</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2780</v>
      </c>
      <c r="C901" s="175"/>
      <c r="D901" s="1270" t="s">
        <v>1965</v>
      </c>
      <c r="E901" s="1270"/>
      <c r="F901" s="1270"/>
      <c r="G901" s="1023"/>
      <c r="I901" s="524" t="s">
        <v>2109</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2781</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2781</v>
      </c>
      <c r="C913" s="1024"/>
      <c r="D913" s="1307" t="s">
        <v>1970</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2781</v>
      </c>
      <c r="C918" s="1024"/>
      <c r="D918" s="1286" t="s">
        <v>2382</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2781</v>
      </c>
      <c r="C920" s="1024"/>
      <c r="D920" s="1286" t="s">
        <v>2383</v>
      </c>
      <c r="E920" s="1286"/>
      <c r="F920" s="1286"/>
      <c r="G920" s="1023"/>
      <c r="I920" s="524"/>
    </row>
    <row r="921" spans="1:9" ht="12.75" customHeight="1">
      <c r="A921" s="175"/>
      <c r="B921" s="175"/>
      <c r="C921" s="175"/>
      <c r="D921" s="2"/>
      <c r="E921" s="3"/>
      <c r="F921" s="1023"/>
      <c r="G921" s="1023"/>
      <c r="I921" s="524"/>
    </row>
    <row r="922" spans="1:9" ht="12.75" customHeight="1">
      <c r="A922" s="1032"/>
      <c r="B922" s="519" t="s">
        <v>2781</v>
      </c>
      <c r="C922" s="1033"/>
      <c r="D922" s="1270" t="s">
        <v>1966</v>
      </c>
      <c r="E922" s="1270"/>
      <c r="F922" s="1270"/>
      <c r="G922" s="1034"/>
      <c r="I922" s="524" t="s">
        <v>2159</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2780</v>
      </c>
      <c r="C932" s="175"/>
      <c r="D932" s="1347" t="s">
        <v>2161</v>
      </c>
      <c r="E932" s="1347"/>
      <c r="F932" s="1347"/>
      <c r="G932" s="1023"/>
      <c r="I932" s="524" t="s">
        <v>2159</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2780</v>
      </c>
      <c r="C940" s="175"/>
      <c r="D940" s="1269" t="s">
        <v>2455</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2781</v>
      </c>
      <c r="C947" s="1024"/>
      <c r="D947" s="1307" t="s">
        <v>1971</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2781</v>
      </c>
      <c r="C952" s="175"/>
      <c r="D952" s="1270" t="s">
        <v>2160</v>
      </c>
      <c r="E952" s="1270"/>
      <c r="F952" s="1270"/>
      <c r="G952" s="1023"/>
      <c r="I952" s="524" t="s">
        <v>2159</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1972</v>
      </c>
      <c r="E957" s="1285"/>
      <c r="F957" s="1285"/>
      <c r="G957" s="3"/>
      <c r="I957" s="524"/>
    </row>
    <row r="958" spans="1:9" ht="12.75" customHeight="1">
      <c r="A958" s="176"/>
      <c r="B958" s="519" t="s">
        <v>2781</v>
      </c>
      <c r="C958" s="385"/>
      <c r="D958" s="1286" t="s">
        <v>1996</v>
      </c>
      <c r="E958" s="1286"/>
      <c r="F958" s="1286"/>
      <c r="G958" s="3"/>
      <c r="I958" s="524" t="s">
        <v>2159</v>
      </c>
    </row>
    <row r="959" spans="1:9" ht="12.75" customHeight="1">
      <c r="A959" s="385"/>
      <c r="B959" s="385"/>
      <c r="C959" s="385"/>
      <c r="D959" s="3"/>
      <c r="E959" s="3"/>
      <c r="F959" s="3"/>
      <c r="G959" s="3"/>
      <c r="I959" s="524"/>
    </row>
    <row r="960" spans="1:9" ht="12.75" customHeight="1">
      <c r="A960" s="385"/>
      <c r="B960" s="385"/>
      <c r="C960" s="385"/>
      <c r="D960" s="1285" t="s">
        <v>1973</v>
      </c>
      <c r="E960" s="1285"/>
      <c r="F960" s="1285"/>
      <c r="G960"/>
      <c r="I960" s="524"/>
    </row>
    <row r="961" spans="1:9" ht="12.75" customHeight="1">
      <c r="A961" s="176"/>
      <c r="B961" s="519" t="s">
        <v>2781</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1974</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1997</v>
      </c>
      <c r="E979" s="1285"/>
      <c r="F979" s="1285"/>
      <c r="G979" s="3"/>
      <c r="I979" s="524"/>
    </row>
    <row r="980" spans="1:9" ht="12.75" customHeight="1">
      <c r="A980" s="172"/>
      <c r="B980" s="172"/>
      <c r="C980" s="172"/>
      <c r="D980" s="1286" t="s">
        <v>1975</v>
      </c>
      <c r="E980" s="1286"/>
      <c r="F980" s="1286"/>
      <c r="G980" s="3"/>
      <c r="I980" s="524"/>
    </row>
    <row r="981" spans="1:9" ht="12.75" customHeight="1">
      <c r="A981" s="172"/>
      <c r="B981" s="172"/>
      <c r="C981" s="172"/>
      <c r="D981" s="3"/>
      <c r="E981" s="3"/>
      <c r="F981" s="1023"/>
      <c r="G981"/>
      <c r="I981" s="524"/>
    </row>
    <row r="982" spans="1:9" ht="12.75" customHeight="1">
      <c r="A982" s="385"/>
      <c r="B982" s="519" t="s">
        <v>2780</v>
      </c>
      <c r="C982" s="385"/>
      <c r="D982" s="1349" t="s">
        <v>2214</v>
      </c>
      <c r="E982" s="1349"/>
      <c r="F982" s="1349"/>
      <c r="G982"/>
      <c r="I982" s="524" t="s">
        <v>2139</v>
      </c>
    </row>
    <row r="983" spans="1:9" ht="12.75" customHeight="1">
      <c r="A983" s="385"/>
      <c r="B983" s="385"/>
      <c r="C983" s="385"/>
      <c r="D983" s="1349"/>
      <c r="E983" s="1349"/>
      <c r="F983" s="1349"/>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2781</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2781</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2780</v>
      </c>
      <c r="C998" s="385"/>
      <c r="D998" s="1286" t="s">
        <v>1978</v>
      </c>
      <c r="E998" s="1286"/>
      <c r="F998" s="1286"/>
      <c r="G998"/>
      <c r="I998" s="524"/>
    </row>
    <row r="999" spans="1:9" ht="12.75" customHeight="1">
      <c r="A999" s="385"/>
      <c r="B999" s="385"/>
      <c r="C999" s="385"/>
      <c r="D999" s="3"/>
      <c r="E999" s="3"/>
      <c r="F999" s="3"/>
      <c r="G999"/>
      <c r="I999" s="524"/>
    </row>
    <row r="1000" spans="1:9" ht="12.75" customHeight="1">
      <c r="A1000" s="176"/>
      <c r="B1000" s="519" t="s">
        <v>2781</v>
      </c>
      <c r="C1000" s="385"/>
      <c r="D1000" s="1286" t="s">
        <v>1979</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2780</v>
      </c>
      <c r="C1002" s="385"/>
      <c r="D1002" s="1286" t="s">
        <v>1980</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2780</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2781</v>
      </c>
      <c r="C1007" s="1035"/>
      <c r="D1007" s="1299" t="s">
        <v>1982</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2781</v>
      </c>
      <c r="C1010" s="1035"/>
      <c r="D1010" s="1348" t="s">
        <v>1983</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2781</v>
      </c>
      <c r="C1012" s="385"/>
      <c r="D1012" s="1286" t="s">
        <v>1984</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2781</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1986</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1987</v>
      </c>
      <c r="E1019" s="1300"/>
      <c r="F1019" s="1300"/>
      <c r="G1019" s="3"/>
      <c r="I1019" s="524"/>
    </row>
    <row r="1020" spans="1:9" ht="12.75" customHeight="1">
      <c r="A1020" s="385"/>
      <c r="B1020" s="385"/>
      <c r="C1020" s="385"/>
      <c r="D1020" s="1348" t="s">
        <v>1988</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2002</v>
      </c>
      <c r="E1022" s="1300"/>
      <c r="F1022" s="1300"/>
      <c r="G1022" s="3"/>
      <c r="I1022" s="524" t="s">
        <v>2111</v>
      </c>
    </row>
    <row r="1023" spans="1:9" ht="12.75" customHeight="1">
      <c r="A1023" s="385"/>
      <c r="B1023" s="519" t="s">
        <v>2780</v>
      </c>
      <c r="C1023" s="385"/>
      <c r="D1023" s="1348" t="s">
        <v>1379</v>
      </c>
      <c r="E1023" s="1348"/>
      <c r="F1023" s="1348"/>
      <c r="G1023" s="3"/>
      <c r="I1023" s="524"/>
    </row>
    <row r="1024" spans="1:9" ht="12.75" customHeight="1">
      <c r="A1024" s="385"/>
      <c r="B1024" s="176"/>
      <c r="C1024" s="385"/>
      <c r="D1024" s="1348" t="s">
        <v>1989</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1998</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1380</v>
      </c>
      <c r="E1028" s="1295"/>
      <c r="F1028" s="1295"/>
      <c r="G1028" s="3"/>
      <c r="I1028" s="524"/>
    </row>
    <row r="1029" spans="1:9" ht="12.75" hidden="1" customHeight="1">
      <c r="A1029" s="118"/>
      <c r="B1029" s="519" t="s">
        <v>308</v>
      </c>
      <c r="D1029" s="1280" t="s">
        <v>1379</v>
      </c>
      <c r="E1029" s="1280"/>
      <c r="F1029" s="1280"/>
      <c r="G1029" s="3"/>
      <c r="I1029" s="524"/>
    </row>
    <row r="1030" spans="1:9" ht="12.75" hidden="1" customHeight="1">
      <c r="A1030" s="118"/>
      <c r="B1030" s="433"/>
      <c r="D1030" s="1280" t="s">
        <v>1999</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1093</v>
      </c>
      <c r="E1032" s="1354"/>
      <c r="F1032" s="1354"/>
      <c r="G1032" s="3"/>
      <c r="I1032" s="524" t="s">
        <v>2140</v>
      </c>
    </row>
    <row r="1033" spans="1:9" ht="12.75" customHeight="1">
      <c r="A1033" s="345"/>
      <c r="B1033" s="345"/>
      <c r="C1033" s="345"/>
      <c r="D1033" s="1290" t="s">
        <v>1110</v>
      </c>
      <c r="E1033" s="1290"/>
      <c r="F1033" s="1290"/>
      <c r="G1033" s="98"/>
      <c r="I1033" s="524"/>
    </row>
    <row r="1034" spans="1:9" ht="12.75" customHeight="1">
      <c r="A1034" s="176"/>
      <c r="B1034" s="519" t="s">
        <v>2781</v>
      </c>
      <c r="C1034" s="385"/>
      <c r="D1034" s="1290" t="s">
        <v>1003</v>
      </c>
      <c r="E1034" s="1290"/>
      <c r="F1034" s="129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4" t="s">
        <v>2019</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2781</v>
      </c>
      <c r="C1042" s="433"/>
      <c r="D1042" s="1351" t="s">
        <v>2003</v>
      </c>
      <c r="E1042" s="1351"/>
      <c r="F1042" s="1351"/>
      <c r="I1042" s="524" t="s">
        <v>2112</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2780</v>
      </c>
      <c r="C1050" s="433"/>
      <c r="D1050" s="433" t="s">
        <v>2001</v>
      </c>
      <c r="I1050" s="524" t="s">
        <v>2113</v>
      </c>
    </row>
    <row r="1051" spans="1:9">
      <c r="A1051" s="433"/>
      <c r="B1051" s="433"/>
      <c r="C1051" s="433"/>
      <c r="I1051" s="524"/>
    </row>
    <row r="1052" spans="1:9">
      <c r="A1052" s="433"/>
      <c r="B1052" s="519" t="s">
        <v>2781</v>
      </c>
      <c r="C1052" s="433"/>
      <c r="D1052" s="1351" t="s">
        <v>2007</v>
      </c>
      <c r="E1052" s="1351"/>
      <c r="F1052" s="1351"/>
      <c r="I1052" s="524" t="s">
        <v>2114</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2008</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2780</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2781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2781</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2781</v>
      </c>
      <c r="C1075" s="433"/>
      <c r="D1075" s="1350" t="s">
        <v>2010</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2015</v>
      </c>
      <c r="I1080" s="524"/>
    </row>
    <row r="1081" spans="1:9">
      <c r="A1081" s="433"/>
      <c r="B1081" s="433"/>
      <c r="C1081" s="433"/>
      <c r="I1081" s="524"/>
    </row>
    <row r="1082" spans="1:9">
      <c r="A1082" s="1294" t="s">
        <v>2020</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2781</v>
      </c>
      <c r="C1085" s="433"/>
      <c r="D1085" s="1352" t="s">
        <v>2228</v>
      </c>
      <c r="E1085" s="1352"/>
      <c r="F1085" s="1352"/>
      <c r="I1085" s="524" t="s">
        <v>2119</v>
      </c>
    </row>
    <row r="1086" spans="1:9">
      <c r="A1086" s="433"/>
      <c r="B1086" s="433"/>
      <c r="C1086" s="433"/>
      <c r="D1086" s="1352"/>
      <c r="E1086" s="1352"/>
      <c r="F1086" s="1352"/>
      <c r="I1086" s="524"/>
    </row>
    <row r="1087" spans="1:9">
      <c r="A1087" s="433"/>
      <c r="B1087" s="433"/>
      <c r="C1087" s="433"/>
      <c r="D1087" s="1353" t="s">
        <v>2501</v>
      </c>
      <c r="E1087" s="1266"/>
      <c r="F1087" s="1266"/>
      <c r="I1087" s="524"/>
    </row>
    <row r="1088" spans="1:9">
      <c r="A1088" s="433"/>
      <c r="B1088" s="433"/>
      <c r="C1088" s="433"/>
      <c r="D1088" s="561"/>
      <c r="I1088" s="524"/>
    </row>
    <row r="1089" spans="1:9">
      <c r="A1089" s="433"/>
      <c r="B1089" s="519" t="s">
        <v>2781</v>
      </c>
      <c r="C1089" s="433"/>
      <c r="D1089" s="1350" t="s">
        <v>2021</v>
      </c>
      <c r="E1089" s="1350"/>
      <c r="F1089" s="1350"/>
      <c r="I1089" s="524" t="s">
        <v>2120</v>
      </c>
    </row>
    <row r="1090" spans="1:9">
      <c r="A1090" s="433"/>
      <c r="B1090" s="433"/>
      <c r="C1090" s="433"/>
      <c r="D1090" s="1350"/>
      <c r="E1090" s="1350"/>
      <c r="F1090" s="1350"/>
      <c r="I1090" s="524"/>
    </row>
    <row r="1091" spans="1:9">
      <c r="A1091" s="433"/>
      <c r="B1091" s="433"/>
      <c r="C1091" s="433"/>
      <c r="D1091" s="561"/>
      <c r="I1091" s="524"/>
    </row>
    <row r="1092" spans="1:9">
      <c r="A1092" s="433"/>
      <c r="B1092" s="519" t="s">
        <v>2781</v>
      </c>
      <c r="C1092" s="433"/>
      <c r="D1092" s="1350" t="s">
        <v>2164</v>
      </c>
      <c r="E1092" s="1350"/>
      <c r="F1092" s="1350"/>
      <c r="I1092" s="524" t="s">
        <v>2162</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2163</v>
      </c>
      <c r="I1098" s="514"/>
    </row>
    <row r="1099" spans="1:9">
      <c r="A1099" s="433"/>
      <c r="B1099" s="519" t="s">
        <v>2781</v>
      </c>
      <c r="C1099" s="433"/>
      <c r="D1099" s="1350" t="s">
        <v>2022</v>
      </c>
      <c r="E1099" s="1350"/>
      <c r="F1099" s="1350"/>
      <c r="I1099" s="524" t="s">
        <v>2121</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2780</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2780</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82" zoomScaleNormal="100" workbookViewId="0">
      <selection activeCell="AH502" sqref="AH502:AK502"/>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5" t="s">
        <v>2635</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6" t="s">
        <v>2392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47" t="s">
        <v>2651</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101</v>
      </c>
      <c r="C18" s="4"/>
      <c r="D18" s="4"/>
      <c r="E18" s="4"/>
      <c r="F18" s="4"/>
      <c r="G18" s="4"/>
      <c r="H18" s="1482" t="s">
        <v>2637</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2.95" customHeight="1"/>
    <row r="20" spans="1:52" ht="12.95" customHeight="1">
      <c r="A20" s="1856" t="s">
        <v>883</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567" t="s">
        <v>1031</v>
      </c>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2507</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6">
        <f>'Basis &amp; Credits'!AB56</f>
        <v>4541747</v>
      </c>
      <c r="N26" s="1566"/>
      <c r="O26" s="1566"/>
      <c r="P26" s="1566"/>
      <c r="Q26" s="1566"/>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3951366</v>
      </c>
      <c r="N27" s="1359"/>
      <c r="O27" s="1359"/>
      <c r="P27" s="1359"/>
      <c r="Q27" s="135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1" t="s">
        <v>2508</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2.9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2.9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0" t="s">
        <v>552</v>
      </c>
      <c r="P33" s="1380"/>
      <c r="Q33" s="1857" t="s">
        <v>2509</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1" t="s">
        <v>2510</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2.9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2.9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2.9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2512</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5" t="s">
        <v>2517</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row>
    <row r="66" spans="1:52" ht="12.95"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row>
    <row r="67" spans="1:52" ht="12.95"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5" t="s">
        <v>2518</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row>
    <row r="70" spans="1:52" ht="12.95"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1" t="s">
        <v>2519</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2.9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3" t="s">
        <v>2520</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row>
    <row r="76" spans="1:52" ht="12.95"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row>
    <row r="77" spans="1:52" ht="12.95"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5" t="s">
        <v>2521</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row>
    <row r="80" spans="1:52" ht="12.95"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row>
    <row r="81" spans="1:52" ht="12.95"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2" t="s">
        <v>2524</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row>
    <row r="90" spans="1:52"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3" t="s">
        <v>2525</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row>
    <row r="93" spans="1:52" ht="12.95"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row>
    <row r="94" spans="1:52" ht="12.95"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row>
    <row r="95" spans="1:52" ht="12.95"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row>
    <row r="96" spans="1:52" ht="12.95"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row>
    <row r="97" spans="1:52" ht="12.95"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row>
    <row r="98" spans="1:52" ht="12.95"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0"/>
      <c r="H113" s="1410"/>
      <c r="I113" s="3" t="s">
        <v>182</v>
      </c>
      <c r="L113" s="1410" t="s">
        <v>2735</v>
      </c>
      <c r="M113" s="1410"/>
      <c r="N113" s="1410"/>
      <c r="O113" s="1410"/>
      <c r="P113" s="1573" t="s">
        <v>2529</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7" t="s">
        <v>2660</v>
      </c>
      <c r="D115" s="1557"/>
      <c r="E115" s="1557"/>
      <c r="F115" s="1557"/>
      <c r="G115" s="1557"/>
      <c r="H115" s="1557"/>
      <c r="I115" s="1557"/>
      <c r="J115" s="1557"/>
      <c r="K115" s="1557"/>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410"/>
      <c r="Z117" s="1410"/>
      <c r="AA117" s="1410"/>
      <c r="AB117" s="1410"/>
      <c r="AC117" s="1410"/>
      <c r="AD117" s="1410"/>
      <c r="AE117" s="1410"/>
      <c r="AF117" s="1410"/>
      <c r="AG117" s="1410"/>
      <c r="AH117" s="1410"/>
      <c r="AI117" s="1410"/>
      <c r="AJ117" s="1410"/>
      <c r="AK117" s="1410"/>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0" t="s">
        <v>2656</v>
      </c>
      <c r="Z120" s="1410"/>
      <c r="AA120" s="1410"/>
      <c r="AB120" s="1410"/>
      <c r="AC120" s="1410"/>
      <c r="AD120" s="1410"/>
      <c r="AE120" s="1410"/>
      <c r="AF120" s="1410"/>
      <c r="AG120" s="1410"/>
      <c r="AH120" s="1410"/>
      <c r="AI120" s="1410"/>
      <c r="AJ120" s="1410"/>
      <c r="AK120" s="141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0" t="s">
        <v>2734</v>
      </c>
      <c r="Z123" s="1410"/>
      <c r="AA123" s="1410"/>
      <c r="AB123" s="1410"/>
      <c r="AC123" s="1410"/>
      <c r="AD123" s="1410"/>
      <c r="AE123" s="1410"/>
      <c r="AF123" s="1410"/>
      <c r="AG123" s="1410"/>
      <c r="AH123" s="1410"/>
      <c r="AI123" s="1410"/>
      <c r="AJ123" s="1410"/>
      <c r="AK123" s="141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82" t="s">
        <v>2641</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2.95" customHeight="1">
      <c r="D154" s="325" t="s">
        <v>2638</v>
      </c>
      <c r="O154" s="1481" t="s">
        <v>2639</v>
      </c>
      <c r="P154" s="1384"/>
      <c r="Q154" s="1384"/>
      <c r="R154" s="1384"/>
      <c r="S154" s="1384"/>
      <c r="T154" s="1384"/>
      <c r="U154" s="1384"/>
      <c r="V154" s="1384"/>
      <c r="W154" s="1384"/>
      <c r="X154" s="1384"/>
      <c r="Y154" s="1384"/>
      <c r="Z154" s="1384"/>
      <c r="AA154" s="1384"/>
      <c r="AB154" s="1384"/>
      <c r="AC154" s="1384"/>
      <c r="AD154" s="1384"/>
      <c r="AE154" s="1384"/>
      <c r="AF154" s="1384"/>
      <c r="AG154" s="1384"/>
      <c r="AH154" s="1384"/>
    </row>
    <row r="155" spans="1:72" ht="12.95" customHeight="1">
      <c r="D155" s="8" t="s">
        <v>442</v>
      </c>
      <c r="F155" s="8"/>
      <c r="G155" s="8"/>
      <c r="H155" s="8"/>
      <c r="I155" s="8"/>
      <c r="J155" s="8"/>
      <c r="K155" s="8"/>
      <c r="L155" s="8"/>
      <c r="M155" s="8"/>
      <c r="N155" s="8"/>
      <c r="O155" s="1569" t="s">
        <v>2640</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314</v>
      </c>
      <c r="O156" s="1471" t="s">
        <v>2642</v>
      </c>
      <c r="P156" s="1471"/>
      <c r="Q156" s="1471"/>
      <c r="R156" s="1471"/>
      <c r="S156" s="1471"/>
      <c r="T156" s="1471"/>
      <c r="U156" s="1471"/>
      <c r="V156" s="1471"/>
      <c r="W156" s="1471"/>
      <c r="X156" s="1471"/>
      <c r="Y156" s="1471"/>
      <c r="Z156" s="1471"/>
      <c r="AA156" s="1471"/>
      <c r="AB156" s="1471"/>
      <c r="AC156" s="1471"/>
      <c r="AD156" s="1471"/>
      <c r="AE156" s="1471"/>
      <c r="AF156" s="1471"/>
      <c r="AG156" s="1471"/>
      <c r="AH156" s="1471"/>
      <c r="BT156" t="s">
        <v>308</v>
      </c>
    </row>
    <row r="157" spans="1:72" ht="12.95" customHeight="1">
      <c r="D157" t="s">
        <v>315</v>
      </c>
      <c r="O157" s="1482" t="s">
        <v>738</v>
      </c>
      <c r="P157" s="1480"/>
      <c r="Q157" s="1480"/>
      <c r="R157" s="1480"/>
      <c r="S157" s="1480"/>
      <c r="T157" s="1480"/>
      <c r="U157" s="1480"/>
      <c r="V157" s="1480"/>
      <c r="W157" s="1480"/>
      <c r="X157" s="1480"/>
      <c r="Y157" s="8"/>
      <c r="Z157" s="8"/>
      <c r="AA157" s="8"/>
      <c r="AB157" s="8"/>
      <c r="AC157" s="8"/>
      <c r="AD157" s="8"/>
      <c r="AE157" s="8"/>
      <c r="AF157" s="8"/>
      <c r="BN157" s="23" t="s">
        <v>643</v>
      </c>
      <c r="BT157" t="s">
        <v>483</v>
      </c>
    </row>
    <row r="158" spans="1:72" ht="12.95" customHeight="1">
      <c r="D158" t="s">
        <v>316</v>
      </c>
      <c r="O158" s="1571">
        <v>94103</v>
      </c>
      <c r="P158" s="1571"/>
      <c r="Q158" s="1571"/>
      <c r="R158" s="1571"/>
      <c r="S158" s="9"/>
      <c r="T158" s="9"/>
      <c r="U158" s="9"/>
      <c r="V158" s="9"/>
      <c r="W158" s="9"/>
      <c r="X158" s="9"/>
      <c r="Y158" s="9"/>
      <c r="Z158" s="9"/>
      <c r="AA158" s="9"/>
      <c r="AB158" s="9"/>
      <c r="AC158" s="9"/>
      <c r="AD158" s="9"/>
      <c r="AE158" s="9"/>
      <c r="AF158" s="9"/>
      <c r="BN158" s="23" t="s">
        <v>644</v>
      </c>
      <c r="BT158" t="s">
        <v>484</v>
      </c>
    </row>
    <row r="159" spans="1:72" ht="12.95" customHeight="1">
      <c r="D159" t="s">
        <v>317</v>
      </c>
      <c r="O159" s="1565" t="s">
        <v>2643</v>
      </c>
      <c r="P159" s="1565"/>
      <c r="Q159" s="1565"/>
      <c r="R159" s="1565"/>
      <c r="S159" s="1565"/>
      <c r="T159" s="1565"/>
      <c r="V159" s="97" t="s">
        <v>272</v>
      </c>
      <c r="W159" s="1572"/>
      <c r="X159" s="1572"/>
      <c r="Y159" s="10"/>
      <c r="Z159" s="10"/>
      <c r="AA159" s="10"/>
      <c r="AB159" s="10"/>
      <c r="AC159" s="10"/>
      <c r="AD159" s="10"/>
      <c r="AE159" s="10"/>
      <c r="AF159" s="10"/>
      <c r="BN159" s="23" t="s">
        <v>340</v>
      </c>
      <c r="BT159" t="s">
        <v>485</v>
      </c>
    </row>
    <row r="160" spans="1:72" ht="12.95" customHeight="1">
      <c r="D160" t="s">
        <v>318</v>
      </c>
      <c r="O160" s="1565" t="s">
        <v>2644</v>
      </c>
      <c r="P160" s="1565"/>
      <c r="Q160" s="1565"/>
      <c r="R160" s="1565"/>
      <c r="S160" s="1565"/>
      <c r="T160" s="1565"/>
      <c r="U160" s="10"/>
      <c r="V160" s="10"/>
      <c r="W160" s="10"/>
      <c r="X160" s="10"/>
      <c r="Y160" s="10"/>
      <c r="Z160" s="10"/>
      <c r="AA160" s="10"/>
      <c r="AB160" s="10"/>
      <c r="AC160" s="10"/>
      <c r="AD160" s="10"/>
      <c r="AE160" s="10"/>
      <c r="AF160" s="10"/>
      <c r="BN160" s="23" t="s">
        <v>667</v>
      </c>
      <c r="BT160" t="s">
        <v>486</v>
      </c>
    </row>
    <row r="161" spans="1:72" ht="12.95" customHeight="1">
      <c r="D161" t="s">
        <v>319</v>
      </c>
      <c r="O161" s="1541" t="s">
        <v>2650</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8" t="s">
        <v>2624</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43" t="s">
        <v>546</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1643"/>
      <c r="AN169" s="1643"/>
      <c r="AO169" s="1643"/>
      <c r="AP169" s="1643"/>
      <c r="AQ169" s="1643"/>
      <c r="AR169" s="1643"/>
      <c r="AS169" s="1643"/>
      <c r="AT169" s="1643"/>
      <c r="AU169" s="95"/>
      <c r="AV169" s="95"/>
      <c r="AW169" s="95"/>
      <c r="AX169" s="95"/>
      <c r="AY169" s="95"/>
      <c r="BN169" s="23" t="s">
        <v>680</v>
      </c>
      <c r="BT169" t="s">
        <v>495</v>
      </c>
    </row>
    <row r="170" spans="1:72" ht="12.95" customHeigh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1643"/>
      <c r="AN170" s="1643"/>
      <c r="AO170" s="1643"/>
      <c r="AP170" s="1643"/>
      <c r="AQ170" s="1643"/>
      <c r="AR170" s="1643"/>
      <c r="AS170" s="1643"/>
      <c r="AT170" s="1643"/>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68" t="s">
        <v>372</v>
      </c>
      <c r="K173" s="1568"/>
      <c r="L173" s="1568"/>
      <c r="M173" s="1568"/>
      <c r="N173" s="1568"/>
      <c r="O173" s="1568"/>
      <c r="P173" s="1568"/>
      <c r="Q173" s="1568"/>
      <c r="R173" s="1568"/>
      <c r="S173" s="1568"/>
      <c r="U173" s="25"/>
      <c r="X173" s="25"/>
      <c r="BB173" s="3" t="s">
        <v>308</v>
      </c>
      <c r="BN173" s="23" t="s">
        <v>215</v>
      </c>
      <c r="BT173" t="s">
        <v>499</v>
      </c>
    </row>
    <row r="174" spans="1:72" ht="12.95" customHeight="1">
      <c r="C174" s="24"/>
      <c r="D174" s="3" t="s">
        <v>1306</v>
      </c>
      <c r="J174" s="1471" t="s">
        <v>2419</v>
      </c>
      <c r="K174" s="1471"/>
      <c r="L174" s="1471"/>
      <c r="M174" s="1471"/>
      <c r="N174" s="1471"/>
      <c r="O174" s="1471"/>
      <c r="P174" s="1471"/>
      <c r="Q174" s="1471"/>
      <c r="R174" s="1471"/>
      <c r="S174" s="1471"/>
      <c r="T174" s="1471"/>
      <c r="U174" s="1471"/>
      <c r="V174" s="1471"/>
      <c r="W174" s="1471"/>
      <c r="X174" s="1471"/>
      <c r="Y174" s="1471"/>
      <c r="Z174" s="1471"/>
      <c r="AA174" s="1471"/>
      <c r="AB174" s="1471"/>
      <c r="BB174" t="s">
        <v>2272</v>
      </c>
      <c r="BN174" s="23" t="s">
        <v>217</v>
      </c>
      <c r="BT174" t="s">
        <v>500</v>
      </c>
    </row>
    <row r="175" spans="1:72" ht="12.95" customHeight="1">
      <c r="C175" s="8"/>
      <c r="D175" s="3" t="s">
        <v>323</v>
      </c>
      <c r="O175" s="27"/>
      <c r="U175" s="1380" t="s">
        <v>552</v>
      </c>
      <c r="V175" s="1380"/>
      <c r="BB175" t="s">
        <v>2236</v>
      </c>
      <c r="BN175" s="23" t="s">
        <v>218</v>
      </c>
      <c r="BT175" t="s">
        <v>501</v>
      </c>
    </row>
    <row r="176" spans="1:72" ht="12.95" customHeight="1">
      <c r="C176" s="8"/>
      <c r="D176" s="26"/>
      <c r="E176" t="s">
        <v>305</v>
      </c>
      <c r="O176" s="27"/>
      <c r="P176" t="s">
        <v>2394</v>
      </c>
      <c r="T176" s="27" t="s">
        <v>306</v>
      </c>
      <c r="U176" s="1561">
        <v>23</v>
      </c>
      <c r="V176" s="1561"/>
      <c r="W176" s="1" t="s">
        <v>307</v>
      </c>
      <c r="X176" s="1554">
        <v>697</v>
      </c>
      <c r="Y176" s="1554"/>
      <c r="BB176" t="s">
        <v>2273</v>
      </c>
      <c r="BN176" s="23" t="s">
        <v>220</v>
      </c>
      <c r="BT176" t="s">
        <v>502</v>
      </c>
    </row>
    <row r="177" spans="1:72" ht="12.95" customHeight="1">
      <c r="C177" s="24"/>
      <c r="D177" t="s">
        <v>250</v>
      </c>
      <c r="R177" s="1380" t="s">
        <v>676</v>
      </c>
      <c r="S177" s="1380"/>
      <c r="BB177" t="s">
        <v>2578</v>
      </c>
      <c r="BN177" s="23" t="s">
        <v>221</v>
      </c>
      <c r="BT177" t="s">
        <v>503</v>
      </c>
    </row>
    <row r="178" spans="1:72" ht="12.95" customHeight="1">
      <c r="C178" s="24"/>
      <c r="D178" s="3" t="s">
        <v>1307</v>
      </c>
      <c r="AA178" t="s">
        <v>2394</v>
      </c>
      <c r="AE178" s="27" t="s">
        <v>306</v>
      </c>
      <c r="AF178" s="1766"/>
      <c r="AG178" s="1766"/>
      <c r="AH178" s="1" t="s">
        <v>307</v>
      </c>
      <c r="AI178" s="1534"/>
      <c r="AJ178" s="1534"/>
      <c r="AK178" s="1534"/>
      <c r="BB178" t="s">
        <v>2579</v>
      </c>
      <c r="BN178" s="23" t="s">
        <v>222</v>
      </c>
      <c r="BT178" t="s">
        <v>53</v>
      </c>
    </row>
    <row r="179" spans="1:72" ht="12.95" customHeight="1">
      <c r="C179" s="24"/>
      <c r="BN179" s="23" t="s">
        <v>223</v>
      </c>
      <c r="BT179" t="s">
        <v>54</v>
      </c>
    </row>
    <row r="180" spans="1:72" ht="12.95" customHeight="1">
      <c r="C180" s="24"/>
      <c r="D180" t="s">
        <v>2395</v>
      </c>
      <c r="X180" s="1380" t="s">
        <v>676</v>
      </c>
      <c r="Y180" s="1380"/>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08" t="str">
        <f>H18</f>
        <v>850 Turk Street</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594</v>
      </c>
      <c r="BN184" s="23" t="s">
        <v>231</v>
      </c>
      <c r="BT184" t="s">
        <v>62</v>
      </c>
    </row>
    <row r="185" spans="1:72" ht="12.95" customHeight="1">
      <c r="C185" s="21"/>
      <c r="D185" t="s">
        <v>586</v>
      </c>
      <c r="I185" s="1452" t="s">
        <v>2637</v>
      </c>
      <c r="J185" s="1452"/>
      <c r="K185" s="1452"/>
      <c r="L185" s="1452"/>
      <c r="M185" s="1452"/>
      <c r="N185" s="1452"/>
      <c r="O185" s="1452"/>
      <c r="P185" s="1452"/>
      <c r="Q185" s="1452"/>
      <c r="R185" s="1452"/>
      <c r="S185" s="1452"/>
      <c r="T185" s="1452"/>
      <c r="U185" s="1452"/>
      <c r="V185" s="1452"/>
      <c r="W185" s="1452"/>
      <c r="X185" s="1452"/>
      <c r="Y185" s="1452"/>
      <c r="Z185" s="1452"/>
      <c r="AA185" s="1452"/>
      <c r="AB185" s="1452"/>
      <c r="AC185" s="1452"/>
      <c r="AD185" s="1452"/>
      <c r="AE185" s="1452"/>
      <c r="BC185" t="s">
        <v>595</v>
      </c>
      <c r="BN185" s="23" t="s">
        <v>232</v>
      </c>
      <c r="BT185" t="s">
        <v>63</v>
      </c>
    </row>
    <row r="186" spans="1:72" ht="12.95" customHeight="1">
      <c r="C186" s="21"/>
      <c r="E186" t="s">
        <v>168</v>
      </c>
      <c r="BN186" s="23" t="s">
        <v>233</v>
      </c>
      <c r="BT186" t="s">
        <v>64</v>
      </c>
    </row>
    <row r="187" spans="1:72" ht="12.95"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2.95"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2.95" customHeight="1">
      <c r="C189" s="21"/>
      <c r="D189" t="s">
        <v>587</v>
      </c>
      <c r="I189" s="1471" t="s">
        <v>738</v>
      </c>
      <c r="J189" s="1471"/>
      <c r="K189" s="1471"/>
      <c r="L189" s="1471"/>
      <c r="M189" s="1471"/>
      <c r="N189" s="1471"/>
      <c r="O189" s="1471"/>
      <c r="P189" s="1471"/>
      <c r="Q189" t="s">
        <v>589</v>
      </c>
      <c r="T189" s="1471" t="s">
        <v>738</v>
      </c>
      <c r="U189" s="1471"/>
      <c r="V189" s="1471"/>
      <c r="W189" s="1471"/>
      <c r="X189" s="1471"/>
      <c r="Y189" s="1471"/>
      <c r="Z189" s="1471"/>
      <c r="AA189" s="1471"/>
      <c r="AB189" s="1471"/>
      <c r="AC189" s="1471"/>
      <c r="AD189" s="1471"/>
      <c r="AE189" s="1471"/>
      <c r="BC189" t="s">
        <v>308</v>
      </c>
      <c r="BH189" s="3" t="s">
        <v>598</v>
      </c>
      <c r="BN189" s="23" t="s">
        <v>237</v>
      </c>
      <c r="BT189" t="s">
        <v>67</v>
      </c>
    </row>
    <row r="190" spans="1:72" ht="12.95" customHeight="1">
      <c r="C190" s="21"/>
      <c r="D190" t="s">
        <v>590</v>
      </c>
      <c r="I190" s="1452">
        <v>94102</v>
      </c>
      <c r="J190" s="1452"/>
      <c r="K190" s="1452"/>
      <c r="L190" s="1452"/>
      <c r="M190" s="1452"/>
      <c r="N190" s="1452"/>
      <c r="O190" t="s">
        <v>592</v>
      </c>
      <c r="T190" s="1562">
        <v>160</v>
      </c>
      <c r="U190" s="1562"/>
      <c r="V190" s="1562"/>
      <c r="W190" s="1562"/>
      <c r="X190" s="1562"/>
      <c r="Y190" s="1562"/>
      <c r="Z190" s="1562"/>
      <c r="AA190" s="1562"/>
      <c r="AB190" s="1562"/>
      <c r="AC190" s="1562"/>
      <c r="AD190" s="1562"/>
      <c r="AE190" s="1562"/>
      <c r="BC190" t="s">
        <v>1063</v>
      </c>
      <c r="BH190" t="s">
        <v>1063</v>
      </c>
      <c r="BN190" s="23" t="s">
        <v>642</v>
      </c>
      <c r="BT190" t="s">
        <v>68</v>
      </c>
    </row>
    <row r="191" spans="1:72" ht="12.95" customHeight="1">
      <c r="C191" s="21"/>
      <c r="D191" t="s">
        <v>469</v>
      </c>
      <c r="N191" s="1564" t="s">
        <v>2652</v>
      </c>
      <c r="O191" s="1477"/>
      <c r="P191" s="1477"/>
      <c r="Q191" s="1477"/>
      <c r="R191" s="1477"/>
      <c r="S191" s="1477"/>
      <c r="T191" s="1477"/>
      <c r="U191" s="1477"/>
      <c r="V191" s="1477"/>
      <c r="W191" s="1477"/>
      <c r="X191" s="1477"/>
      <c r="Y191" s="1477"/>
      <c r="Z191" s="1477"/>
      <c r="AA191" s="1477"/>
      <c r="AB191" s="1477"/>
      <c r="AC191" s="1477"/>
      <c r="AD191" s="1477"/>
      <c r="AE191" s="1477"/>
      <c r="BC191" t="s">
        <v>1062</v>
      </c>
      <c r="BH191" t="s">
        <v>1062</v>
      </c>
      <c r="BN191" s="23" t="s">
        <v>696</v>
      </c>
      <c r="BT191" t="s">
        <v>735</v>
      </c>
    </row>
    <row r="192" spans="1:72" ht="12.95"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1065</v>
      </c>
      <c r="BH192" s="3" t="s">
        <v>1473</v>
      </c>
      <c r="BN192" s="23" t="s">
        <v>697</v>
      </c>
      <c r="BT192" t="s">
        <v>736</v>
      </c>
    </row>
    <row r="193" spans="1:74" ht="12.95" customHeight="1">
      <c r="C193" s="21"/>
      <c r="D193" t="s">
        <v>2396</v>
      </c>
      <c r="M193" s="40"/>
      <c r="N193" s="928"/>
      <c r="O193" s="928"/>
      <c r="P193" s="928"/>
      <c r="Q193" s="928"/>
      <c r="R193" s="928"/>
      <c r="S193" s="928"/>
      <c r="T193" s="1551" t="s">
        <v>2273</v>
      </c>
      <c r="U193" s="1551"/>
      <c r="V193" s="1551"/>
      <c r="W193" s="1551"/>
      <c r="X193" s="1551"/>
      <c r="Y193" s="1551"/>
      <c r="Z193" s="1551"/>
      <c r="AA193" s="1551"/>
      <c r="AB193" s="1551"/>
      <c r="AC193" s="1551"/>
      <c r="AD193" s="1551"/>
      <c r="AE193" s="1551"/>
      <c r="AF193" s="1551"/>
      <c r="AG193" s="1551"/>
      <c r="AH193" s="1551"/>
      <c r="AI193" s="1551"/>
      <c r="BC193" t="s">
        <v>1064</v>
      </c>
      <c r="BH193" s="3" t="s">
        <v>1740</v>
      </c>
      <c r="BN193" s="23" t="s">
        <v>698</v>
      </c>
      <c r="BT193" t="s">
        <v>737</v>
      </c>
    </row>
    <row r="194" spans="1:74" ht="12.95" customHeight="1">
      <c r="C194" s="21"/>
      <c r="D194" s="3" t="s">
        <v>2580</v>
      </c>
      <c r="M194" s="40"/>
      <c r="N194" s="928"/>
      <c r="O194" s="928"/>
      <c r="P194" s="928"/>
      <c r="Q194" s="928"/>
      <c r="R194" s="928"/>
      <c r="S194" s="928"/>
      <c r="AH194" s="1380" t="s">
        <v>676</v>
      </c>
      <c r="AI194" s="1380"/>
      <c r="BC194" t="s">
        <v>1473</v>
      </c>
      <c r="BN194" s="23" t="s">
        <v>699</v>
      </c>
      <c r="BT194" t="s">
        <v>738</v>
      </c>
    </row>
    <row r="195" spans="1:74" ht="12.95" customHeight="1">
      <c r="C195" s="21"/>
      <c r="D195" t="s">
        <v>332</v>
      </c>
      <c r="T195" s="1380" t="s">
        <v>552</v>
      </c>
      <c r="U195" s="1380"/>
      <c r="W195" t="s">
        <v>692</v>
      </c>
      <c r="AH195" s="1380">
        <v>11</v>
      </c>
      <c r="AI195" s="1380"/>
      <c r="BC195" t="s">
        <v>2046</v>
      </c>
      <c r="BN195" s="23" t="s">
        <v>243</v>
      </c>
      <c r="BT195" t="s">
        <v>739</v>
      </c>
    </row>
    <row r="196" spans="1:74" ht="12.95" customHeight="1">
      <c r="C196" s="21"/>
      <c r="D196" t="s">
        <v>387</v>
      </c>
      <c r="T196" s="1398" t="s">
        <v>676</v>
      </c>
      <c r="U196" s="1398"/>
      <c r="W196" t="s">
        <v>693</v>
      </c>
      <c r="AH196" s="1380">
        <v>17</v>
      </c>
      <c r="AI196" s="1380"/>
      <c r="BN196" s="23" t="s">
        <v>244</v>
      </c>
      <c r="BT196" t="s">
        <v>69</v>
      </c>
    </row>
    <row r="197" spans="1:74" ht="12.95" customHeight="1">
      <c r="C197" s="21"/>
      <c r="D197" s="3" t="s">
        <v>169</v>
      </c>
      <c r="T197" s="1398" t="s">
        <v>676</v>
      </c>
      <c r="U197" s="1398"/>
      <c r="W197" t="s">
        <v>694</v>
      </c>
      <c r="AH197" s="1380">
        <v>11</v>
      </c>
      <c r="AI197" s="1380"/>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398"/>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80" t="s">
        <v>676</v>
      </c>
      <c r="AA199" s="1380"/>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1089</v>
      </c>
      <c r="BD202" s="469"/>
      <c r="BN202" s="23" t="s">
        <v>709</v>
      </c>
      <c r="BO202" s="14"/>
      <c r="BP202" s="32"/>
      <c r="BQ202" s="32"/>
      <c r="BR202" s="32"/>
      <c r="BS202" s="32"/>
      <c r="BT202" s="32" t="s">
        <v>196</v>
      </c>
    </row>
    <row r="203" spans="1:74" ht="12.95" customHeight="1">
      <c r="A203" s="2" t="s">
        <v>593</v>
      </c>
      <c r="C203" s="2" t="s">
        <v>136</v>
      </c>
      <c r="BC203" t="s">
        <v>1090</v>
      </c>
      <c r="BN203" s="23" t="s">
        <v>710</v>
      </c>
      <c r="BO203" s="14"/>
      <c r="BP203" s="32"/>
      <c r="BQ203" s="32"/>
      <c r="BR203" s="32"/>
      <c r="BS203" s="32"/>
      <c r="BT203" s="32" t="s">
        <v>197</v>
      </c>
    </row>
    <row r="204" spans="1:74" ht="12.95" customHeight="1">
      <c r="D204" s="1508" t="s">
        <v>386</v>
      </c>
      <c r="E204" s="1508"/>
      <c r="F204" s="1508"/>
      <c r="G204" s="1508"/>
      <c r="H204" s="1508"/>
      <c r="I204" s="1508"/>
      <c r="J204" s="1508"/>
      <c r="K204" s="1508"/>
      <c r="L204" s="1508"/>
      <c r="M204" s="1508"/>
      <c r="P204" s="1559">
        <f>M26</f>
        <v>4541747</v>
      </c>
      <c r="Q204" s="1560"/>
      <c r="R204" s="1560"/>
      <c r="S204" s="1560"/>
      <c r="T204" s="1560"/>
      <c r="U204" s="1560"/>
      <c r="Z204" s="1575" t="s">
        <v>2628</v>
      </c>
      <c r="AA204" s="1575"/>
      <c r="AB204" s="1575"/>
      <c r="AC204" s="1575"/>
      <c r="AD204" s="1575"/>
      <c r="AE204" s="1575"/>
      <c r="AF204" s="1575"/>
      <c r="BC204" t="s">
        <v>617</v>
      </c>
      <c r="BN204" s="23" t="s">
        <v>711</v>
      </c>
      <c r="BT204" s="32" t="s">
        <v>198</v>
      </c>
      <c r="BU204" s="14"/>
    </row>
    <row r="205" spans="1:74" ht="12.95" customHeight="1">
      <c r="C205" s="21"/>
      <c r="D205" s="1574" t="s">
        <v>1353</v>
      </c>
      <c r="E205" s="1508"/>
      <c r="F205" s="1508"/>
      <c r="G205" s="1508"/>
      <c r="H205" s="1508"/>
      <c r="I205" s="1508"/>
      <c r="J205" s="1508"/>
      <c r="K205" s="1508"/>
      <c r="L205" s="1508"/>
      <c r="M205" s="1508"/>
      <c r="P205" s="1560">
        <f>M27</f>
        <v>3951366</v>
      </c>
      <c r="Q205" s="1560"/>
      <c r="R205" s="1560"/>
      <c r="S205" s="1560"/>
      <c r="T205" s="1560"/>
      <c r="U205" s="1560"/>
      <c r="V205" s="28"/>
      <c r="W205" s="3" t="s">
        <v>1908</v>
      </c>
      <c r="Z205" s="1575"/>
      <c r="AA205" s="1575"/>
      <c r="AB205" s="1575"/>
      <c r="AC205" s="1575"/>
      <c r="AD205" s="1575"/>
      <c r="AE205" s="1575"/>
      <c r="AF205" s="1575"/>
      <c r="AG205" t="s">
        <v>1354</v>
      </c>
      <c r="AP205" s="1380" t="s">
        <v>676</v>
      </c>
      <c r="AQ205" s="1380"/>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70" t="s">
        <v>1091</v>
      </c>
      <c r="BN206" s="23" t="s">
        <v>110</v>
      </c>
      <c r="BT206" s="32" t="s">
        <v>199</v>
      </c>
      <c r="BU206" s="14"/>
    </row>
    <row r="207" spans="1:74" ht="12.95" customHeight="1">
      <c r="A207" s="2" t="s">
        <v>596</v>
      </c>
      <c r="C207" s="2" t="s">
        <v>558</v>
      </c>
      <c r="BC207" s="3" t="s">
        <v>2570</v>
      </c>
      <c r="BN207" s="23" t="s">
        <v>45</v>
      </c>
      <c r="BT207" s="32" t="s">
        <v>200</v>
      </c>
    </row>
    <row r="208" spans="1:74" ht="12.95" customHeight="1">
      <c r="C208" s="21"/>
      <c r="D208" s="1480" t="s">
        <v>2755</v>
      </c>
      <c r="E208" s="1480"/>
      <c r="F208" s="1480"/>
      <c r="G208" s="1480"/>
      <c r="H208" s="1480"/>
      <c r="I208" s="1480"/>
      <c r="J208" s="1480"/>
      <c r="K208" s="1480"/>
      <c r="L208" s="1480"/>
      <c r="M208" s="1480"/>
      <c r="BC208" t="s">
        <v>1092</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80" t="s">
        <v>1063</v>
      </c>
      <c r="E211" s="1480"/>
      <c r="F211" s="1480"/>
      <c r="G211" s="1480"/>
      <c r="H211" s="1480"/>
      <c r="I211" s="1480"/>
      <c r="J211" s="1480"/>
      <c r="K211" s="1480"/>
      <c r="L211" s="1480"/>
      <c r="M211" s="1480"/>
      <c r="BN211" s="23" t="s">
        <v>129</v>
      </c>
      <c r="BT211" s="32" t="s">
        <v>130</v>
      </c>
    </row>
    <row r="212" spans="1:72" ht="12.95" customHeight="1">
      <c r="C212" s="21"/>
      <c r="D212" t="s">
        <v>1350</v>
      </c>
      <c r="Y212" s="1380"/>
      <c r="Z212" s="1380"/>
      <c r="AB212" s="1549">
        <f>IFERROR(Y212/AG440,"")</f>
        <v>0</v>
      </c>
      <c r="AC212" s="1550"/>
      <c r="BC212" t="s">
        <v>308</v>
      </c>
      <c r="BI212" t="s">
        <v>1288</v>
      </c>
      <c r="BN212" s="23" t="s">
        <v>49</v>
      </c>
      <c r="BT212" s="32" t="s">
        <v>204</v>
      </c>
    </row>
    <row r="213" spans="1:72" ht="12.95" customHeight="1">
      <c r="D213" s="1189" t="s">
        <v>1739</v>
      </c>
      <c r="BC213" t="s">
        <v>533</v>
      </c>
      <c r="BI213" t="s">
        <v>2628</v>
      </c>
      <c r="BN213" s="23" t="s">
        <v>50</v>
      </c>
      <c r="BT213" s="32" t="s">
        <v>205</v>
      </c>
    </row>
    <row r="214" spans="1:72" ht="12.95" customHeight="1">
      <c r="D214" s="1556" t="s">
        <v>598</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537</v>
      </c>
      <c r="BI214" t="s">
        <v>2634</v>
      </c>
      <c r="BN214" s="23" t="s">
        <v>327</v>
      </c>
      <c r="BT214" s="32" t="s">
        <v>206</v>
      </c>
    </row>
    <row r="215" spans="1:72" ht="12.95" customHeight="1">
      <c r="D215" s="3" t="s">
        <v>1764</v>
      </c>
      <c r="Z215" s="40"/>
      <c r="AB215" s="1483"/>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378</v>
      </c>
    </row>
    <row r="220" spans="1:72" ht="12.95" customHeight="1">
      <c r="A220" s="2"/>
      <c r="C220" s="2"/>
      <c r="D220" s="1480" t="s">
        <v>666</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BA220" s="3"/>
      <c r="BC220" t="s">
        <v>301</v>
      </c>
    </row>
    <row r="221" spans="1:72" ht="12.95" customHeight="1">
      <c r="A221" s="2"/>
      <c r="B221" s="14"/>
      <c r="C221" s="2"/>
      <c r="AU221" s="95"/>
      <c r="AV221" s="95"/>
      <c r="AW221" s="95"/>
      <c r="AX221" s="95"/>
      <c r="AY221" s="95"/>
      <c r="BA221" s="3"/>
    </row>
    <row r="222" spans="1:72" ht="12.95" customHeight="1">
      <c r="A222" s="1643" t="s">
        <v>547</v>
      </c>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1643"/>
      <c r="AN222" s="1643"/>
      <c r="AO222" s="1643"/>
      <c r="AP222" s="1643"/>
      <c r="AQ222" s="1643"/>
      <c r="AR222" s="1643"/>
      <c r="AS222" s="1643"/>
      <c r="AT222" s="1643"/>
      <c r="AU222" s="95"/>
      <c r="AV222" s="95"/>
      <c r="AW222" s="95"/>
      <c r="AX222" s="95"/>
      <c r="AY222" s="95"/>
      <c r="AZ222" s="3"/>
      <c r="BA222" s="3"/>
      <c r="BP222" s="34"/>
    </row>
    <row r="223" spans="1:72" ht="12.95" customHeight="1">
      <c r="A223" s="1643"/>
      <c r="B223" s="1643"/>
      <c r="C223" s="1643"/>
      <c r="D223" s="1643"/>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1643"/>
      <c r="AD223" s="1643"/>
      <c r="AE223" s="1643"/>
      <c r="AF223" s="1643"/>
      <c r="AG223" s="1643"/>
      <c r="AH223" s="1643"/>
      <c r="AI223" s="1643"/>
      <c r="AJ223" s="1643"/>
      <c r="AK223" s="1643"/>
      <c r="AL223" s="1643"/>
      <c r="AM223" s="1643"/>
      <c r="AN223" s="1643"/>
      <c r="AO223" s="1643"/>
      <c r="AP223" s="1643"/>
      <c r="AQ223" s="1643"/>
      <c r="AR223" s="1643"/>
      <c r="AS223" s="1643"/>
      <c r="AT223" s="1643"/>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598</v>
      </c>
      <c r="AJ226" s="1380"/>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598</v>
      </c>
      <c r="AJ227" s="1380"/>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552</v>
      </c>
      <c r="AJ228" s="1380"/>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598</v>
      </c>
      <c r="AJ229" s="1380"/>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3" t="str">
        <f>H16</f>
        <v>MidPen Housing Corporation</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82" t="s">
        <v>2645</v>
      </c>
      <c r="N233" s="1480"/>
      <c r="O233" s="1480"/>
      <c r="P233" s="1480"/>
      <c r="Q233" s="1480"/>
      <c r="R233" s="1480"/>
      <c r="S233" s="1480"/>
      <c r="T233" s="1480"/>
      <c r="U233" s="1480"/>
      <c r="V233" s="1480"/>
      <c r="W233" s="1480"/>
      <c r="X233" s="1480"/>
      <c r="Y233" s="1480"/>
      <c r="Z233" s="1480"/>
      <c r="AA233" s="1480"/>
      <c r="AB233" s="1480"/>
      <c r="AC233" s="1480"/>
      <c r="AD233" s="1480"/>
      <c r="AE233" s="1480"/>
      <c r="BB233" s="219" t="s">
        <v>545</v>
      </c>
      <c r="BG233" s="259">
        <f>IF(AND(AND($M$249="nonprofit",$M$257="for profit",$M$265="nonprofit")),2,0)</f>
        <v>0</v>
      </c>
    </row>
    <row r="234" spans="1:69" ht="12.95" customHeight="1">
      <c r="D234" s="4" t="s">
        <v>587</v>
      </c>
      <c r="E234" s="4"/>
      <c r="M234" s="1482" t="s">
        <v>2646</v>
      </c>
      <c r="N234" s="1480"/>
      <c r="O234" s="1480"/>
      <c r="P234" s="1480"/>
      <c r="Q234" s="1480"/>
      <c r="R234" s="1480"/>
      <c r="S234" s="1480"/>
      <c r="T234" s="1480"/>
      <c r="V234" s="33" t="s">
        <v>86</v>
      </c>
      <c r="W234" s="1481" t="s">
        <v>2647</v>
      </c>
      <c r="X234" s="1384"/>
      <c r="Y234" s="4" t="s">
        <v>590</v>
      </c>
      <c r="AC234" s="1480">
        <v>94404</v>
      </c>
      <c r="AD234" s="1480"/>
      <c r="AE234" s="1480"/>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82" t="s">
        <v>2656</v>
      </c>
      <c r="N235" s="1480"/>
      <c r="O235" s="1480"/>
      <c r="P235" s="1480"/>
      <c r="Q235" s="1480"/>
      <c r="R235" s="1480"/>
      <c r="S235" s="1480"/>
      <c r="T235" s="1480"/>
      <c r="U235" s="1480"/>
      <c r="V235" s="1480"/>
      <c r="W235" s="1480"/>
      <c r="X235" s="1480"/>
      <c r="Y235" s="1480"/>
      <c r="Z235" s="1480"/>
      <c r="AA235" s="1480"/>
      <c r="AB235" s="1480"/>
      <c r="AC235" s="1480"/>
      <c r="AD235" s="1480"/>
      <c r="AE235" s="1480"/>
      <c r="AI235" s="4"/>
      <c r="AJ235" s="4"/>
      <c r="AK235" s="4"/>
      <c r="AL235" s="4"/>
      <c r="AM235" s="4"/>
      <c r="AN235" s="4"/>
      <c r="AO235" s="4"/>
      <c r="AP235" s="4"/>
      <c r="AQ235" s="4"/>
      <c r="AR235" s="4"/>
      <c r="AS235" s="4"/>
      <c r="AT235" s="4"/>
      <c r="BB235" s="219"/>
      <c r="BG235" s="218"/>
    </row>
    <row r="236" spans="1:69" ht="12.95" customHeight="1">
      <c r="D236" s="4" t="s">
        <v>88</v>
      </c>
      <c r="E236" s="4"/>
      <c r="F236" s="4"/>
      <c r="M236" s="1489" t="s">
        <v>2657</v>
      </c>
      <c r="N236" s="1473"/>
      <c r="O236" s="1473"/>
      <c r="P236" s="1473"/>
      <c r="Q236" s="1473"/>
      <c r="R236" s="1473"/>
      <c r="S236" s="4" t="s">
        <v>207</v>
      </c>
      <c r="T236" s="4"/>
      <c r="U236" s="1384"/>
      <c r="V236" s="1384"/>
      <c r="W236" s="1384"/>
      <c r="X236" s="4" t="s">
        <v>89</v>
      </c>
      <c r="Z236" s="1473"/>
      <c r="AA236" s="1473"/>
      <c r="AB236" s="1473"/>
      <c r="AC236" s="1473"/>
      <c r="AD236" s="1473"/>
      <c r="AE236" s="1473"/>
      <c r="AU236" s="4"/>
      <c r="AV236" s="4"/>
      <c r="AW236" s="4"/>
      <c r="AX236" s="4"/>
      <c r="AY236" s="4"/>
      <c r="AZ236" s="4"/>
      <c r="BB236" s="218" t="s">
        <v>544</v>
      </c>
      <c r="BG236" s="259">
        <f>IF(AND(AND($M$249="nonprofit",$M$257="nonprofit",$M$265="(select one)")),1,0)</f>
        <v>0</v>
      </c>
    </row>
    <row r="237" spans="1:69" ht="12.95" customHeight="1">
      <c r="D237" s="4" t="s">
        <v>90</v>
      </c>
      <c r="E237" s="4"/>
      <c r="F237" s="4"/>
      <c r="M237" s="1541" t="s">
        <v>2658</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2" t="s">
        <v>378</v>
      </c>
      <c r="N238" s="1452"/>
      <c r="O238" s="1452"/>
      <c r="P238" s="1452"/>
      <c r="Q238" s="1452"/>
      <c r="R238" s="1452"/>
      <c r="S238" s="1452"/>
      <c r="T238" s="1452"/>
      <c r="U238" s="218" t="s">
        <v>920</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544</v>
      </c>
      <c r="BG238" s="259">
        <f>IF(AND(AND($M$249="nonprofit",$M$257="(select one)",$M$265="(select one)")),1,0)</f>
        <v>1</v>
      </c>
      <c r="BN238" s="34"/>
    </row>
    <row r="239" spans="1:69" ht="12.95" customHeight="1">
      <c r="D239" t="s">
        <v>538</v>
      </c>
      <c r="M239" s="1471"/>
      <c r="N239" s="1471"/>
      <c r="O239" s="1471"/>
      <c r="P239" s="1471"/>
      <c r="Q239" s="1471"/>
      <c r="R239" s="1471"/>
      <c r="S239" s="1471"/>
      <c r="T239" s="1471"/>
      <c r="U239" s="1471"/>
      <c r="V239" s="1471"/>
      <c r="W239" s="1471"/>
      <c r="X239" s="1471"/>
      <c r="Y239" s="1471"/>
      <c r="Z239" s="1471"/>
      <c r="AA239" s="1471"/>
      <c r="AB239" s="1471"/>
      <c r="AC239" s="1471"/>
      <c r="AD239" s="1471"/>
      <c r="AE239" s="1471"/>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7" t="s">
        <v>2636</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2655</v>
      </c>
      <c r="AG243" s="1543"/>
      <c r="AH243" s="1543"/>
      <c r="AI243" s="1543"/>
      <c r="AJ243" s="1543"/>
      <c r="AK243" s="1543"/>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82" t="s">
        <v>2645</v>
      </c>
      <c r="N244" s="1480"/>
      <c r="O244" s="1480"/>
      <c r="P244" s="1480"/>
      <c r="Q244" s="1480"/>
      <c r="R244" s="1480"/>
      <c r="S244" s="1480"/>
      <c r="T244" s="1480"/>
      <c r="U244" s="1480"/>
      <c r="V244" s="1480"/>
      <c r="W244" s="1480"/>
      <c r="X244" s="1480"/>
      <c r="Y244" s="1480"/>
      <c r="Z244" s="1480"/>
      <c r="AA244" s="1480"/>
      <c r="AB244" s="1480"/>
      <c r="AC244" s="1480"/>
      <c r="AD244" s="1480"/>
      <c r="AE244" s="1480"/>
      <c r="AF244" s="3" t="s">
        <v>1283</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482" t="s">
        <v>2646</v>
      </c>
      <c r="N245" s="1480"/>
      <c r="O245" s="1480"/>
      <c r="P245" s="1480"/>
      <c r="Q245" s="1480"/>
      <c r="R245" s="1480"/>
      <c r="S245" s="1480"/>
      <c r="T245" s="1480"/>
      <c r="V245" s="33" t="s">
        <v>86</v>
      </c>
      <c r="W245" s="1481" t="s">
        <v>2647</v>
      </c>
      <c r="X245" s="1384"/>
      <c r="Y245" s="4" t="s">
        <v>590</v>
      </c>
      <c r="AC245" s="1480">
        <v>94404</v>
      </c>
      <c r="AD245" s="1480"/>
      <c r="AE245" s="1480"/>
      <c r="AF245" s="3" t="s">
        <v>1284</v>
      </c>
      <c r="AU245" s="4"/>
      <c r="AV245" s="4"/>
      <c r="AW245" s="4"/>
      <c r="AX245" s="4"/>
      <c r="AY245" s="4"/>
      <c r="BB245" s="4" t="s">
        <v>281</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482" t="s">
        <v>2656</v>
      </c>
      <c r="N246" s="1480"/>
      <c r="O246" s="1480"/>
      <c r="P246" s="1480"/>
      <c r="Q246" s="1480"/>
      <c r="R246" s="1480"/>
      <c r="S246" s="1480"/>
      <c r="T246" s="1480"/>
      <c r="U246" s="1480"/>
      <c r="V246" s="1480"/>
      <c r="W246" s="1480"/>
      <c r="X246" s="1480"/>
      <c r="Y246" s="1480"/>
      <c r="Z246" s="1480"/>
      <c r="AA246" s="1480"/>
      <c r="AB246" s="1480"/>
      <c r="AC246" s="1480"/>
      <c r="AD246" s="1480"/>
      <c r="AE246" s="1480"/>
      <c r="AH246" s="1470">
        <v>0.01</v>
      </c>
      <c r="AI246" s="1470"/>
      <c r="AJ246" s="1470"/>
      <c r="AK246" s="1470"/>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89" t="s">
        <v>2657</v>
      </c>
      <c r="N247" s="1473"/>
      <c r="O247" s="1473"/>
      <c r="P247" s="1473"/>
      <c r="Q247" s="1473"/>
      <c r="R247" s="1473"/>
      <c r="S247" s="4" t="s">
        <v>207</v>
      </c>
      <c r="T247" s="4"/>
      <c r="U247" s="1384"/>
      <c r="V247" s="1384"/>
      <c r="W247" s="1384"/>
      <c r="X247" s="4" t="s">
        <v>89</v>
      </c>
      <c r="Z247" s="1473"/>
      <c r="AA247" s="1473"/>
      <c r="AB247" s="1473"/>
      <c r="AC247" s="1473"/>
      <c r="AD247" s="1473"/>
      <c r="AE247" s="1473"/>
      <c r="AU247" s="4"/>
      <c r="AV247" s="4"/>
      <c r="AW247" s="4"/>
      <c r="AX247" s="4"/>
      <c r="AY247" s="4"/>
      <c r="BG247">
        <v>0</v>
      </c>
      <c r="BH247" s="3"/>
      <c r="BN247" s="34"/>
    </row>
    <row r="248" spans="1:71" ht="12.95" customHeight="1">
      <c r="A248" s="19"/>
      <c r="B248" s="4"/>
      <c r="C248" s="4"/>
      <c r="D248" s="4" t="s">
        <v>90</v>
      </c>
      <c r="E248" s="4"/>
      <c r="F248" s="4"/>
      <c r="M248" s="1541" t="s">
        <v>2658</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2" t="s">
        <v>541</v>
      </c>
      <c r="N249" s="1452"/>
      <c r="O249" s="1452"/>
      <c r="P249" s="1452"/>
      <c r="Q249" s="1452"/>
      <c r="R249" s="1452"/>
      <c r="S249" s="1452"/>
      <c r="T249" s="1452"/>
      <c r="U249" s="218" t="s">
        <v>920</v>
      </c>
      <c r="V249" s="218"/>
      <c r="W249" s="218"/>
      <c r="X249" s="218"/>
      <c r="Y249" s="218"/>
      <c r="Z249" s="218"/>
      <c r="AA249" s="1544" t="s">
        <v>2651</v>
      </c>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43"/>
      <c r="N251" s="1543"/>
      <c r="O251" s="1543"/>
      <c r="P251" s="1543"/>
      <c r="Q251" s="1543"/>
      <c r="R251" s="1543"/>
      <c r="S251" s="1543"/>
      <c r="T251" s="1543"/>
      <c r="U251" s="1543"/>
      <c r="V251" s="1543"/>
      <c r="W251" s="1543"/>
      <c r="X251" s="1543"/>
      <c r="Y251" s="1543"/>
      <c r="Z251" s="1543"/>
      <c r="AA251" s="1543"/>
      <c r="AB251" s="1543"/>
      <c r="AC251" s="1543"/>
      <c r="AD251" s="1543"/>
      <c r="AE251" s="1543"/>
      <c r="AF251" s="1543" t="s">
        <v>308</v>
      </c>
      <c r="AG251" s="1543"/>
      <c r="AH251" s="1543"/>
      <c r="AI251" s="1543"/>
      <c r="AJ251" s="1543"/>
      <c r="AK251" s="1543"/>
      <c r="AU251" s="4"/>
      <c r="AV251" s="4"/>
      <c r="AW251" s="4"/>
      <c r="AX251" s="4"/>
      <c r="AY251" s="4"/>
      <c r="BN251" s="34"/>
    </row>
    <row r="252" spans="1:71" ht="12.95" customHeight="1">
      <c r="A252" s="19"/>
      <c r="B252" s="4"/>
      <c r="C252" s="4"/>
      <c r="D252" s="4" t="s">
        <v>85</v>
      </c>
      <c r="E252" s="4"/>
      <c r="F252" s="4"/>
      <c r="G252" s="4"/>
      <c r="H252" s="4"/>
      <c r="I252" s="4"/>
      <c r="J252" s="4"/>
      <c r="K252" s="4"/>
      <c r="L252" s="4"/>
      <c r="M252" s="1480"/>
      <c r="N252" s="1480"/>
      <c r="O252" s="1480"/>
      <c r="P252" s="1480"/>
      <c r="Q252" s="1480"/>
      <c r="R252" s="1480"/>
      <c r="S252" s="1480"/>
      <c r="T252" s="1480"/>
      <c r="U252" s="1480"/>
      <c r="V252" s="1480"/>
      <c r="W252" s="1480"/>
      <c r="X252" s="1480"/>
      <c r="Y252" s="1480"/>
      <c r="Z252" s="1480"/>
      <c r="AA252" s="1480"/>
      <c r="AB252" s="1480"/>
      <c r="AC252" s="1480"/>
      <c r="AD252" s="1480"/>
      <c r="AE252" s="1480"/>
      <c r="AF252" s="3" t="s">
        <v>1283</v>
      </c>
      <c r="AL252" s="4"/>
      <c r="AM252" s="4"/>
      <c r="AN252" s="4"/>
      <c r="AO252" s="4"/>
      <c r="AP252" s="4"/>
      <c r="AQ252" s="4"/>
      <c r="AR252" s="4"/>
      <c r="AS252" s="4"/>
      <c r="AT252" s="4"/>
      <c r="BN252" s="34"/>
    </row>
    <row r="253" spans="1:71" ht="12.95" customHeight="1">
      <c r="A253" s="19"/>
      <c r="B253" s="4"/>
      <c r="C253" s="4"/>
      <c r="D253" s="4" t="s">
        <v>587</v>
      </c>
      <c r="E253" s="4"/>
      <c r="M253" s="1480"/>
      <c r="N253" s="1480"/>
      <c r="O253" s="1480"/>
      <c r="P253" s="1480"/>
      <c r="Q253" s="1480"/>
      <c r="R253" s="1480"/>
      <c r="S253" s="1480"/>
      <c r="T253" s="1480"/>
      <c r="V253" s="33" t="s">
        <v>86</v>
      </c>
      <c r="W253" s="1384"/>
      <c r="X253" s="1384"/>
      <c r="Y253" s="4" t="s">
        <v>590</v>
      </c>
      <c r="AC253" s="1480"/>
      <c r="AD253" s="1480"/>
      <c r="AE253" s="1480"/>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80"/>
      <c r="N254" s="1480"/>
      <c r="O254" s="1480"/>
      <c r="P254" s="1480"/>
      <c r="Q254" s="1480"/>
      <c r="R254" s="1480"/>
      <c r="S254" s="1480"/>
      <c r="T254" s="1480"/>
      <c r="U254" s="1480"/>
      <c r="V254" s="1480"/>
      <c r="W254" s="1480"/>
      <c r="X254" s="1480"/>
      <c r="Y254" s="1480"/>
      <c r="Z254" s="1480"/>
      <c r="AA254" s="1480"/>
      <c r="AB254" s="1480"/>
      <c r="AC254" s="1480"/>
      <c r="AD254" s="1480"/>
      <c r="AE254" s="1480"/>
      <c r="AH254" s="1470"/>
      <c r="AI254" s="1470"/>
      <c r="AJ254" s="1470"/>
      <c r="AK254" s="1470"/>
      <c r="AL254" s="4"/>
      <c r="AM254" s="4"/>
      <c r="AN254" s="4"/>
      <c r="AO254" s="4"/>
      <c r="AP254" s="4"/>
      <c r="AQ254" s="4"/>
      <c r="AR254" s="4"/>
      <c r="AS254" s="4"/>
      <c r="AT254" s="4"/>
    </row>
    <row r="255" spans="1:71" ht="12.95" customHeight="1">
      <c r="A255" s="19"/>
      <c r="B255" s="4"/>
      <c r="C255" s="4"/>
      <c r="D255" s="4" t="s">
        <v>88</v>
      </c>
      <c r="E255" s="4"/>
      <c r="F255" s="4"/>
      <c r="M255" s="1473"/>
      <c r="N255" s="1473"/>
      <c r="O255" s="1473"/>
      <c r="P255" s="1473"/>
      <c r="Q255" s="1473"/>
      <c r="R255" s="1473"/>
      <c r="S255" s="4" t="s">
        <v>207</v>
      </c>
      <c r="T255" s="4"/>
      <c r="U255" s="1384"/>
      <c r="V255" s="1384"/>
      <c r="W255" s="1384"/>
      <c r="X255" s="4" t="s">
        <v>89</v>
      </c>
      <c r="Z255" s="1473"/>
      <c r="AA255" s="1473"/>
      <c r="AB255" s="1473"/>
      <c r="AC255" s="1473"/>
      <c r="AD255" s="1473"/>
      <c r="AE255" s="1473"/>
      <c r="AU255" s="4"/>
      <c r="AV255" s="4"/>
      <c r="AW255" s="4"/>
      <c r="AX255" s="4"/>
      <c r="AY255" s="4"/>
      <c r="BN255" s="34"/>
    </row>
    <row r="256" spans="1:71" ht="12.95" customHeight="1">
      <c r="A256" s="19"/>
      <c r="B256" s="4"/>
      <c r="C256" s="4"/>
      <c r="D256" s="4" t="s">
        <v>90</v>
      </c>
      <c r="E256" s="4"/>
      <c r="F256" s="4"/>
      <c r="M256" s="1541"/>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2" t="s">
        <v>308</v>
      </c>
      <c r="N257" s="1452"/>
      <c r="O257" s="1452"/>
      <c r="P257" s="1452"/>
      <c r="Q257" s="1452"/>
      <c r="R257" s="1452"/>
      <c r="S257" s="1452"/>
      <c r="T257" s="1452"/>
      <c r="U257" s="218" t="s">
        <v>920</v>
      </c>
      <c r="V257" s="218"/>
      <c r="W257" s="218"/>
      <c r="X257" s="218"/>
      <c r="Y257" s="218"/>
      <c r="Z257" s="218"/>
      <c r="AA257" s="1545"/>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308</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0"/>
      <c r="N261" s="1480"/>
      <c r="O261" s="1480"/>
      <c r="P261" s="1480"/>
      <c r="Q261" s="1480"/>
      <c r="R261" s="1480"/>
      <c r="S261" s="1480"/>
      <c r="T261" s="1480"/>
      <c r="V261" s="33" t="s">
        <v>86</v>
      </c>
      <c r="W261" s="1384"/>
      <c r="X261" s="1384"/>
      <c r="Y261" s="4" t="s">
        <v>590</v>
      </c>
      <c r="AC261" s="1480"/>
      <c r="AD261" s="1480"/>
      <c r="AE261" s="1480"/>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0"/>
      <c r="N262" s="1480"/>
      <c r="O262" s="1480"/>
      <c r="P262" s="1480"/>
      <c r="Q262" s="1480"/>
      <c r="R262" s="1480"/>
      <c r="S262" s="1480"/>
      <c r="T262" s="1480"/>
      <c r="U262" s="1480"/>
      <c r="V262" s="1480"/>
      <c r="W262" s="1480"/>
      <c r="X262" s="1480"/>
      <c r="Y262" s="1480"/>
      <c r="Z262" s="1480"/>
      <c r="AA262" s="1480"/>
      <c r="AB262" s="1480"/>
      <c r="AC262" s="1480"/>
      <c r="AD262" s="1480"/>
      <c r="AE262" s="1480"/>
      <c r="AH262" s="1470"/>
      <c r="AI262" s="1470"/>
      <c r="AJ262" s="1470"/>
      <c r="AK262" s="147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3"/>
      <c r="N263" s="1473"/>
      <c r="O263" s="1473"/>
      <c r="P263" s="1473"/>
      <c r="Q263" s="1473"/>
      <c r="R263" s="1473"/>
      <c r="S263" s="4" t="s">
        <v>207</v>
      </c>
      <c r="T263" s="4"/>
      <c r="U263" s="1384"/>
      <c r="V263" s="1384"/>
      <c r="W263" s="1384"/>
      <c r="X263" s="4" t="s">
        <v>89</v>
      </c>
      <c r="Z263" s="1473"/>
      <c r="AA263" s="1473"/>
      <c r="AB263" s="1473"/>
      <c r="AC263" s="1473"/>
      <c r="AD263" s="1473"/>
      <c r="AE263" s="147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2" t="s">
        <v>308</v>
      </c>
      <c r="N265" s="1452"/>
      <c r="O265" s="1452"/>
      <c r="P265" s="1452"/>
      <c r="Q265" s="1452"/>
      <c r="R265" s="1452"/>
      <c r="S265" s="1452"/>
      <c r="T265" s="1452"/>
      <c r="U265" s="218" t="s">
        <v>920</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46" t="str">
        <f>IFERROR(BO245,"")</f>
        <v>Nonprofit</v>
      </c>
      <c r="U267" s="1546"/>
      <c r="V267" s="1546"/>
      <c r="W267" s="1546"/>
      <c r="X267" s="1546"/>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80" t="s">
        <v>281</v>
      </c>
      <c r="E270" s="1480"/>
      <c r="F270" s="1480"/>
      <c r="G270" s="1480"/>
      <c r="H270" s="1480"/>
      <c r="J270" t="s">
        <v>280</v>
      </c>
      <c r="X270" s="1540"/>
      <c r="Y270" s="1540"/>
      <c r="Z270" s="1540"/>
      <c r="AA270" s="1540"/>
      <c r="AB270" s="1540"/>
      <c r="AC270" s="154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7" t="s">
        <v>2651</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2" t="s">
        <v>2659</v>
      </c>
      <c r="M275" s="1480"/>
      <c r="N275" s="1480"/>
      <c r="O275" s="1480"/>
      <c r="P275" s="1480"/>
      <c r="Q275" s="1480"/>
      <c r="R275" s="1480"/>
      <c r="S275" s="1480"/>
      <c r="T275" s="1480"/>
      <c r="U275" s="1480"/>
      <c r="V275" s="1480"/>
      <c r="W275" s="1480"/>
      <c r="X275" s="1480"/>
      <c r="Y275" s="1480"/>
      <c r="Z275" s="1480"/>
      <c r="AA275" s="1480"/>
      <c r="AB275" s="1480"/>
      <c r="AC275" s="1480"/>
      <c r="AD275" s="1480"/>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82" t="s">
        <v>2660</v>
      </c>
      <c r="M276" s="1480"/>
      <c r="N276" s="1480"/>
      <c r="O276" s="1480"/>
      <c r="P276" s="1480"/>
      <c r="Q276" s="1480"/>
      <c r="R276" s="1480"/>
      <c r="S276" s="1480"/>
      <c r="U276" s="33" t="s">
        <v>86</v>
      </c>
      <c r="V276" s="1481" t="s">
        <v>2647</v>
      </c>
      <c r="W276" s="1384"/>
      <c r="X276" s="4" t="s">
        <v>590</v>
      </c>
      <c r="AB276" s="1480">
        <v>94609</v>
      </c>
      <c r="AC276" s="1480"/>
      <c r="AD276" s="148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2" t="s">
        <v>2648</v>
      </c>
      <c r="M277" s="1480"/>
      <c r="N277" s="1480"/>
      <c r="O277" s="1480"/>
      <c r="P277" s="1480"/>
      <c r="Q277" s="1480"/>
      <c r="R277" s="1480"/>
      <c r="S277" s="1480"/>
      <c r="T277" s="1480"/>
      <c r="U277" s="1480"/>
      <c r="V277" s="1480"/>
      <c r="W277" s="1480"/>
      <c r="X277" s="1480"/>
      <c r="Y277" s="1480"/>
      <c r="Z277" s="1480"/>
      <c r="AA277" s="1480"/>
      <c r="AB277" s="1480"/>
      <c r="AC277" s="1480"/>
      <c r="AD277" s="1480"/>
      <c r="AI277" s="4"/>
      <c r="AJ277" s="4"/>
      <c r="AK277" s="3"/>
      <c r="AL277" s="3"/>
      <c r="AM277" s="3"/>
      <c r="AN277" s="3"/>
      <c r="AO277" s="3"/>
      <c r="AP277" s="3"/>
      <c r="AQ277" s="3"/>
      <c r="AR277" s="3"/>
      <c r="AS277" s="3"/>
      <c r="AT277" s="3"/>
      <c r="BN277" s="34"/>
    </row>
    <row r="278" spans="1:66" ht="12.95" customHeight="1">
      <c r="D278" s="4" t="s">
        <v>88</v>
      </c>
      <c r="E278" s="4"/>
      <c r="F278" s="4"/>
      <c r="L278" s="1489" t="s">
        <v>2654</v>
      </c>
      <c r="M278" s="1473"/>
      <c r="N278" s="1473"/>
      <c r="O278" s="1473"/>
      <c r="P278" s="1473"/>
      <c r="Q278" s="1473"/>
      <c r="R278" s="4" t="s">
        <v>207</v>
      </c>
      <c r="S278" s="4"/>
      <c r="T278" s="1384"/>
      <c r="U278" s="1384"/>
      <c r="V278" s="1384"/>
      <c r="W278" s="4" t="s">
        <v>89</v>
      </c>
      <c r="Y278" s="1473"/>
      <c r="Z278" s="1473"/>
      <c r="AA278" s="1473"/>
      <c r="AB278" s="1473"/>
      <c r="AC278" s="1473"/>
      <c r="AD278" s="1473"/>
      <c r="BN278" s="34"/>
    </row>
    <row r="279" spans="1:66" ht="12.95" customHeight="1">
      <c r="D279" s="4" t="s">
        <v>90</v>
      </c>
      <c r="E279" s="4"/>
      <c r="F279" s="4"/>
      <c r="L279" s="1541" t="s">
        <v>2653</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2.95" customHeight="1">
      <c r="D280" s="3" t="s">
        <v>630</v>
      </c>
      <c r="E280" s="3"/>
      <c r="F280" s="3"/>
      <c r="G280" s="3"/>
      <c r="H280" s="3"/>
      <c r="I280" s="3"/>
      <c r="L280" s="1481" t="s">
        <v>2661</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43" t="s">
        <v>548</v>
      </c>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1643"/>
      <c r="AN282" s="1643"/>
      <c r="AO282" s="1643"/>
      <c r="AP282" s="1643"/>
      <c r="AQ282" s="1643"/>
      <c r="AR282" s="1643"/>
      <c r="AS282" s="1643"/>
      <c r="AT282" s="1643"/>
      <c r="AU282" s="95"/>
      <c r="AV282" s="95"/>
      <c r="AW282" s="95"/>
      <c r="AX282" s="95"/>
      <c r="AY282" s="95"/>
      <c r="BN282" s="34"/>
    </row>
    <row r="283" spans="1:66" ht="12.95" customHeight="1">
      <c r="A283" s="1643"/>
      <c r="B283" s="1643"/>
      <c r="C283" s="1643"/>
      <c r="D283" s="1643"/>
      <c r="E283" s="1643"/>
      <c r="F283" s="1643"/>
      <c r="G283" s="1643"/>
      <c r="H283" s="1643"/>
      <c r="I283" s="1643"/>
      <c r="J283" s="1643"/>
      <c r="K283" s="1643"/>
      <c r="L283" s="1643"/>
      <c r="M283" s="1643"/>
      <c r="N283" s="1643"/>
      <c r="O283" s="1643"/>
      <c r="P283" s="1643"/>
      <c r="Q283" s="1643"/>
      <c r="R283" s="1643"/>
      <c r="S283" s="1643"/>
      <c r="T283" s="1643"/>
      <c r="U283" s="1643"/>
      <c r="V283" s="1643"/>
      <c r="W283" s="1643"/>
      <c r="X283" s="1643"/>
      <c r="Y283" s="1643"/>
      <c r="Z283" s="1643"/>
      <c r="AA283" s="1643"/>
      <c r="AB283" s="1643"/>
      <c r="AC283" s="1643"/>
      <c r="AD283" s="1643"/>
      <c r="AE283" s="1643"/>
      <c r="AF283" s="1643"/>
      <c r="AG283" s="1643"/>
      <c r="AH283" s="1643"/>
      <c r="AI283" s="1643"/>
      <c r="AJ283" s="1643"/>
      <c r="AK283" s="1643"/>
      <c r="AL283" s="1643"/>
      <c r="AM283" s="1643"/>
      <c r="AN283" s="1643"/>
      <c r="AO283" s="1643"/>
      <c r="AP283" s="1643"/>
      <c r="AQ283" s="1643"/>
      <c r="AR283" s="1643"/>
      <c r="AS283" s="1643"/>
      <c r="AT283" s="164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82" t="s">
        <v>2651</v>
      </c>
      <c r="I287" s="1471"/>
      <c r="J287" s="1471"/>
      <c r="K287" s="1471"/>
      <c r="L287" s="1471"/>
      <c r="M287" s="1471"/>
      <c r="N287" s="1471"/>
      <c r="O287" s="1471"/>
      <c r="P287" s="1471"/>
      <c r="Q287" s="1471"/>
      <c r="R287" s="1471"/>
      <c r="T287" s="3" t="s">
        <v>574</v>
      </c>
      <c r="V287" s="3"/>
      <c r="W287" s="3"/>
      <c r="X287" s="3"/>
      <c r="Y287" s="3"/>
      <c r="AA287" s="1482" t="s">
        <v>2663</v>
      </c>
      <c r="AB287" s="1471"/>
      <c r="AC287" s="1471"/>
      <c r="AD287" s="1471"/>
      <c r="AE287" s="1471"/>
      <c r="AF287" s="1471"/>
      <c r="AG287" s="1471"/>
      <c r="AH287" s="1471"/>
      <c r="AI287" s="1471"/>
      <c r="AJ287" s="1471"/>
      <c r="AK287" s="1471"/>
      <c r="BN287" s="34"/>
    </row>
    <row r="288" spans="1:66" ht="12.95" customHeight="1">
      <c r="B288" s="3" t="s">
        <v>478</v>
      </c>
      <c r="C288" s="3"/>
      <c r="D288" s="3"/>
      <c r="E288" s="3"/>
      <c r="F288" s="3"/>
      <c r="H288" s="1481" t="s">
        <v>2645</v>
      </c>
      <c r="I288" s="1452"/>
      <c r="J288" s="1452"/>
      <c r="K288" s="1452"/>
      <c r="L288" s="1452"/>
      <c r="M288" s="1452"/>
      <c r="N288" s="1452"/>
      <c r="O288" s="1452"/>
      <c r="P288" s="1452"/>
      <c r="Q288" s="1452"/>
      <c r="R288" s="1452"/>
      <c r="T288" s="3" t="s">
        <v>478</v>
      </c>
      <c r="V288" s="3"/>
      <c r="W288" s="3"/>
      <c r="X288" s="3"/>
      <c r="Y288" s="3"/>
      <c r="AA288" s="1481" t="s">
        <v>2664</v>
      </c>
      <c r="AB288" s="1452"/>
      <c r="AC288" s="1452"/>
      <c r="AD288" s="1452"/>
      <c r="AE288" s="1452"/>
      <c r="AF288" s="1452"/>
      <c r="AG288" s="1452"/>
      <c r="AH288" s="1452"/>
      <c r="AI288" s="1452"/>
      <c r="AJ288" s="1452"/>
      <c r="AK288" s="1452"/>
      <c r="BN288" s="34"/>
    </row>
    <row r="289" spans="2:66" ht="12.95" customHeight="1">
      <c r="B289" s="3" t="s">
        <v>479</v>
      </c>
      <c r="C289" s="3"/>
      <c r="D289" s="3"/>
      <c r="E289" s="3"/>
      <c r="F289" s="3"/>
      <c r="H289" s="1481" t="s">
        <v>2662</v>
      </c>
      <c r="I289" s="1452"/>
      <c r="J289" s="1452"/>
      <c r="K289" s="1452"/>
      <c r="L289" s="1452"/>
      <c r="M289" s="1452"/>
      <c r="N289" s="1452"/>
      <c r="O289" s="1452"/>
      <c r="P289" s="1452"/>
      <c r="Q289" s="1452"/>
      <c r="R289" s="1452"/>
      <c r="T289" s="3" t="s">
        <v>75</v>
      </c>
      <c r="V289" s="3"/>
      <c r="W289" s="3"/>
      <c r="X289" s="3"/>
      <c r="Y289" s="3"/>
      <c r="AA289" s="1481" t="s">
        <v>2665</v>
      </c>
      <c r="AB289" s="1452"/>
      <c r="AC289" s="1452"/>
      <c r="AD289" s="1452"/>
      <c r="AE289" s="1452"/>
      <c r="AF289" s="1452"/>
      <c r="AG289" s="1452"/>
      <c r="AH289" s="1452"/>
      <c r="AI289" s="1452"/>
      <c r="AJ289" s="1452"/>
      <c r="AK289" s="1452"/>
      <c r="BN289" s="34"/>
    </row>
    <row r="290" spans="2:66" ht="12.95" customHeight="1">
      <c r="B290" s="3" t="s">
        <v>87</v>
      </c>
      <c r="C290" s="3"/>
      <c r="D290" s="3"/>
      <c r="E290" s="3"/>
      <c r="F290" s="3"/>
      <c r="H290" s="1481" t="s">
        <v>2656</v>
      </c>
      <c r="I290" s="1452"/>
      <c r="J290" s="1452"/>
      <c r="K290" s="1452"/>
      <c r="L290" s="1452"/>
      <c r="M290" s="1452"/>
      <c r="N290" s="1452"/>
      <c r="O290" s="1452"/>
      <c r="P290" s="1452"/>
      <c r="Q290" s="1452"/>
      <c r="R290" s="1452"/>
      <c r="T290" s="3" t="s">
        <v>87</v>
      </c>
      <c r="V290" s="3"/>
      <c r="W290" s="3"/>
      <c r="X290" s="3"/>
      <c r="Y290" s="3"/>
      <c r="AA290" s="1481" t="s">
        <v>2666</v>
      </c>
      <c r="AB290" s="1452"/>
      <c r="AC290" s="1452"/>
      <c r="AD290" s="1452"/>
      <c r="AE290" s="1452"/>
      <c r="AF290" s="1452"/>
      <c r="AG290" s="1452"/>
      <c r="AH290" s="1452"/>
      <c r="AI290" s="1452"/>
      <c r="AJ290" s="1452"/>
      <c r="AK290" s="1452"/>
      <c r="BN290" s="34"/>
    </row>
    <row r="291" spans="2:66" ht="12.95" customHeight="1">
      <c r="B291" s="3" t="s">
        <v>88</v>
      </c>
      <c r="C291" s="3"/>
      <c r="D291" s="3"/>
      <c r="E291" s="3"/>
      <c r="F291" s="3"/>
      <c r="G291" s="3"/>
      <c r="H291" s="1526" t="s">
        <v>2657</v>
      </c>
      <c r="I291" s="1526"/>
      <c r="J291" s="1526"/>
      <c r="K291" s="1526"/>
      <c r="L291" s="1526"/>
      <c r="M291" s="1526"/>
      <c r="N291" s="4" t="s">
        <v>207</v>
      </c>
      <c r="O291" s="4"/>
      <c r="P291" s="1480"/>
      <c r="Q291" s="1480"/>
      <c r="R291" s="1480"/>
      <c r="S291" s="3"/>
      <c r="T291" s="3" t="s">
        <v>88</v>
      </c>
      <c r="V291" s="3"/>
      <c r="W291" s="3"/>
      <c r="X291" s="3"/>
      <c r="Y291" s="3"/>
      <c r="AA291" s="1525" t="s">
        <v>2667</v>
      </c>
      <c r="AB291" s="1526"/>
      <c r="AC291" s="1526"/>
      <c r="AD291" s="1526"/>
      <c r="AE291" s="1526"/>
      <c r="AF291" s="1526"/>
      <c r="AG291" s="4" t="s">
        <v>207</v>
      </c>
      <c r="AH291" s="4"/>
      <c r="AI291" s="1480"/>
      <c r="AJ291" s="1480"/>
      <c r="AK291" s="1480"/>
      <c r="BN291" s="34"/>
    </row>
    <row r="292" spans="2:66" ht="12.95" customHeight="1">
      <c r="B292" s="3" t="s">
        <v>89</v>
      </c>
      <c r="C292" s="3"/>
      <c r="D292" s="3"/>
      <c r="E292" s="3"/>
      <c r="F292" s="3"/>
      <c r="G292" s="3"/>
      <c r="H292" s="1473"/>
      <c r="I292" s="1473"/>
      <c r="J292" s="1473"/>
      <c r="K292" s="1473"/>
      <c r="L292" s="1473"/>
      <c r="M292" s="1473"/>
      <c r="N292" s="4"/>
      <c r="O292" s="4"/>
      <c r="P292" s="35"/>
      <c r="Q292" s="35"/>
      <c r="R292" s="35"/>
      <c r="S292" s="3"/>
      <c r="T292" s="3" t="s">
        <v>89</v>
      </c>
      <c r="V292" s="3"/>
      <c r="W292" s="3"/>
      <c r="X292" s="3"/>
      <c r="Y292" s="3"/>
      <c r="AA292" s="1473"/>
      <c r="AB292" s="1473"/>
      <c r="AC292" s="1473"/>
      <c r="AD292" s="1473"/>
      <c r="AE292" s="1473"/>
      <c r="AF292" s="1473"/>
      <c r="AG292" s="4"/>
      <c r="AH292" s="4"/>
      <c r="AI292" s="35"/>
      <c r="AJ292" s="35"/>
      <c r="AK292" s="35"/>
      <c r="BN292" s="34"/>
    </row>
    <row r="293" spans="2:66" ht="12.95" customHeight="1">
      <c r="B293" s="3" t="s">
        <v>76</v>
      </c>
      <c r="C293" s="3"/>
      <c r="D293" s="3"/>
      <c r="E293" s="3"/>
      <c r="F293" s="3"/>
      <c r="G293" s="3"/>
      <c r="H293" s="1452" t="s">
        <v>2658</v>
      </c>
      <c r="I293" s="1452"/>
      <c r="J293" s="1452"/>
      <c r="K293" s="1452"/>
      <c r="L293" s="1452"/>
      <c r="M293" s="1452"/>
      <c r="N293" s="1471"/>
      <c r="O293" s="1471"/>
      <c r="P293" s="1471"/>
      <c r="Q293" s="1471"/>
      <c r="R293" s="1471"/>
      <c r="S293" s="3"/>
      <c r="T293" s="3" t="s">
        <v>76</v>
      </c>
      <c r="V293" s="3"/>
      <c r="W293" s="3"/>
      <c r="X293" s="3"/>
      <c r="Y293" s="3"/>
      <c r="AA293" s="1481" t="s">
        <v>2668</v>
      </c>
      <c r="AB293" s="1452"/>
      <c r="AC293" s="1452"/>
      <c r="AD293" s="1452"/>
      <c r="AE293" s="1452"/>
      <c r="AF293" s="1452"/>
      <c r="AG293" s="1471"/>
      <c r="AH293" s="1471"/>
      <c r="AI293" s="1471"/>
      <c r="AJ293" s="1471"/>
      <c r="AK293" s="147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82" t="s">
        <v>2669</v>
      </c>
      <c r="I295" s="1471"/>
      <c r="J295" s="1471"/>
      <c r="K295" s="1471"/>
      <c r="L295" s="1471"/>
      <c r="M295" s="1471"/>
      <c r="N295" s="1471"/>
      <c r="O295" s="1471"/>
      <c r="P295" s="1471"/>
      <c r="Q295" s="1471"/>
      <c r="R295" s="1471"/>
      <c r="T295" s="3" t="s">
        <v>365</v>
      </c>
      <c r="V295" s="3"/>
      <c r="W295" s="3"/>
      <c r="X295" s="3"/>
      <c r="Y295" s="3"/>
      <c r="AA295" s="1482" t="s">
        <v>2705</v>
      </c>
      <c r="AB295" s="1471"/>
      <c r="AC295" s="1471"/>
      <c r="AD295" s="1471"/>
      <c r="AE295" s="1471"/>
      <c r="AF295" s="1471"/>
      <c r="AG295" s="1471"/>
      <c r="AH295" s="1471"/>
      <c r="AI295" s="1471"/>
      <c r="AJ295" s="1471"/>
      <c r="AK295" s="1471"/>
      <c r="BN295" s="34"/>
    </row>
    <row r="296" spans="2:66" ht="12.95" customHeight="1">
      <c r="B296" s="3" t="s">
        <v>478</v>
      </c>
      <c r="C296" s="3"/>
      <c r="D296" s="3"/>
      <c r="E296" s="3"/>
      <c r="F296" s="3"/>
      <c r="H296" s="1481" t="s">
        <v>2670</v>
      </c>
      <c r="I296" s="1452"/>
      <c r="J296" s="1452"/>
      <c r="K296" s="1452"/>
      <c r="L296" s="1452"/>
      <c r="M296" s="1452"/>
      <c r="N296" s="1452"/>
      <c r="O296" s="1452"/>
      <c r="P296" s="1452"/>
      <c r="Q296" s="1452"/>
      <c r="R296" s="1452"/>
      <c r="T296" s="3" t="s">
        <v>478</v>
      </c>
      <c r="V296" s="3"/>
      <c r="W296" s="3"/>
      <c r="X296" s="3"/>
      <c r="Y296" s="3"/>
      <c r="AA296" s="1481" t="s">
        <v>2706</v>
      </c>
      <c r="AB296" s="1452"/>
      <c r="AC296" s="1452"/>
      <c r="AD296" s="1452"/>
      <c r="AE296" s="1452"/>
      <c r="AF296" s="1452"/>
      <c r="AG296" s="1452"/>
      <c r="AH296" s="1452"/>
      <c r="AI296" s="1452"/>
      <c r="AJ296" s="1452"/>
      <c r="AK296" s="1452"/>
      <c r="BN296" s="34"/>
    </row>
    <row r="297" spans="2:66" ht="12.95" customHeight="1">
      <c r="B297" s="3" t="s">
        <v>479</v>
      </c>
      <c r="C297" s="3"/>
      <c r="D297" s="3"/>
      <c r="E297" s="3"/>
      <c r="F297" s="3"/>
      <c r="H297" s="1481" t="s">
        <v>2671</v>
      </c>
      <c r="I297" s="1452"/>
      <c r="J297" s="1452"/>
      <c r="K297" s="1452"/>
      <c r="L297" s="1452"/>
      <c r="M297" s="1452"/>
      <c r="N297" s="1452"/>
      <c r="O297" s="1452"/>
      <c r="P297" s="1452"/>
      <c r="Q297" s="1452"/>
      <c r="R297" s="1452"/>
      <c r="T297" s="3" t="s">
        <v>75</v>
      </c>
      <c r="V297" s="3"/>
      <c r="W297" s="3"/>
      <c r="X297" s="3"/>
      <c r="Y297" s="3"/>
      <c r="AA297" s="1481" t="s">
        <v>2692</v>
      </c>
      <c r="AB297" s="1452"/>
      <c r="AC297" s="1452"/>
      <c r="AD297" s="1452"/>
      <c r="AE297" s="1452"/>
      <c r="AF297" s="1452"/>
      <c r="AG297" s="1452"/>
      <c r="AH297" s="1452"/>
      <c r="AI297" s="1452"/>
      <c r="AJ297" s="1452"/>
      <c r="AK297" s="1452"/>
      <c r="BN297" s="34"/>
    </row>
    <row r="298" spans="2:66" ht="12.95" customHeight="1">
      <c r="B298" s="3" t="s">
        <v>87</v>
      </c>
      <c r="C298" s="3"/>
      <c r="D298" s="3"/>
      <c r="E298" s="3"/>
      <c r="F298" s="3"/>
      <c r="H298" s="1481" t="s">
        <v>2672</v>
      </c>
      <c r="I298" s="1452"/>
      <c r="J298" s="1452"/>
      <c r="K298" s="1452"/>
      <c r="L298" s="1452"/>
      <c r="M298" s="1452"/>
      <c r="N298" s="1452"/>
      <c r="O298" s="1452"/>
      <c r="P298" s="1452"/>
      <c r="Q298" s="1452"/>
      <c r="R298" s="1452"/>
      <c r="T298" s="3" t="s">
        <v>87</v>
      </c>
      <c r="V298" s="3"/>
      <c r="W298" s="3"/>
      <c r="X298" s="3"/>
      <c r="Y298" s="3"/>
      <c r="AA298" s="1481" t="s">
        <v>2707</v>
      </c>
      <c r="AB298" s="1452"/>
      <c r="AC298" s="1452"/>
      <c r="AD298" s="1452"/>
      <c r="AE298" s="1452"/>
      <c r="AF298" s="1452"/>
      <c r="AG298" s="1452"/>
      <c r="AH298" s="1452"/>
      <c r="AI298" s="1452"/>
      <c r="AJ298" s="1452"/>
      <c r="AK298" s="1452"/>
      <c r="BN298" s="34"/>
    </row>
    <row r="299" spans="2:66" ht="12.95" customHeight="1">
      <c r="B299" s="3" t="s">
        <v>88</v>
      </c>
      <c r="C299" s="3"/>
      <c r="D299" s="3"/>
      <c r="E299" s="3"/>
      <c r="F299" s="3"/>
      <c r="G299" s="3"/>
      <c r="H299" s="1525" t="s">
        <v>2673</v>
      </c>
      <c r="I299" s="1526"/>
      <c r="J299" s="1526"/>
      <c r="K299" s="1526"/>
      <c r="L299" s="1526"/>
      <c r="M299" s="1526"/>
      <c r="N299" s="4" t="s">
        <v>207</v>
      </c>
      <c r="O299" s="4"/>
      <c r="P299" s="1480">
        <v>6</v>
      </c>
      <c r="Q299" s="1480"/>
      <c r="R299" s="1480"/>
      <c r="S299" s="3"/>
      <c r="T299" s="3" t="s">
        <v>88</v>
      </c>
      <c r="V299" s="3"/>
      <c r="W299" s="3"/>
      <c r="X299" s="3"/>
      <c r="Y299" s="3"/>
      <c r="AA299" s="1525" t="s">
        <v>2708</v>
      </c>
      <c r="AB299" s="1526"/>
      <c r="AC299" s="1526"/>
      <c r="AD299" s="1526"/>
      <c r="AE299" s="1526"/>
      <c r="AF299" s="1526"/>
      <c r="AG299" s="4" t="s">
        <v>207</v>
      </c>
      <c r="AH299" s="4"/>
      <c r="AI299" s="1480"/>
      <c r="AJ299" s="1480"/>
      <c r="AK299" s="1480"/>
      <c r="BN299" s="34"/>
    </row>
    <row r="300" spans="2:66" ht="12.95" customHeight="1">
      <c r="B300" s="3" t="s">
        <v>89</v>
      </c>
      <c r="C300" s="3"/>
      <c r="D300" s="3"/>
      <c r="E300" s="3"/>
      <c r="F300" s="3"/>
      <c r="G300" s="3"/>
      <c r="H300" s="1489" t="s">
        <v>2674</v>
      </c>
      <c r="I300" s="1473"/>
      <c r="J300" s="1473"/>
      <c r="K300" s="1473"/>
      <c r="L300" s="1473"/>
      <c r="M300" s="1473"/>
      <c r="N300" s="4"/>
      <c r="O300" s="4"/>
      <c r="P300" s="35"/>
      <c r="Q300" s="35"/>
      <c r="R300" s="35"/>
      <c r="S300" s="3"/>
      <c r="T300" s="3" t="s">
        <v>89</v>
      </c>
      <c r="V300" s="3"/>
      <c r="W300" s="3"/>
      <c r="X300" s="3"/>
      <c r="Y300" s="3"/>
      <c r="AA300" s="1473"/>
      <c r="AB300" s="1473"/>
      <c r="AC300" s="1473"/>
      <c r="AD300" s="1473"/>
      <c r="AE300" s="1473"/>
      <c r="AF300" s="1473"/>
      <c r="AG300" s="4"/>
      <c r="AH300" s="4"/>
      <c r="AI300" s="35"/>
      <c r="AJ300" s="35"/>
      <c r="AK300" s="35"/>
      <c r="BN300" s="34"/>
    </row>
    <row r="301" spans="2:66" ht="12.95" customHeight="1">
      <c r="B301" s="3" t="s">
        <v>76</v>
      </c>
      <c r="C301" s="3"/>
      <c r="D301" s="3"/>
      <c r="E301" s="3"/>
      <c r="F301" s="3"/>
      <c r="G301" s="3"/>
      <c r="H301" s="1481" t="s">
        <v>2675</v>
      </c>
      <c r="I301" s="1452"/>
      <c r="J301" s="1452"/>
      <c r="K301" s="1452"/>
      <c r="L301" s="1452"/>
      <c r="M301" s="1452"/>
      <c r="N301" s="1471"/>
      <c r="O301" s="1471"/>
      <c r="P301" s="1471"/>
      <c r="Q301" s="1471"/>
      <c r="R301" s="1471"/>
      <c r="S301" s="3"/>
      <c r="T301" s="3" t="s">
        <v>76</v>
      </c>
      <c r="V301" s="3"/>
      <c r="W301" s="3"/>
      <c r="X301" s="3"/>
      <c r="Y301" s="3"/>
      <c r="AA301" s="1481" t="s">
        <v>2709</v>
      </c>
      <c r="AB301" s="1452"/>
      <c r="AC301" s="1452"/>
      <c r="AD301" s="1452"/>
      <c r="AE301" s="1452"/>
      <c r="AF301" s="1452"/>
      <c r="AG301" s="1471"/>
      <c r="AH301" s="1471"/>
      <c r="AI301" s="1471"/>
      <c r="AJ301" s="1471"/>
      <c r="AK301" s="1471"/>
      <c r="BN301" s="34"/>
    </row>
    <row r="302" spans="2:66" ht="12.95" customHeight="1">
      <c r="BN302" s="34"/>
    </row>
    <row r="303" spans="2:66" ht="12.95" customHeight="1">
      <c r="B303" s="3" t="s">
        <v>77</v>
      </c>
      <c r="C303" s="3"/>
      <c r="D303" s="3"/>
      <c r="E303" s="3"/>
      <c r="F303" s="3"/>
      <c r="H303" s="1482" t="s">
        <v>2669</v>
      </c>
      <c r="I303" s="1471"/>
      <c r="J303" s="1471"/>
      <c r="K303" s="1471"/>
      <c r="L303" s="1471"/>
      <c r="M303" s="1471"/>
      <c r="N303" s="1471"/>
      <c r="O303" s="1471"/>
      <c r="P303" s="1471"/>
      <c r="Q303" s="1471"/>
      <c r="R303" s="1471"/>
      <c r="T303" s="4" t="s">
        <v>889</v>
      </c>
      <c r="V303" s="3"/>
      <c r="W303" s="3"/>
      <c r="X303" s="3"/>
      <c r="Y303" s="3"/>
      <c r="AA303" s="1482" t="s">
        <v>2710</v>
      </c>
      <c r="AB303" s="1471"/>
      <c r="AC303" s="1471"/>
      <c r="AD303" s="1471"/>
      <c r="AE303" s="1471"/>
      <c r="AF303" s="1471"/>
      <c r="AG303" s="1471"/>
      <c r="AH303" s="1471"/>
      <c r="AI303" s="1471"/>
      <c r="AJ303" s="1471"/>
      <c r="AK303" s="1471"/>
      <c r="BN303" s="34"/>
    </row>
    <row r="304" spans="2:66" ht="12.95" customHeight="1">
      <c r="B304" s="3" t="s">
        <v>478</v>
      </c>
      <c r="C304" s="3"/>
      <c r="D304" s="3"/>
      <c r="E304" s="3"/>
      <c r="F304" s="3"/>
      <c r="H304" s="1481" t="s">
        <v>2670</v>
      </c>
      <c r="I304" s="1452"/>
      <c r="J304" s="1452"/>
      <c r="K304" s="1452"/>
      <c r="L304" s="1452"/>
      <c r="M304" s="1452"/>
      <c r="N304" s="1452"/>
      <c r="O304" s="1452"/>
      <c r="P304" s="1452"/>
      <c r="Q304" s="1452"/>
      <c r="R304" s="1452"/>
      <c r="T304" s="3" t="s">
        <v>478</v>
      </c>
      <c r="V304" s="3"/>
      <c r="W304" s="3"/>
      <c r="X304" s="3"/>
      <c r="Y304" s="3"/>
      <c r="AA304" s="1481" t="s">
        <v>2711</v>
      </c>
      <c r="AB304" s="1452"/>
      <c r="AC304" s="1452"/>
      <c r="AD304" s="1452"/>
      <c r="AE304" s="1452"/>
      <c r="AF304" s="1452"/>
      <c r="AG304" s="1452"/>
      <c r="AH304" s="1452"/>
      <c r="AI304" s="1452"/>
      <c r="AJ304" s="1452"/>
      <c r="AK304" s="1452"/>
      <c r="BN304" s="34"/>
    </row>
    <row r="305" spans="2:66" ht="12.95" customHeight="1">
      <c r="B305" s="3" t="s">
        <v>479</v>
      </c>
      <c r="C305" s="3"/>
      <c r="D305" s="3"/>
      <c r="E305" s="3"/>
      <c r="F305" s="3"/>
      <c r="H305" s="1481" t="s">
        <v>2671</v>
      </c>
      <c r="I305" s="1452"/>
      <c r="J305" s="1452"/>
      <c r="K305" s="1452"/>
      <c r="L305" s="1452"/>
      <c r="M305" s="1452"/>
      <c r="N305" s="1452"/>
      <c r="O305" s="1452"/>
      <c r="P305" s="1452"/>
      <c r="Q305" s="1452"/>
      <c r="R305" s="1452"/>
      <c r="T305" s="3" t="s">
        <v>75</v>
      </c>
      <c r="V305" s="3"/>
      <c r="W305" s="3"/>
      <c r="X305" s="3"/>
      <c r="Y305" s="3"/>
      <c r="AA305" s="1481" t="s">
        <v>2712</v>
      </c>
      <c r="AB305" s="1452"/>
      <c r="AC305" s="1452"/>
      <c r="AD305" s="1452"/>
      <c r="AE305" s="1452"/>
      <c r="AF305" s="1452"/>
      <c r="AG305" s="1452"/>
      <c r="AH305" s="1452"/>
      <c r="AI305" s="1452"/>
      <c r="AJ305" s="1452"/>
      <c r="AK305" s="1452"/>
      <c r="BN305" s="34"/>
    </row>
    <row r="306" spans="2:66" ht="12.95" customHeight="1">
      <c r="B306" s="3" t="s">
        <v>87</v>
      </c>
      <c r="C306" s="3"/>
      <c r="D306" s="3"/>
      <c r="E306" s="3"/>
      <c r="F306" s="3"/>
      <c r="H306" s="1452" t="s">
        <v>2672</v>
      </c>
      <c r="I306" s="1452"/>
      <c r="J306" s="1452"/>
      <c r="K306" s="1452"/>
      <c r="L306" s="1452"/>
      <c r="M306" s="1452"/>
      <c r="N306" s="1452"/>
      <c r="O306" s="1452"/>
      <c r="P306" s="1452"/>
      <c r="Q306" s="1452"/>
      <c r="R306" s="1452"/>
      <c r="T306" s="3" t="s">
        <v>87</v>
      </c>
      <c r="V306" s="3"/>
      <c r="W306" s="3"/>
      <c r="X306" s="3"/>
      <c r="Y306" s="3"/>
      <c r="AA306" s="1481" t="s">
        <v>2713</v>
      </c>
      <c r="AB306" s="1452"/>
      <c r="AC306" s="1452"/>
      <c r="AD306" s="1452"/>
      <c r="AE306" s="1452"/>
      <c r="AF306" s="1452"/>
      <c r="AG306" s="1452"/>
      <c r="AH306" s="1452"/>
      <c r="AI306" s="1452"/>
      <c r="AJ306" s="1452"/>
      <c r="AK306" s="1452"/>
      <c r="BN306" s="34"/>
    </row>
    <row r="307" spans="2:66" ht="12.95" customHeight="1">
      <c r="B307" s="3" t="s">
        <v>88</v>
      </c>
      <c r="C307" s="3"/>
      <c r="D307" s="3"/>
      <c r="E307" s="3"/>
      <c r="F307" s="3"/>
      <c r="G307" s="3"/>
      <c r="H307" s="1526" t="s">
        <v>2673</v>
      </c>
      <c r="I307" s="1526"/>
      <c r="J307" s="1526"/>
      <c r="K307" s="1526"/>
      <c r="L307" s="1526"/>
      <c r="M307" s="1526"/>
      <c r="N307" s="4" t="s">
        <v>207</v>
      </c>
      <c r="O307" s="4"/>
      <c r="P307" s="1480">
        <v>6</v>
      </c>
      <c r="Q307" s="1480"/>
      <c r="R307" s="1480"/>
      <c r="S307" s="3"/>
      <c r="T307" s="3" t="s">
        <v>88</v>
      </c>
      <c r="V307" s="3"/>
      <c r="W307" s="3"/>
      <c r="X307" s="3"/>
      <c r="Y307" s="3"/>
      <c r="AA307" s="1525" t="s">
        <v>2714</v>
      </c>
      <c r="AB307" s="1526"/>
      <c r="AC307" s="1526"/>
      <c r="AD307" s="1526"/>
      <c r="AE307" s="1526"/>
      <c r="AF307" s="1526"/>
      <c r="AG307" s="4" t="s">
        <v>207</v>
      </c>
      <c r="AH307" s="4"/>
      <c r="AI307" s="1480"/>
      <c r="AJ307" s="1480"/>
      <c r="AK307" s="1480"/>
      <c r="BN307" s="34"/>
    </row>
    <row r="308" spans="2:66" ht="12.95" customHeight="1">
      <c r="B308" s="3" t="s">
        <v>89</v>
      </c>
      <c r="C308" s="3"/>
      <c r="D308" s="3"/>
      <c r="E308" s="3"/>
      <c r="F308" s="3"/>
      <c r="G308" s="3"/>
      <c r="H308" s="1473" t="s">
        <v>2674</v>
      </c>
      <c r="I308" s="1473"/>
      <c r="J308" s="1473"/>
      <c r="K308" s="1473"/>
      <c r="L308" s="1473"/>
      <c r="M308" s="1473"/>
      <c r="N308" s="4"/>
      <c r="O308" s="4"/>
      <c r="P308" s="35"/>
      <c r="Q308" s="35"/>
      <c r="R308" s="35"/>
      <c r="S308" s="3"/>
      <c r="T308" s="3" t="s">
        <v>89</v>
      </c>
      <c r="V308" s="3"/>
      <c r="W308" s="3"/>
      <c r="X308" s="3"/>
      <c r="Y308" s="3"/>
      <c r="AA308" s="1473"/>
      <c r="AB308" s="1473"/>
      <c r="AC308" s="1473"/>
      <c r="AD308" s="1473"/>
      <c r="AE308" s="1473"/>
      <c r="AF308" s="1473"/>
      <c r="AG308" s="4"/>
      <c r="AH308" s="4"/>
      <c r="AI308" s="35"/>
      <c r="AJ308" s="35"/>
      <c r="AK308" s="35"/>
      <c r="BN308" s="34"/>
    </row>
    <row r="309" spans="2:66" ht="12.95" customHeight="1">
      <c r="B309" s="3" t="s">
        <v>76</v>
      </c>
      <c r="C309" s="3"/>
      <c r="D309" s="3"/>
      <c r="E309" s="3"/>
      <c r="F309" s="3"/>
      <c r="G309" s="3"/>
      <c r="H309" s="1452" t="s">
        <v>2675</v>
      </c>
      <c r="I309" s="1452"/>
      <c r="J309" s="1452"/>
      <c r="K309" s="1452"/>
      <c r="L309" s="1452"/>
      <c r="M309" s="1452"/>
      <c r="N309" s="1471"/>
      <c r="O309" s="1471"/>
      <c r="P309" s="1471"/>
      <c r="Q309" s="1471"/>
      <c r="R309" s="1471"/>
      <c r="S309" s="3"/>
      <c r="T309" s="3" t="s">
        <v>76</v>
      </c>
      <c r="V309" s="3"/>
      <c r="W309" s="3"/>
      <c r="X309" s="3"/>
      <c r="Y309" s="3"/>
      <c r="AA309" s="1481" t="s">
        <v>2715</v>
      </c>
      <c r="AB309" s="1452"/>
      <c r="AC309" s="1452"/>
      <c r="AD309" s="1452"/>
      <c r="AE309" s="1452"/>
      <c r="AF309" s="1452"/>
      <c r="AG309" s="1471"/>
      <c r="AH309" s="1471"/>
      <c r="AI309" s="1471"/>
      <c r="AJ309" s="1471"/>
      <c r="AK309" s="147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71" t="s">
        <v>2676</v>
      </c>
      <c r="I311" s="1471"/>
      <c r="J311" s="1471"/>
      <c r="K311" s="1471"/>
      <c r="L311" s="1471"/>
      <c r="M311" s="1471"/>
      <c r="N311" s="1471"/>
      <c r="O311" s="1471"/>
      <c r="P311" s="1471"/>
      <c r="Q311" s="1471"/>
      <c r="R311" s="1471"/>
      <c r="S311" s="3"/>
      <c r="T311" s="3" t="s">
        <v>366</v>
      </c>
      <c r="V311" s="3"/>
      <c r="W311" s="3"/>
      <c r="X311" s="3"/>
      <c r="Y311" s="3"/>
      <c r="AA311" s="1482" t="s">
        <v>2704</v>
      </c>
      <c r="AB311" s="1471"/>
      <c r="AC311" s="1471"/>
      <c r="AD311" s="1471"/>
      <c r="AE311" s="1471"/>
      <c r="AF311" s="1471"/>
      <c r="AG311" s="1471"/>
      <c r="AH311" s="1471"/>
      <c r="AI311" s="1471"/>
      <c r="AJ311" s="1471"/>
      <c r="AK311" s="1471"/>
      <c r="BN311" s="34"/>
    </row>
    <row r="312" spans="2:66" ht="12.95" customHeight="1">
      <c r="B312" s="3" t="s">
        <v>478</v>
      </c>
      <c r="C312" s="3"/>
      <c r="D312" s="3"/>
      <c r="E312" s="3"/>
      <c r="F312" s="3"/>
      <c r="H312" s="1452" t="s">
        <v>2677</v>
      </c>
      <c r="I312" s="1452"/>
      <c r="J312" s="1452"/>
      <c r="K312" s="1452"/>
      <c r="L312" s="1452"/>
      <c r="M312" s="1452"/>
      <c r="N312" s="1452"/>
      <c r="O312" s="1452"/>
      <c r="P312" s="1452"/>
      <c r="Q312" s="1452"/>
      <c r="R312" s="1452"/>
      <c r="S312" s="3"/>
      <c r="T312" s="3" t="s">
        <v>478</v>
      </c>
      <c r="V312" s="3"/>
      <c r="W312" s="3"/>
      <c r="X312" s="3"/>
      <c r="Y312" s="3"/>
      <c r="AA312" s="1452"/>
      <c r="AB312" s="1452"/>
      <c r="AC312" s="1452"/>
      <c r="AD312" s="1452"/>
      <c r="AE312" s="1452"/>
      <c r="AF312" s="1452"/>
      <c r="AG312" s="1452"/>
      <c r="AH312" s="1452"/>
      <c r="AI312" s="1452"/>
      <c r="AJ312" s="1452"/>
      <c r="AK312" s="1452"/>
      <c r="BN312" s="34"/>
    </row>
    <row r="313" spans="2:66" ht="12.95" customHeight="1">
      <c r="B313" s="3" t="s">
        <v>479</v>
      </c>
      <c r="C313" s="3"/>
      <c r="D313" s="3"/>
      <c r="E313" s="3"/>
      <c r="F313" s="3"/>
      <c r="H313" s="1452" t="s">
        <v>2678</v>
      </c>
      <c r="I313" s="1452"/>
      <c r="J313" s="1452"/>
      <c r="K313" s="1452"/>
      <c r="L313" s="1452"/>
      <c r="M313" s="1452"/>
      <c r="N313" s="1452"/>
      <c r="O313" s="1452"/>
      <c r="P313" s="1452"/>
      <c r="Q313" s="1452"/>
      <c r="R313" s="1452"/>
      <c r="S313" s="3"/>
      <c r="T313" s="3" t="s">
        <v>75</v>
      </c>
      <c r="V313" s="3"/>
      <c r="W313" s="3"/>
      <c r="X313" s="3"/>
      <c r="Y313" s="3"/>
      <c r="AA313" s="1452"/>
      <c r="AB313" s="1452"/>
      <c r="AC313" s="1452"/>
      <c r="AD313" s="1452"/>
      <c r="AE313" s="1452"/>
      <c r="AF313" s="1452"/>
      <c r="AG313" s="1452"/>
      <c r="AH313" s="1452"/>
      <c r="AI313" s="1452"/>
      <c r="AJ313" s="1452"/>
      <c r="AK313" s="1452"/>
      <c r="BN313" s="34"/>
    </row>
    <row r="314" spans="2:66" ht="12.95" customHeight="1">
      <c r="B314" s="3" t="s">
        <v>87</v>
      </c>
      <c r="C314" s="3"/>
      <c r="D314" s="3"/>
      <c r="E314" s="3"/>
      <c r="F314" s="3"/>
      <c r="H314" s="1481" t="s">
        <v>2696</v>
      </c>
      <c r="I314" s="1452"/>
      <c r="J314" s="1452"/>
      <c r="K314" s="1452"/>
      <c r="L314" s="1452"/>
      <c r="M314" s="1452"/>
      <c r="N314" s="1452"/>
      <c r="O314" s="1452"/>
      <c r="P314" s="1452"/>
      <c r="Q314" s="1452"/>
      <c r="R314" s="1452"/>
      <c r="S314" s="3"/>
      <c r="T314" s="3" t="s">
        <v>87</v>
      </c>
      <c r="V314" s="3"/>
      <c r="W314" s="3"/>
      <c r="X314" s="3"/>
      <c r="Y314" s="3"/>
      <c r="AA314" s="1452"/>
      <c r="AB314" s="1452"/>
      <c r="AC314" s="1452"/>
      <c r="AD314" s="1452"/>
      <c r="AE314" s="1452"/>
      <c r="AF314" s="1452"/>
      <c r="AG314" s="1452"/>
      <c r="AH314" s="1452"/>
      <c r="AI314" s="1452"/>
      <c r="AJ314" s="1452"/>
      <c r="AK314" s="1452"/>
      <c r="BN314" s="34"/>
    </row>
    <row r="315" spans="2:66" ht="12.95" customHeight="1">
      <c r="B315" s="3" t="s">
        <v>88</v>
      </c>
      <c r="C315" s="3"/>
      <c r="D315" s="3"/>
      <c r="E315" s="3"/>
      <c r="F315" s="3"/>
      <c r="G315" s="3"/>
      <c r="H315" s="1525" t="s">
        <v>2697</v>
      </c>
      <c r="I315" s="1526"/>
      <c r="J315" s="1526"/>
      <c r="K315" s="1526"/>
      <c r="L315" s="1526"/>
      <c r="M315" s="1526"/>
      <c r="N315" s="4" t="s">
        <v>207</v>
      </c>
      <c r="O315" s="4"/>
      <c r="P315" s="1480"/>
      <c r="Q315" s="1480"/>
      <c r="R315" s="1480"/>
      <c r="S315" s="3"/>
      <c r="T315" s="3" t="s">
        <v>88</v>
      </c>
      <c r="V315" s="3"/>
      <c r="W315" s="3"/>
      <c r="X315" s="3"/>
      <c r="Y315" s="3"/>
      <c r="AA315" s="1526"/>
      <c r="AB315" s="1526"/>
      <c r="AC315" s="1526"/>
      <c r="AD315" s="1526"/>
      <c r="AE315" s="1526"/>
      <c r="AF315" s="1526"/>
      <c r="AG315" s="4" t="s">
        <v>207</v>
      </c>
      <c r="AH315" s="4"/>
      <c r="AI315" s="1480"/>
      <c r="AJ315" s="1480"/>
      <c r="AK315" s="1480"/>
      <c r="BN315" s="34"/>
    </row>
    <row r="316" spans="2:66" ht="12.95" customHeight="1">
      <c r="B316" s="3" t="s">
        <v>89</v>
      </c>
      <c r="C316" s="3"/>
      <c r="D316" s="3"/>
      <c r="E316" s="3"/>
      <c r="F316" s="3"/>
      <c r="G316" s="3"/>
      <c r="H316" s="1473"/>
      <c r="I316" s="1473"/>
      <c r="J316" s="1473"/>
      <c r="K316" s="1473"/>
      <c r="L316" s="1473"/>
      <c r="M316" s="1473"/>
      <c r="N316" s="4"/>
      <c r="O316" s="4"/>
      <c r="P316" s="35"/>
      <c r="Q316" s="35"/>
      <c r="R316" s="35"/>
      <c r="S316" s="3"/>
      <c r="T316" s="3" t="s">
        <v>89</v>
      </c>
      <c r="V316" s="3"/>
      <c r="W316" s="3"/>
      <c r="X316" s="3"/>
      <c r="Y316" s="3"/>
      <c r="AA316" s="1473"/>
      <c r="AB316" s="1473"/>
      <c r="AC316" s="1473"/>
      <c r="AD316" s="1473"/>
      <c r="AE316" s="1473"/>
      <c r="AF316" s="1473"/>
      <c r="AG316" s="4"/>
      <c r="AH316" s="4"/>
      <c r="AI316" s="35"/>
      <c r="AJ316" s="35"/>
      <c r="AK316" s="35"/>
      <c r="BN316" s="34"/>
    </row>
    <row r="317" spans="2:66" ht="12.95" customHeight="1">
      <c r="B317" s="3" t="s">
        <v>76</v>
      </c>
      <c r="C317" s="3"/>
      <c r="D317" s="3"/>
      <c r="E317" s="3"/>
      <c r="F317" s="3"/>
      <c r="G317" s="3"/>
      <c r="H317" s="1481" t="s">
        <v>2698</v>
      </c>
      <c r="I317" s="1452"/>
      <c r="J317" s="1452"/>
      <c r="K317" s="1452"/>
      <c r="L317" s="1452"/>
      <c r="M317" s="1452"/>
      <c r="N317" s="1471"/>
      <c r="O317" s="1471"/>
      <c r="P317" s="1471"/>
      <c r="Q317" s="1471"/>
      <c r="R317" s="1471"/>
      <c r="S317" s="3"/>
      <c r="T317" s="3" t="s">
        <v>76</v>
      </c>
      <c r="V317" s="3"/>
      <c r="W317" s="3"/>
      <c r="X317" s="3"/>
      <c r="Y317" s="3"/>
      <c r="AA317" s="1452"/>
      <c r="AB317" s="1452"/>
      <c r="AC317" s="1452"/>
      <c r="AD317" s="1452"/>
      <c r="AE317" s="1452"/>
      <c r="AF317" s="1452"/>
      <c r="AG317" s="1471"/>
      <c r="AH317" s="1471"/>
      <c r="AI317" s="1471"/>
      <c r="AJ317" s="1471"/>
      <c r="AK317" s="1471"/>
      <c r="BN317" s="34"/>
    </row>
    <row r="318" spans="2:66" ht="12.95" customHeight="1">
      <c r="BN318" s="34"/>
    </row>
    <row r="319" spans="2:66" ht="12.95" customHeight="1">
      <c r="B319" s="4" t="s">
        <v>922</v>
      </c>
      <c r="C319" s="3"/>
      <c r="D319" s="3"/>
      <c r="E319" s="3"/>
      <c r="F319" s="3"/>
      <c r="H319" s="1482" t="s">
        <v>2690</v>
      </c>
      <c r="I319" s="1471"/>
      <c r="J319" s="1471"/>
      <c r="K319" s="1471"/>
      <c r="L319" s="1471"/>
      <c r="M319" s="1471"/>
      <c r="N319" s="1471"/>
      <c r="O319" s="1471"/>
      <c r="P319" s="1471"/>
      <c r="Q319" s="1471"/>
      <c r="R319" s="1471"/>
      <c r="T319" s="3" t="s">
        <v>367</v>
      </c>
      <c r="V319" s="3"/>
      <c r="W319" s="3"/>
      <c r="X319" s="3"/>
      <c r="Y319" s="3"/>
      <c r="AA319" s="1482" t="s">
        <v>2683</v>
      </c>
      <c r="AB319" s="1471"/>
      <c r="AC319" s="1471"/>
      <c r="AD319" s="1471"/>
      <c r="AE319" s="1471"/>
      <c r="AF319" s="1471"/>
      <c r="AG319" s="1471"/>
      <c r="AH319" s="1471"/>
      <c r="AI319" s="1471"/>
      <c r="AJ319" s="1471"/>
      <c r="AK319" s="1471"/>
      <c r="BN319" s="34"/>
    </row>
    <row r="320" spans="2:66" ht="12.95" customHeight="1">
      <c r="B320" s="3" t="s">
        <v>478</v>
      </c>
      <c r="C320" s="3"/>
      <c r="D320" s="3"/>
      <c r="E320" s="3"/>
      <c r="F320" s="3"/>
      <c r="H320" s="1452" t="s">
        <v>2691</v>
      </c>
      <c r="I320" s="1452"/>
      <c r="J320" s="1452"/>
      <c r="K320" s="1452"/>
      <c r="L320" s="1452"/>
      <c r="M320" s="1452"/>
      <c r="N320" s="1452"/>
      <c r="O320" s="1452"/>
      <c r="P320" s="1452"/>
      <c r="Q320" s="1452"/>
      <c r="R320" s="1452"/>
      <c r="T320" s="3" t="s">
        <v>478</v>
      </c>
      <c r="V320" s="3"/>
      <c r="W320" s="3"/>
      <c r="X320" s="3"/>
      <c r="Y320" s="3"/>
      <c r="AA320" s="1481" t="s">
        <v>2684</v>
      </c>
      <c r="AB320" s="1452"/>
      <c r="AC320" s="1452"/>
      <c r="AD320" s="1452"/>
      <c r="AE320" s="1452"/>
      <c r="AF320" s="1452"/>
      <c r="AG320" s="1452"/>
      <c r="AH320" s="1452"/>
      <c r="AI320" s="1452"/>
      <c r="AJ320" s="1452"/>
      <c r="AK320" s="1452"/>
      <c r="BN320" s="34"/>
    </row>
    <row r="321" spans="2:66" ht="12.95" customHeight="1">
      <c r="B321" s="3" t="s">
        <v>479</v>
      </c>
      <c r="C321" s="3"/>
      <c r="D321" s="3"/>
      <c r="E321" s="3"/>
      <c r="F321" s="3"/>
      <c r="H321" s="1452" t="s">
        <v>2692</v>
      </c>
      <c r="I321" s="1452"/>
      <c r="J321" s="1452"/>
      <c r="K321" s="1452"/>
      <c r="L321" s="1452"/>
      <c r="M321" s="1452"/>
      <c r="N321" s="1452"/>
      <c r="O321" s="1452"/>
      <c r="P321" s="1452"/>
      <c r="Q321" s="1452"/>
      <c r="R321" s="1452"/>
      <c r="T321" s="3" t="s">
        <v>75</v>
      </c>
      <c r="V321" s="3"/>
      <c r="W321" s="3"/>
      <c r="X321" s="3"/>
      <c r="Y321" s="3"/>
      <c r="AA321" s="1481" t="s">
        <v>2685</v>
      </c>
      <c r="AB321" s="1452"/>
      <c r="AC321" s="1452"/>
      <c r="AD321" s="1452"/>
      <c r="AE321" s="1452"/>
      <c r="AF321" s="1452"/>
      <c r="AG321" s="1452"/>
      <c r="AH321" s="1452"/>
      <c r="AI321" s="1452"/>
      <c r="AJ321" s="1452"/>
      <c r="AK321" s="1452"/>
      <c r="BN321" s="34"/>
    </row>
    <row r="322" spans="2:66" ht="12.95" customHeight="1">
      <c r="B322" s="3" t="s">
        <v>87</v>
      </c>
      <c r="C322" s="3"/>
      <c r="D322" s="3"/>
      <c r="E322" s="3"/>
      <c r="F322" s="3"/>
      <c r="H322" s="1481" t="s">
        <v>2693</v>
      </c>
      <c r="I322" s="1452"/>
      <c r="J322" s="1452"/>
      <c r="K322" s="1452"/>
      <c r="L322" s="1452"/>
      <c r="M322" s="1452"/>
      <c r="N322" s="1452"/>
      <c r="O322" s="1452"/>
      <c r="P322" s="1452"/>
      <c r="Q322" s="1452"/>
      <c r="R322" s="1452"/>
      <c r="T322" s="3" t="s">
        <v>87</v>
      </c>
      <c r="V322" s="3"/>
      <c r="W322" s="3"/>
      <c r="X322" s="3"/>
      <c r="Y322" s="3"/>
      <c r="AA322" s="1481" t="s">
        <v>2686</v>
      </c>
      <c r="AB322" s="1452"/>
      <c r="AC322" s="1452"/>
      <c r="AD322" s="1452"/>
      <c r="AE322" s="1452"/>
      <c r="AF322" s="1452"/>
      <c r="AG322" s="1452"/>
      <c r="AH322" s="1452"/>
      <c r="AI322" s="1452"/>
      <c r="AJ322" s="1452"/>
      <c r="AK322" s="1452"/>
      <c r="BN322" s="34"/>
    </row>
    <row r="323" spans="2:66" ht="12.95" customHeight="1">
      <c r="B323" s="3" t="s">
        <v>88</v>
      </c>
      <c r="C323" s="3"/>
      <c r="D323" s="3"/>
      <c r="E323" s="3"/>
      <c r="F323" s="3"/>
      <c r="G323" s="3"/>
      <c r="H323" s="1525" t="s">
        <v>2694</v>
      </c>
      <c r="I323" s="1526"/>
      <c r="J323" s="1526"/>
      <c r="K323" s="1526"/>
      <c r="L323" s="1526"/>
      <c r="M323" s="1526"/>
      <c r="N323" s="4" t="s">
        <v>207</v>
      </c>
      <c r="O323" s="4"/>
      <c r="P323" s="1480"/>
      <c r="Q323" s="1480"/>
      <c r="R323" s="1480"/>
      <c r="S323" s="3"/>
      <c r="T323" s="3" t="s">
        <v>88</v>
      </c>
      <c r="V323" s="3"/>
      <c r="W323" s="3"/>
      <c r="X323" s="3"/>
      <c r="Y323" s="3"/>
      <c r="AA323" s="1525" t="s">
        <v>2687</v>
      </c>
      <c r="AB323" s="1526"/>
      <c r="AC323" s="1526"/>
      <c r="AD323" s="1526"/>
      <c r="AE323" s="1526"/>
      <c r="AF323" s="1526"/>
      <c r="AG323" s="4" t="s">
        <v>207</v>
      </c>
      <c r="AH323" s="4"/>
      <c r="AI323" s="1480"/>
      <c r="AJ323" s="1480"/>
      <c r="AK323" s="1480"/>
    </row>
    <row r="324" spans="2:66" ht="12.95" customHeight="1">
      <c r="B324" s="3" t="s">
        <v>89</v>
      </c>
      <c r="C324" s="3"/>
      <c r="D324" s="3"/>
      <c r="E324" s="3"/>
      <c r="F324" s="3"/>
      <c r="G324" s="3"/>
      <c r="H324" s="1473"/>
      <c r="I324" s="1473"/>
      <c r="J324" s="1473"/>
      <c r="K324" s="1473"/>
      <c r="L324" s="1473"/>
      <c r="M324" s="1473"/>
      <c r="N324" s="4"/>
      <c r="O324" s="4"/>
      <c r="P324" s="35"/>
      <c r="Q324" s="35"/>
      <c r="R324" s="35"/>
      <c r="S324" s="3"/>
      <c r="T324" s="3" t="s">
        <v>89</v>
      </c>
      <c r="V324" s="3"/>
      <c r="W324" s="3"/>
      <c r="X324" s="3"/>
      <c r="Y324" s="3"/>
      <c r="AA324" s="1489" t="s">
        <v>2688</v>
      </c>
      <c r="AB324" s="1473"/>
      <c r="AC324" s="1473"/>
      <c r="AD324" s="1473"/>
      <c r="AE324" s="1473"/>
      <c r="AF324" s="1473"/>
      <c r="AG324" s="4"/>
      <c r="AH324" s="4"/>
      <c r="AI324" s="35"/>
      <c r="AJ324" s="35"/>
      <c r="AK324" s="35"/>
    </row>
    <row r="325" spans="2:66" ht="12.95" customHeight="1">
      <c r="B325" s="3" t="s">
        <v>76</v>
      </c>
      <c r="C325" s="3"/>
      <c r="D325" s="3"/>
      <c r="E325" s="3"/>
      <c r="F325" s="3"/>
      <c r="G325" s="3"/>
      <c r="H325" s="1481" t="s">
        <v>2695</v>
      </c>
      <c r="I325" s="1452"/>
      <c r="J325" s="1452"/>
      <c r="K325" s="1452"/>
      <c r="L325" s="1452"/>
      <c r="M325" s="1452"/>
      <c r="N325" s="1471"/>
      <c r="O325" s="1471"/>
      <c r="P325" s="1471"/>
      <c r="Q325" s="1471"/>
      <c r="R325" s="1471"/>
      <c r="S325" s="3"/>
      <c r="T325" s="3" t="s">
        <v>76</v>
      </c>
      <c r="V325" s="3"/>
      <c r="W325" s="3"/>
      <c r="X325" s="3"/>
      <c r="Y325" s="3"/>
      <c r="AA325" s="1481" t="s">
        <v>2689</v>
      </c>
      <c r="AB325" s="1452"/>
      <c r="AC325" s="1452"/>
      <c r="AD325" s="1452"/>
      <c r="AE325" s="1452"/>
      <c r="AF325" s="1452"/>
      <c r="AG325" s="1471"/>
      <c r="AH325" s="1471"/>
      <c r="AI325" s="1471"/>
      <c r="AJ325" s="1471"/>
      <c r="AK325" s="147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82" t="s">
        <v>2736</v>
      </c>
      <c r="I327" s="1471"/>
      <c r="J327" s="1471"/>
      <c r="K327" s="1471"/>
      <c r="L327" s="1471"/>
      <c r="M327" s="1471"/>
      <c r="N327" s="1471"/>
      <c r="O327" s="1471"/>
      <c r="P327" s="1471"/>
      <c r="Q327" s="1471"/>
      <c r="R327" s="1471"/>
      <c r="T327" s="3" t="s">
        <v>369</v>
      </c>
      <c r="V327" s="3"/>
      <c r="W327" s="3"/>
      <c r="X327" s="3"/>
      <c r="Y327" s="3"/>
      <c r="AA327" s="1482" t="s">
        <v>598</v>
      </c>
      <c r="AB327" s="1471"/>
      <c r="AC327" s="1471"/>
      <c r="AD327" s="1471"/>
      <c r="AE327" s="1471"/>
      <c r="AF327" s="1471"/>
      <c r="AG327" s="1471"/>
      <c r="AH327" s="1471"/>
      <c r="AI327" s="1471"/>
      <c r="AJ327" s="1471"/>
      <c r="AK327" s="1471"/>
    </row>
    <row r="328" spans="2:66" ht="12.95" customHeight="1">
      <c r="B328" s="3" t="s">
        <v>478</v>
      </c>
      <c r="C328" s="3"/>
      <c r="D328" s="3"/>
      <c r="E328" s="3"/>
      <c r="F328" s="3"/>
      <c r="H328" s="1481" t="s">
        <v>2737</v>
      </c>
      <c r="I328" s="1452"/>
      <c r="J328" s="1452"/>
      <c r="K328" s="1452"/>
      <c r="L328" s="1452"/>
      <c r="M328" s="1452"/>
      <c r="N328" s="1452"/>
      <c r="O328" s="1452"/>
      <c r="P328" s="1452"/>
      <c r="Q328" s="1452"/>
      <c r="R328" s="1452"/>
      <c r="T328" s="3" t="s">
        <v>478</v>
      </c>
      <c r="V328" s="3"/>
      <c r="W328" s="3"/>
      <c r="X328" s="3"/>
      <c r="Y328" s="3"/>
      <c r="AA328" s="1452"/>
      <c r="AB328" s="1452"/>
      <c r="AC328" s="1452"/>
      <c r="AD328" s="1452"/>
      <c r="AE328" s="1452"/>
      <c r="AF328" s="1452"/>
      <c r="AG328" s="1452"/>
      <c r="AH328" s="1452"/>
      <c r="AI328" s="1452"/>
      <c r="AJ328" s="1452"/>
      <c r="AK328" s="1452"/>
    </row>
    <row r="329" spans="2:66" ht="12.95" customHeight="1">
      <c r="B329" s="3" t="s">
        <v>479</v>
      </c>
      <c r="C329" s="3"/>
      <c r="D329" s="3"/>
      <c r="E329" s="3"/>
      <c r="F329" s="3"/>
      <c r="H329" s="1481" t="s">
        <v>2738</v>
      </c>
      <c r="I329" s="1452"/>
      <c r="J329" s="1452"/>
      <c r="K329" s="1452"/>
      <c r="L329" s="1452"/>
      <c r="M329" s="1452"/>
      <c r="N329" s="1452"/>
      <c r="O329" s="1452"/>
      <c r="P329" s="1452"/>
      <c r="Q329" s="1452"/>
      <c r="R329" s="1452"/>
      <c r="T329" s="3" t="s">
        <v>75</v>
      </c>
      <c r="V329" s="3"/>
      <c r="W329" s="3"/>
      <c r="X329" s="3"/>
      <c r="Y329" s="3"/>
      <c r="AA329" s="1452"/>
      <c r="AB329" s="1452"/>
      <c r="AC329" s="1452"/>
      <c r="AD329" s="1452"/>
      <c r="AE329" s="1452"/>
      <c r="AF329" s="1452"/>
      <c r="AG329" s="1452"/>
      <c r="AH329" s="1452"/>
      <c r="AI329" s="1452"/>
      <c r="AJ329" s="1452"/>
      <c r="AK329" s="1452"/>
    </row>
    <row r="330" spans="2:66" ht="12.95" customHeight="1">
      <c r="B330" s="3" t="s">
        <v>87</v>
      </c>
      <c r="C330" s="3"/>
      <c r="D330" s="3"/>
      <c r="E330" s="3"/>
      <c r="F330" s="3"/>
      <c r="H330" s="1481" t="s">
        <v>2739</v>
      </c>
      <c r="I330" s="1452"/>
      <c r="J330" s="1452"/>
      <c r="K330" s="1452"/>
      <c r="L330" s="1452"/>
      <c r="M330" s="1452"/>
      <c r="N330" s="1452"/>
      <c r="O330" s="1452"/>
      <c r="P330" s="1452"/>
      <c r="Q330" s="1452"/>
      <c r="R330" s="1452"/>
      <c r="T330" s="3" t="s">
        <v>87</v>
      </c>
      <c r="V330" s="3"/>
      <c r="W330" s="3"/>
      <c r="X330" s="3"/>
      <c r="Y330" s="3"/>
      <c r="AA330" s="1452"/>
      <c r="AB330" s="1452"/>
      <c r="AC330" s="1452"/>
      <c r="AD330" s="1452"/>
      <c r="AE330" s="1452"/>
      <c r="AF330" s="1452"/>
      <c r="AG330" s="1452"/>
      <c r="AH330" s="1452"/>
      <c r="AI330" s="1452"/>
      <c r="AJ330" s="1452"/>
      <c r="AK330" s="1452"/>
    </row>
    <row r="331" spans="2:66" ht="12.95" customHeight="1">
      <c r="B331" s="3" t="s">
        <v>88</v>
      </c>
      <c r="C331" s="3"/>
      <c r="D331" s="3"/>
      <c r="E331" s="3"/>
      <c r="F331" s="3"/>
      <c r="G331" s="3"/>
      <c r="H331" s="1525" t="s">
        <v>2740</v>
      </c>
      <c r="I331" s="1526"/>
      <c r="J331" s="1526"/>
      <c r="K331" s="1526"/>
      <c r="L331" s="1526"/>
      <c r="M331" s="1526"/>
      <c r="N331" s="4" t="s">
        <v>207</v>
      </c>
      <c r="O331" s="4"/>
      <c r="P331" s="1480"/>
      <c r="Q331" s="1480"/>
      <c r="R331" s="1480"/>
      <c r="S331" s="3"/>
      <c r="T331" s="3" t="s">
        <v>88</v>
      </c>
      <c r="V331" s="3"/>
      <c r="W331" s="3"/>
      <c r="X331" s="3"/>
      <c r="Y331" s="3"/>
      <c r="AA331" s="1526"/>
      <c r="AB331" s="1526"/>
      <c r="AC331" s="1526"/>
      <c r="AD331" s="1526"/>
      <c r="AE331" s="1526"/>
      <c r="AF331" s="1526"/>
      <c r="AG331" s="4" t="s">
        <v>207</v>
      </c>
      <c r="AH331" s="4"/>
      <c r="AI331" s="1480"/>
      <c r="AJ331" s="1480"/>
      <c r="AK331" s="1480"/>
    </row>
    <row r="332" spans="2:66" ht="12.95" customHeight="1">
      <c r="B332" s="3" t="s">
        <v>89</v>
      </c>
      <c r="C332" s="3"/>
      <c r="D332" s="3"/>
      <c r="E332" s="3"/>
      <c r="F332" s="3"/>
      <c r="G332" s="3"/>
      <c r="H332" s="1473"/>
      <c r="I332" s="1473"/>
      <c r="J332" s="1473"/>
      <c r="K332" s="1473"/>
      <c r="L332" s="1473"/>
      <c r="M332" s="1473"/>
      <c r="N332" s="4"/>
      <c r="O332" s="4"/>
      <c r="P332" s="35"/>
      <c r="Q332" s="35"/>
      <c r="R332" s="35"/>
      <c r="S332" s="3"/>
      <c r="T332" s="3" t="s">
        <v>89</v>
      </c>
      <c r="V332" s="3"/>
      <c r="W332" s="3"/>
      <c r="X332" s="3"/>
      <c r="Y332" s="3"/>
      <c r="AA332" s="1473"/>
      <c r="AB332" s="1473"/>
      <c r="AC332" s="1473"/>
      <c r="AD332" s="1473"/>
      <c r="AE332" s="1473"/>
      <c r="AF332" s="1473"/>
      <c r="AG332" s="4"/>
      <c r="AH332" s="4"/>
      <c r="AI332" s="35"/>
      <c r="AJ332" s="35"/>
      <c r="AK332" s="35"/>
    </row>
    <row r="333" spans="2:66" ht="12.95" customHeight="1">
      <c r="B333" s="3" t="s">
        <v>76</v>
      </c>
      <c r="C333" s="3"/>
      <c r="D333" s="3"/>
      <c r="E333" s="3"/>
      <c r="F333" s="3"/>
      <c r="G333" s="3"/>
      <c r="H333" s="1481" t="s">
        <v>2741</v>
      </c>
      <c r="I333" s="1452"/>
      <c r="J333" s="1452"/>
      <c r="K333" s="1452"/>
      <c r="L333" s="1452"/>
      <c r="M333" s="1452"/>
      <c r="N333" s="1471"/>
      <c r="O333" s="1471"/>
      <c r="P333" s="1471"/>
      <c r="Q333" s="1471"/>
      <c r="R333" s="1471"/>
      <c r="S333" s="3"/>
      <c r="T333" s="3" t="s">
        <v>76</v>
      </c>
      <c r="V333" s="3"/>
      <c r="W333" s="3"/>
      <c r="X333" s="3"/>
      <c r="Y333" s="3"/>
      <c r="AA333" s="1452"/>
      <c r="AB333" s="1452"/>
      <c r="AC333" s="1452"/>
      <c r="AD333" s="1452"/>
      <c r="AE333" s="1452"/>
      <c r="AF333" s="1452"/>
      <c r="AG333" s="1471"/>
      <c r="AH333" s="1471"/>
      <c r="AI333" s="1471"/>
      <c r="AJ333" s="1471"/>
      <c r="AK333" s="147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82" t="s">
        <v>2699</v>
      </c>
      <c r="I335" s="1471"/>
      <c r="J335" s="1471"/>
      <c r="K335" s="1471"/>
      <c r="L335" s="1471"/>
      <c r="M335" s="1471"/>
      <c r="N335" s="1471"/>
      <c r="O335" s="1471"/>
      <c r="P335" s="1471"/>
      <c r="Q335" s="1471"/>
      <c r="R335" s="1471"/>
      <c r="T335" s="218" t="s">
        <v>898</v>
      </c>
      <c r="V335" s="3"/>
      <c r="W335" s="3"/>
      <c r="X335" s="3"/>
      <c r="Y335" s="3"/>
      <c r="AA335" s="1482" t="s">
        <v>2679</v>
      </c>
      <c r="AB335" s="1471"/>
      <c r="AC335" s="1471"/>
      <c r="AD335" s="1471"/>
      <c r="AE335" s="1471"/>
      <c r="AF335" s="1471"/>
      <c r="AG335" s="1471"/>
      <c r="AH335" s="1471"/>
      <c r="AI335" s="1471"/>
      <c r="AJ335" s="1471"/>
      <c r="AK335" s="1471"/>
    </row>
    <row r="336" spans="2:66" ht="12.95" customHeight="1">
      <c r="B336" s="3" t="s">
        <v>478</v>
      </c>
      <c r="C336" s="3"/>
      <c r="D336" s="3"/>
      <c r="E336" s="3"/>
      <c r="F336" s="3"/>
      <c r="H336" s="1481" t="s">
        <v>2700</v>
      </c>
      <c r="I336" s="1452"/>
      <c r="J336" s="1452"/>
      <c r="K336" s="1452"/>
      <c r="L336" s="1452"/>
      <c r="M336" s="1452"/>
      <c r="N336" s="1452"/>
      <c r="O336" s="1452"/>
      <c r="P336" s="1452"/>
      <c r="Q336" s="1452"/>
      <c r="R336" s="1452"/>
      <c r="T336" s="3" t="s">
        <v>478</v>
      </c>
      <c r="V336" s="3"/>
      <c r="W336" s="3"/>
      <c r="X336" s="3"/>
      <c r="Y336" s="3"/>
      <c r="AA336" s="1481" t="s">
        <v>2645</v>
      </c>
      <c r="AB336" s="1452"/>
      <c r="AC336" s="1452"/>
      <c r="AD336" s="1452"/>
      <c r="AE336" s="1452"/>
      <c r="AF336" s="1452"/>
      <c r="AG336" s="1452"/>
      <c r="AH336" s="1452"/>
      <c r="AI336" s="1452"/>
      <c r="AJ336" s="1452"/>
      <c r="AK336" s="1452"/>
    </row>
    <row r="337" spans="1:66" ht="12.95" customHeight="1">
      <c r="B337" s="3" t="s">
        <v>75</v>
      </c>
      <c r="C337" s="3"/>
      <c r="D337" s="3"/>
      <c r="E337" s="3"/>
      <c r="F337" s="3"/>
      <c r="H337" s="1481" t="s">
        <v>2701</v>
      </c>
      <c r="I337" s="1452"/>
      <c r="J337" s="1452"/>
      <c r="K337" s="1452"/>
      <c r="L337" s="1452"/>
      <c r="M337" s="1452"/>
      <c r="N337" s="1452"/>
      <c r="O337" s="1452"/>
      <c r="P337" s="1452"/>
      <c r="Q337" s="1452"/>
      <c r="R337" s="1452"/>
      <c r="T337" s="3" t="s">
        <v>75</v>
      </c>
      <c r="V337" s="3"/>
      <c r="W337" s="3"/>
      <c r="X337" s="3"/>
      <c r="Y337" s="3"/>
      <c r="AA337" s="1481" t="s">
        <v>2662</v>
      </c>
      <c r="AB337" s="1452"/>
      <c r="AC337" s="1452"/>
      <c r="AD337" s="1452"/>
      <c r="AE337" s="1452"/>
      <c r="AF337" s="1452"/>
      <c r="AG337" s="1452"/>
      <c r="AH337" s="1452"/>
      <c r="AI337" s="1452"/>
      <c r="AJ337" s="1452"/>
      <c r="AK337" s="1452"/>
    </row>
    <row r="338" spans="1:66" ht="12.95" customHeight="1">
      <c r="B338" s="3" t="s">
        <v>87</v>
      </c>
      <c r="C338" s="3"/>
      <c r="D338" s="3"/>
      <c r="E338" s="3"/>
      <c r="F338" s="3"/>
      <c r="G338" s="3"/>
      <c r="H338" s="1481" t="s">
        <v>2702</v>
      </c>
      <c r="I338" s="1452"/>
      <c r="J338" s="1452"/>
      <c r="K338" s="1452"/>
      <c r="L338" s="1452"/>
      <c r="M338" s="1452"/>
      <c r="N338" s="1452"/>
      <c r="O338" s="1452"/>
      <c r="P338" s="1452"/>
      <c r="Q338" s="1452"/>
      <c r="R338" s="1452"/>
      <c r="T338" s="3" t="s">
        <v>87</v>
      </c>
      <c r="V338" s="3"/>
      <c r="W338" s="3"/>
      <c r="X338" s="3"/>
      <c r="Y338" s="3"/>
      <c r="AA338" s="1481" t="s">
        <v>2680</v>
      </c>
      <c r="AB338" s="1452"/>
      <c r="AC338" s="1452"/>
      <c r="AD338" s="1452"/>
      <c r="AE338" s="1452"/>
      <c r="AF338" s="1452"/>
      <c r="AG338" s="1452"/>
      <c r="AH338" s="1452"/>
      <c r="AI338" s="1452"/>
      <c r="AJ338" s="1452"/>
      <c r="AK338" s="1452"/>
    </row>
    <row r="339" spans="1:66" ht="12.95" customHeight="1">
      <c r="B339" s="3" t="s">
        <v>88</v>
      </c>
      <c r="C339" s="3"/>
      <c r="D339" s="3"/>
      <c r="E339" s="3"/>
      <c r="F339" s="3"/>
      <c r="G339" s="3"/>
      <c r="H339" s="1525" t="s">
        <v>2756</v>
      </c>
      <c r="I339" s="1526"/>
      <c r="J339" s="1526"/>
      <c r="K339" s="1526"/>
      <c r="L339" s="1526"/>
      <c r="M339" s="1526"/>
      <c r="N339" s="4" t="s">
        <v>207</v>
      </c>
      <c r="O339" s="4"/>
      <c r="P339" s="1480"/>
      <c r="Q339" s="1480"/>
      <c r="R339" s="1480"/>
      <c r="S339" s="3"/>
      <c r="T339" s="3" t="s">
        <v>88</v>
      </c>
      <c r="V339" s="3"/>
      <c r="W339" s="3"/>
      <c r="X339" s="3"/>
      <c r="Y339" s="3"/>
      <c r="AA339" s="1525" t="s">
        <v>2681</v>
      </c>
      <c r="AB339" s="1526"/>
      <c r="AC339" s="1526"/>
      <c r="AD339" s="1526"/>
      <c r="AE339" s="1526"/>
      <c r="AF339" s="1526"/>
      <c r="AG339" s="4" t="s">
        <v>207</v>
      </c>
      <c r="AH339" s="4"/>
      <c r="AI339" s="1480"/>
      <c r="AJ339" s="1480"/>
      <c r="AK339" s="1480"/>
    </row>
    <row r="340" spans="1:66" ht="12.95" customHeight="1">
      <c r="B340" s="3" t="s">
        <v>89</v>
      </c>
      <c r="C340" s="3"/>
      <c r="D340" s="3"/>
      <c r="E340" s="3"/>
      <c r="F340" s="3"/>
      <c r="G340" s="3"/>
      <c r="H340" s="1473"/>
      <c r="I340" s="1473"/>
      <c r="J340" s="1473"/>
      <c r="K340" s="1473"/>
      <c r="L340" s="1473"/>
      <c r="M340" s="1473"/>
      <c r="N340" s="4"/>
      <c r="O340" s="4"/>
      <c r="P340" s="35"/>
      <c r="Q340" s="35"/>
      <c r="R340" s="35"/>
      <c r="S340" s="3"/>
      <c r="T340" s="3" t="s">
        <v>89</v>
      </c>
      <c r="V340" s="3"/>
      <c r="W340" s="3"/>
      <c r="X340" s="3"/>
      <c r="Y340" s="3"/>
      <c r="AA340" s="1473"/>
      <c r="AB340" s="1473"/>
      <c r="AC340" s="1473"/>
      <c r="AD340" s="1473"/>
      <c r="AE340" s="1473"/>
      <c r="AF340" s="1473"/>
      <c r="AG340" s="4"/>
      <c r="AH340" s="4"/>
      <c r="AI340" s="35"/>
      <c r="AJ340" s="35"/>
      <c r="AK340" s="35"/>
    </row>
    <row r="341" spans="1:66" ht="12.95" customHeight="1">
      <c r="B341" s="3" t="s">
        <v>76</v>
      </c>
      <c r="C341" s="3"/>
      <c r="D341" s="3"/>
      <c r="E341" s="3"/>
      <c r="F341" s="3"/>
      <c r="G341" s="3"/>
      <c r="H341" s="1481" t="s">
        <v>2703</v>
      </c>
      <c r="I341" s="1452"/>
      <c r="J341" s="1452"/>
      <c r="K341" s="1452"/>
      <c r="L341" s="1452"/>
      <c r="M341" s="1452"/>
      <c r="N341" s="1471"/>
      <c r="O341" s="1471"/>
      <c r="P341" s="1471"/>
      <c r="Q341" s="1471"/>
      <c r="R341" s="1471"/>
      <c r="S341" s="3"/>
      <c r="T341" s="3" t="s">
        <v>76</v>
      </c>
      <c r="V341" s="3"/>
      <c r="W341" s="3"/>
      <c r="X341" s="3"/>
      <c r="Y341" s="3"/>
      <c r="AA341" s="1481" t="s">
        <v>2682</v>
      </c>
      <c r="AB341" s="1452"/>
      <c r="AC341" s="1452"/>
      <c r="AD341" s="1452"/>
      <c r="AE341" s="1452"/>
      <c r="AF341" s="1452"/>
      <c r="AG341" s="1471"/>
      <c r="AH341" s="1471"/>
      <c r="AI341" s="1471"/>
      <c r="AJ341" s="1471"/>
      <c r="AK341" s="14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82" t="s">
        <v>598</v>
      </c>
      <c r="Q343" s="1471"/>
      <c r="R343" s="1471"/>
      <c r="S343" s="1471"/>
      <c r="T343" s="1471"/>
      <c r="U343" s="1471"/>
      <c r="V343" s="1471"/>
      <c r="W343" s="1471"/>
      <c r="X343" s="1471"/>
      <c r="Y343" s="1471"/>
      <c r="Z343" s="1471"/>
      <c r="AA343" s="1471"/>
      <c r="AB343" s="1471"/>
      <c r="AC343" s="1471"/>
      <c r="AD343" s="1471"/>
      <c r="AE343" s="1471"/>
      <c r="BN343" t="s">
        <v>676</v>
      </c>
    </row>
    <row r="344" spans="1:66" ht="12.95" customHeight="1">
      <c r="B344" s="4"/>
      <c r="C344" s="4"/>
      <c r="D344" s="4"/>
      <c r="E344" s="4"/>
      <c r="F344" s="4"/>
      <c r="I344" s="4" t="s">
        <v>478</v>
      </c>
      <c r="P344" s="1452"/>
      <c r="Q344" s="1452"/>
      <c r="R344" s="1452"/>
      <c r="S344" s="1452"/>
      <c r="T344" s="1452"/>
      <c r="U344" s="1452"/>
      <c r="V344" s="1452"/>
      <c r="W344" s="1452"/>
      <c r="X344" s="1452"/>
      <c r="Y344" s="1452"/>
      <c r="Z344" s="1452"/>
      <c r="AA344" s="1452"/>
      <c r="AB344" s="1452"/>
      <c r="AC344" s="1452"/>
      <c r="AD344" s="1452"/>
      <c r="AE344" s="1452"/>
      <c r="BN344" t="s">
        <v>552</v>
      </c>
    </row>
    <row r="345" spans="1:66" ht="12.95" customHeight="1">
      <c r="B345" s="4"/>
      <c r="C345" s="4"/>
      <c r="D345" s="4"/>
      <c r="E345" s="4"/>
      <c r="F345" s="4"/>
      <c r="I345" s="4" t="s">
        <v>75</v>
      </c>
      <c r="P345" s="1452"/>
      <c r="Q345" s="1452"/>
      <c r="R345" s="1452"/>
      <c r="S345" s="1452"/>
      <c r="T345" s="1452"/>
      <c r="U345" s="1452"/>
      <c r="V345" s="1452"/>
      <c r="W345" s="1452"/>
      <c r="X345" s="1452"/>
      <c r="Y345" s="1452"/>
      <c r="Z345" s="1452"/>
      <c r="AA345" s="1452"/>
      <c r="AB345" s="1452"/>
      <c r="AC345" s="1452"/>
      <c r="AD345" s="1452"/>
      <c r="AE345" s="1452"/>
    </row>
    <row r="346" spans="1:66" ht="12.95" customHeight="1">
      <c r="B346" s="4"/>
      <c r="C346" s="4"/>
      <c r="D346" s="4"/>
      <c r="E346" s="4"/>
      <c r="F346" s="4"/>
      <c r="G346" s="4"/>
      <c r="I346" s="4" t="s">
        <v>87</v>
      </c>
      <c r="P346" s="1452"/>
      <c r="Q346" s="1452"/>
      <c r="R346" s="1452"/>
      <c r="S346" s="1452"/>
      <c r="T346" s="1452"/>
      <c r="U346" s="1452"/>
      <c r="V346" s="1452"/>
      <c r="W346" s="1452"/>
      <c r="X346" s="1452"/>
      <c r="Y346" s="1452"/>
      <c r="Z346" s="1452"/>
      <c r="AA346" s="1452"/>
      <c r="AB346" s="1452"/>
      <c r="AC346" s="1452"/>
      <c r="AD346" s="1452"/>
      <c r="AE346" s="1452"/>
    </row>
    <row r="347" spans="1:66" ht="12.95" customHeight="1">
      <c r="B347" s="4"/>
      <c r="C347" s="4"/>
      <c r="D347" s="4"/>
      <c r="E347" s="4"/>
      <c r="F347" s="4"/>
      <c r="G347" s="4"/>
      <c r="H347" s="324"/>
      <c r="I347" s="4" t="s">
        <v>88</v>
      </c>
      <c r="P347" s="1473"/>
      <c r="Q347" s="1473"/>
      <c r="R347" s="1473"/>
      <c r="S347" s="1473"/>
      <c r="T347" s="1473"/>
      <c r="U347" s="1473"/>
      <c r="V347" s="1473"/>
      <c r="W347" s="1473"/>
      <c r="X347" s="1473"/>
      <c r="Y347" s="1473"/>
      <c r="Z347" s="1473"/>
      <c r="AA347" s="4" t="s">
        <v>207</v>
      </c>
      <c r="AB347" s="4"/>
      <c r="AC347" s="1384"/>
      <c r="AD347" s="1384"/>
      <c r="AE347" s="1384"/>
      <c r="AF347" s="324"/>
      <c r="AG347" s="4"/>
      <c r="AH347" s="4"/>
      <c r="AI347" s="4"/>
      <c r="AJ347" s="4"/>
      <c r="AK347" s="4"/>
    </row>
    <row r="348" spans="1:66" ht="12.95" customHeight="1">
      <c r="B348" s="4"/>
      <c r="C348" s="4"/>
      <c r="D348" s="4"/>
      <c r="E348" s="4"/>
      <c r="F348" s="4"/>
      <c r="G348" s="4"/>
      <c r="H348" s="324"/>
      <c r="I348" s="4" t="s">
        <v>89</v>
      </c>
      <c r="P348" s="1473"/>
      <c r="Q348" s="1473"/>
      <c r="R348" s="1473"/>
      <c r="S348" s="1473"/>
      <c r="T348" s="1473"/>
      <c r="U348" s="1473"/>
      <c r="V348" s="1473"/>
      <c r="W348" s="1473"/>
      <c r="X348" s="1473"/>
      <c r="Y348" s="1473"/>
      <c r="Z348" s="1473"/>
      <c r="AF348" s="324"/>
      <c r="AG348" s="4"/>
      <c r="AH348" s="4"/>
      <c r="AI348" s="35"/>
      <c r="AJ348" s="35"/>
      <c r="AK348" s="35"/>
    </row>
    <row r="349" spans="1:66" ht="12.95" customHeight="1">
      <c r="B349" s="4"/>
      <c r="C349" s="4"/>
      <c r="D349" s="4"/>
      <c r="E349" s="4"/>
      <c r="F349" s="4"/>
      <c r="G349" s="4"/>
      <c r="I349" s="4" t="s">
        <v>76</v>
      </c>
      <c r="P349" s="1471"/>
      <c r="Q349" s="1471"/>
      <c r="R349" s="1471"/>
      <c r="S349" s="1471"/>
      <c r="T349" s="1471"/>
      <c r="U349" s="1471"/>
      <c r="V349" s="1471"/>
      <c r="W349" s="1471"/>
      <c r="X349" s="1471"/>
      <c r="Y349" s="1471"/>
      <c r="Z349" s="1471"/>
      <c r="AA349" s="1471"/>
      <c r="AB349" s="1471"/>
      <c r="AC349" s="1471"/>
      <c r="AD349" s="1471"/>
      <c r="AE349" s="1471"/>
    </row>
    <row r="350" spans="1:66" ht="12.95" customHeight="1">
      <c r="T350" s="8"/>
      <c r="U350" s="8"/>
      <c r="V350" s="8"/>
      <c r="W350" s="8"/>
      <c r="X350" s="8"/>
      <c r="Y350" s="8"/>
      <c r="Z350" s="8"/>
      <c r="AU350" s="95"/>
      <c r="AV350" s="95"/>
      <c r="AW350" s="95"/>
      <c r="AX350" s="95"/>
      <c r="AY350" s="95"/>
    </row>
    <row r="351" spans="1:66" ht="12.95" customHeight="1">
      <c r="A351" s="1643" t="s">
        <v>549</v>
      </c>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1643"/>
      <c r="AN351" s="1643"/>
      <c r="AO351" s="1643"/>
      <c r="AP351" s="1643"/>
      <c r="AQ351" s="1643"/>
      <c r="AR351" s="1643"/>
      <c r="AS351" s="1643"/>
      <c r="AT351" s="1643"/>
      <c r="AU351" s="95"/>
      <c r="AV351" s="95"/>
      <c r="AW351" s="95"/>
      <c r="AX351" s="95"/>
      <c r="AY351" s="95"/>
    </row>
    <row r="352" spans="1:66" ht="12.95" customHeight="1">
      <c r="A352" s="1643"/>
      <c r="B352" s="1643"/>
      <c r="C352" s="1643"/>
      <c r="D352" s="1643"/>
      <c r="E352" s="1643"/>
      <c r="F352" s="1643"/>
      <c r="G352" s="1643"/>
      <c r="H352" s="1643"/>
      <c r="I352" s="1643"/>
      <c r="J352" s="1643"/>
      <c r="K352" s="1643"/>
      <c r="L352" s="1643"/>
      <c r="M352" s="1643"/>
      <c r="N352" s="1643"/>
      <c r="O352" s="1643"/>
      <c r="P352" s="1643"/>
      <c r="Q352" s="1643"/>
      <c r="R352" s="1643"/>
      <c r="S352" s="1643"/>
      <c r="T352" s="1643"/>
      <c r="U352" s="1643"/>
      <c r="V352" s="1643"/>
      <c r="W352" s="1643"/>
      <c r="X352" s="1643"/>
      <c r="Y352" s="1643"/>
      <c r="Z352" s="1643"/>
      <c r="AA352" s="1643"/>
      <c r="AB352" s="1643"/>
      <c r="AC352" s="1643"/>
      <c r="AD352" s="1643"/>
      <c r="AE352" s="1643"/>
      <c r="AF352" s="1643"/>
      <c r="AG352" s="1643"/>
      <c r="AH352" s="1643"/>
      <c r="AI352" s="1643"/>
      <c r="AJ352" s="1643"/>
      <c r="AK352" s="1643"/>
      <c r="AL352" s="1643"/>
      <c r="AM352" s="1643"/>
      <c r="AN352" s="1643"/>
      <c r="AO352" s="1643"/>
      <c r="AP352" s="1643"/>
      <c r="AQ352" s="1643"/>
      <c r="AR352" s="1643"/>
      <c r="AS352" s="1643"/>
      <c r="AT352" s="164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380" t="s">
        <v>552</v>
      </c>
      <c r="N355" s="1380"/>
      <c r="P355" t="s">
        <v>1761</v>
      </c>
      <c r="AJ355" s="1380" t="s">
        <v>552</v>
      </c>
      <c r="AK355" s="1380"/>
    </row>
    <row r="356" spans="1:46" ht="12.95" customHeight="1">
      <c r="D356" s="3" t="s">
        <v>1750</v>
      </c>
      <c r="M356" s="1380" t="s">
        <v>598</v>
      </c>
      <c r="N356" s="1380"/>
      <c r="P356" s="3" t="s">
        <v>1907</v>
      </c>
      <c r="AJ356" s="1405">
        <v>0</v>
      </c>
      <c r="AK356" s="1405"/>
    </row>
    <row r="357" spans="1:46" ht="12.95" customHeight="1">
      <c r="D357" s="3" t="s">
        <v>712</v>
      </c>
      <c r="M357" s="1380" t="s">
        <v>598</v>
      </c>
      <c r="N357" s="1380"/>
      <c r="P357" t="s">
        <v>1760</v>
      </c>
      <c r="AJ357" s="1380" t="s">
        <v>598</v>
      </c>
      <c r="AK357" s="1380"/>
    </row>
    <row r="358" spans="1:46" ht="12.95" customHeight="1">
      <c r="D358" s="3" t="s">
        <v>713</v>
      </c>
      <c r="M358" s="1380" t="s">
        <v>598</v>
      </c>
      <c r="N358" s="1380"/>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598</v>
      </c>
      <c r="O363" s="1380"/>
      <c r="P363" s="40"/>
      <c r="Q363" s="40"/>
      <c r="R363" s="40"/>
      <c r="S363" s="40"/>
      <c r="T363" s="40"/>
      <c r="U363" s="40"/>
      <c r="V363" s="40"/>
      <c r="W363" s="40"/>
      <c r="X363" s="40"/>
      <c r="Y363" s="40"/>
      <c r="Z363" s="40"/>
      <c r="AC363" s="40"/>
      <c r="AD363" s="40"/>
      <c r="AE363" s="40"/>
    </row>
    <row r="364" spans="1:46" ht="12.95" customHeight="1">
      <c r="E364" t="s">
        <v>371</v>
      </c>
      <c r="Y364" s="1380" t="s">
        <v>598</v>
      </c>
      <c r="Z364" s="1380"/>
    </row>
    <row r="365" spans="1:46" ht="12.95" customHeight="1">
      <c r="D365" s="4" t="s">
        <v>995</v>
      </c>
      <c r="Q365" s="1471"/>
      <c r="R365" s="1471"/>
      <c r="S365" s="1471"/>
      <c r="T365" s="1471"/>
      <c r="U365" s="1471"/>
      <c r="V365" s="1471"/>
      <c r="W365" s="1471"/>
      <c r="X365" s="1471"/>
      <c r="Y365" s="1471"/>
      <c r="Z365" s="1471"/>
      <c r="AA365" s="1471"/>
      <c r="AB365" s="1471"/>
      <c r="AC365" s="1471"/>
      <c r="AD365" s="1471"/>
      <c r="AE365" s="1471"/>
      <c r="AF365" s="1471"/>
      <c r="AG365" s="147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598</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5" t="s">
        <v>714</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2.95"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2.95" customHeight="1">
      <c r="E370" s="4" t="s">
        <v>455</v>
      </c>
      <c r="F370" s="4"/>
      <c r="G370" s="4"/>
      <c r="H370" s="4"/>
      <c r="I370" s="4"/>
      <c r="J370" s="4"/>
      <c r="K370" s="4"/>
      <c r="L370" s="4"/>
      <c r="N370" s="1449"/>
      <c r="O370" s="1449"/>
      <c r="P370" s="1449"/>
      <c r="Q370" s="1449"/>
      <c r="R370" s="4"/>
      <c r="U370" s="4" t="s">
        <v>456</v>
      </c>
      <c r="V370" s="4"/>
      <c r="W370" s="4"/>
      <c r="X370" s="4"/>
      <c r="Y370" s="4"/>
      <c r="Z370" s="4"/>
      <c r="AA370" s="4"/>
      <c r="AB370" s="4"/>
      <c r="AC370" s="1449"/>
      <c r="AD370" s="1449"/>
      <c r="AE370" s="1449"/>
      <c r="AF370" s="1449"/>
    </row>
    <row r="371" spans="1:34" ht="12.95" customHeight="1">
      <c r="E371" s="4" t="s">
        <v>457</v>
      </c>
      <c r="F371" s="4"/>
      <c r="G371" s="4"/>
      <c r="H371" s="4"/>
      <c r="I371" s="4"/>
      <c r="J371" s="4"/>
      <c r="K371" s="4"/>
      <c r="L371" s="4"/>
      <c r="N371" s="1449"/>
      <c r="O371" s="1449"/>
      <c r="P371" s="1449"/>
      <c r="Q371" s="1449"/>
      <c r="R371" s="4"/>
      <c r="U371" s="4" t="s">
        <v>0</v>
      </c>
      <c r="V371" s="4"/>
      <c r="W371" s="4"/>
      <c r="X371" s="4"/>
      <c r="Y371" s="4"/>
      <c r="Z371" s="4"/>
      <c r="AA371" s="4"/>
      <c r="AB371" s="4"/>
      <c r="AC371" s="1449"/>
      <c r="AD371" s="1449"/>
      <c r="AE371" s="1449"/>
      <c r="AF371" s="1449"/>
    </row>
    <row r="372" spans="1:34" ht="12.95" customHeight="1">
      <c r="E372" s="4" t="s">
        <v>1</v>
      </c>
      <c r="F372" s="4"/>
      <c r="G372" s="4"/>
      <c r="H372" s="4"/>
      <c r="I372" s="4"/>
      <c r="J372" s="4"/>
      <c r="K372" s="4"/>
      <c r="L372" s="4"/>
      <c r="N372" s="1449"/>
      <c r="O372" s="1449"/>
      <c r="P372" s="1449"/>
      <c r="Q372" s="1449"/>
      <c r="R372" s="4"/>
      <c r="V372" s="4"/>
      <c r="W372" s="4"/>
      <c r="X372" s="4"/>
      <c r="Y372" s="4"/>
      <c r="Z372" s="4"/>
      <c r="AA372" s="4"/>
      <c r="AB372" s="4"/>
    </row>
    <row r="373" spans="1:34" ht="12.95"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2.95"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76"/>
      <c r="T377" s="1476"/>
      <c r="U377" s="1" t="s">
        <v>307</v>
      </c>
      <c r="V377" s="1476"/>
      <c r="W377" s="1476"/>
      <c r="Y377" t="s">
        <v>2394</v>
      </c>
      <c r="AC377" s="27" t="s">
        <v>306</v>
      </c>
      <c r="AD377" s="1476"/>
      <c r="AE377" s="1476"/>
      <c r="AF377" s="1" t="s">
        <v>307</v>
      </c>
      <c r="AG377" s="1476"/>
      <c r="AH377" s="1476"/>
    </row>
    <row r="378" spans="1:34" ht="12.95" customHeight="1">
      <c r="E378" s="4" t="s">
        <v>1009</v>
      </c>
      <c r="F378" s="4"/>
      <c r="G378" s="4"/>
      <c r="H378" s="4"/>
      <c r="I378" s="4"/>
      <c r="J378" s="4"/>
      <c r="K378" s="4"/>
      <c r="L378" s="4"/>
      <c r="N378" s="1476"/>
      <c r="O378" s="1476"/>
      <c r="P378" s="1476"/>
    </row>
    <row r="379" spans="1:34" ht="12.95" customHeight="1">
      <c r="E379" s="218" t="s">
        <v>2400</v>
      </c>
      <c r="F379" s="4"/>
      <c r="G379" s="4"/>
      <c r="H379" s="4"/>
      <c r="I379" s="4"/>
      <c r="J379" s="4"/>
      <c r="K379" s="4"/>
      <c r="L379" s="4"/>
      <c r="AG379" s="1534" t="s">
        <v>598</v>
      </c>
      <c r="AH379" s="1534"/>
    </row>
    <row r="380" spans="1:34" ht="12.95" customHeight="1">
      <c r="E380" s="4"/>
      <c r="F380" s="4"/>
      <c r="G380" s="4" t="s">
        <v>2401</v>
      </c>
      <c r="H380" s="4"/>
      <c r="I380" s="4"/>
      <c r="J380" s="4"/>
      <c r="K380" s="4"/>
      <c r="L380" s="4"/>
      <c r="AG380" s="1534" t="s">
        <v>598</v>
      </c>
      <c r="AH380" s="1534"/>
    </row>
    <row r="381" spans="1:34" ht="12.95" customHeight="1">
      <c r="E381" s="4"/>
      <c r="F381" s="4"/>
      <c r="G381" s="348" t="s">
        <v>1010</v>
      </c>
      <c r="H381" s="4"/>
      <c r="I381" s="4"/>
      <c r="J381" s="4"/>
      <c r="K381" s="4"/>
      <c r="L381" s="4"/>
      <c r="V381" s="1380" t="s">
        <v>598</v>
      </c>
      <c r="W381" s="1380"/>
      <c r="Y381" s="22" t="s">
        <v>997</v>
      </c>
    </row>
    <row r="382" spans="1:34" ht="12.95" customHeight="1">
      <c r="E382" s="4" t="s">
        <v>998</v>
      </c>
      <c r="F382" s="4"/>
      <c r="G382" s="4"/>
      <c r="H382" s="4"/>
      <c r="I382" s="4"/>
      <c r="J382" s="4"/>
      <c r="K382" s="4"/>
      <c r="L382" s="4"/>
      <c r="V382" s="1380" t="s">
        <v>598</v>
      </c>
      <c r="W382" s="1380"/>
      <c r="Y382" s="4" t="s">
        <v>999</v>
      </c>
    </row>
    <row r="383" spans="1:34" ht="12.95" customHeight="1"/>
    <row r="384" spans="1:34" ht="12.95" customHeight="1">
      <c r="A384" s="2" t="s">
        <v>78</v>
      </c>
      <c r="B384" s="2"/>
    </row>
    <row r="385" spans="4:36" ht="12.95" customHeight="1">
      <c r="D385" t="s">
        <v>429</v>
      </c>
      <c r="J385" s="1471"/>
      <c r="K385" s="1471"/>
      <c r="L385" s="1471"/>
      <c r="M385" s="1471"/>
      <c r="N385" s="1471"/>
      <c r="O385" s="1471"/>
      <c r="P385" s="1471"/>
      <c r="Q385" s="1471"/>
      <c r="R385" s="1471"/>
      <c r="S385" s="1471"/>
      <c r="T385" s="1471"/>
      <c r="U385" s="1471"/>
      <c r="V385" s="8" t="s">
        <v>83</v>
      </c>
      <c r="W385" s="8"/>
      <c r="X385" s="8"/>
      <c r="Y385" s="8"/>
      <c r="Z385" s="8"/>
      <c r="AA385" s="8"/>
      <c r="AB385" s="8"/>
      <c r="AC385" s="1471"/>
      <c r="AD385" s="1471"/>
      <c r="AE385" s="1471"/>
      <c r="AF385" s="1471"/>
      <c r="AG385" s="1471"/>
      <c r="AH385" s="1471"/>
      <c r="AI385" s="1471"/>
      <c r="AJ385" s="1471"/>
    </row>
    <row r="386" spans="4:36" ht="12.95" customHeight="1">
      <c r="D386" s="3" t="s">
        <v>1286</v>
      </c>
      <c r="J386" s="1452"/>
      <c r="K386" s="1452"/>
      <c r="L386" s="1452"/>
      <c r="M386" s="1452"/>
      <c r="N386" s="1452"/>
      <c r="O386" s="1452"/>
      <c r="P386" s="1452"/>
      <c r="Q386" s="1452"/>
      <c r="R386" s="1452"/>
      <c r="S386" s="1452"/>
      <c r="T386" s="1452"/>
      <c r="U386" s="1452"/>
      <c r="V386" s="3" t="s">
        <v>1286</v>
      </c>
      <c r="W386" s="8"/>
      <c r="X386" s="8"/>
      <c r="Y386" s="8"/>
      <c r="Z386" s="8"/>
      <c r="AA386" s="8"/>
      <c r="AB386" s="8"/>
      <c r="AC386" s="1471"/>
      <c r="AD386" s="1471"/>
      <c r="AE386" s="1471"/>
      <c r="AF386" s="1471"/>
      <c r="AG386" s="1471"/>
      <c r="AH386" s="1471"/>
      <c r="AI386" s="1471"/>
      <c r="AJ386" s="1471"/>
    </row>
    <row r="387" spans="4:36" ht="12.95" customHeight="1">
      <c r="D387" s="3" t="s">
        <v>442</v>
      </c>
      <c r="J387" s="1452"/>
      <c r="K387" s="1452"/>
      <c r="L387" s="1452"/>
      <c r="M387" s="1452"/>
      <c r="N387" s="1452"/>
      <c r="O387" s="1452"/>
      <c r="P387" s="1452"/>
      <c r="Q387" s="1452"/>
      <c r="R387" s="1452"/>
      <c r="S387" s="1452"/>
      <c r="T387" s="1452"/>
      <c r="U387" s="1452"/>
      <c r="V387" s="3" t="s">
        <v>442</v>
      </c>
      <c r="W387" s="8"/>
      <c r="X387" s="8"/>
      <c r="Y387" s="8"/>
      <c r="Z387" s="8"/>
      <c r="AA387" s="8"/>
      <c r="AB387" s="8"/>
      <c r="AC387" s="1471"/>
      <c r="AD387" s="1471"/>
      <c r="AE387" s="1471"/>
      <c r="AF387" s="1471"/>
      <c r="AG387" s="1471"/>
      <c r="AH387" s="1471"/>
      <c r="AI387" s="1471"/>
      <c r="AJ387" s="1471"/>
    </row>
    <row r="388" spans="4:36" ht="12.95" customHeight="1">
      <c r="D388" t="s">
        <v>1282</v>
      </c>
      <c r="J388" s="1398"/>
      <c r="K388" s="1398"/>
      <c r="L388" s="1398"/>
      <c r="M388" s="1398"/>
      <c r="N388" s="1398"/>
      <c r="O388" s="1398"/>
      <c r="P388" s="1398"/>
      <c r="Q388" s="1398"/>
      <c r="R388" s="1398"/>
      <c r="S388" s="1398"/>
      <c r="T388" s="1398"/>
      <c r="U388" s="1398"/>
      <c r="V388" s="1471"/>
      <c r="W388" s="1471"/>
      <c r="X388" s="1471"/>
      <c r="Y388" s="1471"/>
      <c r="Z388" s="1471"/>
      <c r="AA388" s="1471"/>
      <c r="AB388" s="1471"/>
      <c r="AC388" s="1471"/>
      <c r="AD388" s="1471"/>
      <c r="AE388" s="1471"/>
      <c r="AF388" s="1471"/>
      <c r="AG388" s="1471"/>
      <c r="AH388" s="1471"/>
      <c r="AI388" s="1471"/>
      <c r="AJ388" s="1471"/>
    </row>
    <row r="389" spans="4:36" ht="12.95" customHeight="1">
      <c r="D389" t="s">
        <v>4</v>
      </c>
      <c r="Q389" s="1735"/>
      <c r="R389" s="1735"/>
      <c r="S389" s="1735"/>
      <c r="T389" s="1735"/>
      <c r="U389" s="1735"/>
      <c r="V389" t="s">
        <v>310</v>
      </c>
      <c r="AI389" s="1380" t="s">
        <v>676</v>
      </c>
      <c r="AJ389" s="1380"/>
    </row>
    <row r="390" spans="4:36" ht="12.95" customHeight="1">
      <c r="D390" t="s">
        <v>5</v>
      </c>
      <c r="Q390" s="1622"/>
      <c r="R390" s="1732"/>
      <c r="S390" s="1732"/>
      <c r="T390" s="1732"/>
      <c r="U390" s="1732"/>
      <c r="W390" s="21" t="s">
        <v>74</v>
      </c>
      <c r="AG390" s="1472"/>
      <c r="AH390" s="1472"/>
      <c r="AI390" s="1472"/>
      <c r="AJ390" s="1472"/>
    </row>
    <row r="391" spans="4:36" ht="12.95" customHeight="1">
      <c r="D391" t="s">
        <v>428</v>
      </c>
      <c r="Q391" s="1731"/>
      <c r="R391" s="1731"/>
      <c r="S391" s="1731"/>
      <c r="T391" s="1731"/>
      <c r="U391" s="1731"/>
      <c r="V391" s="3" t="s">
        <v>1285</v>
      </c>
      <c r="AG391" s="1532"/>
      <c r="AH391" s="1532"/>
      <c r="AI391" s="1532"/>
      <c r="AJ391" s="1532"/>
    </row>
    <row r="392" spans="4:36" ht="12.95" customHeight="1">
      <c r="D392" t="s">
        <v>88</v>
      </c>
      <c r="I392" s="1526"/>
      <c r="J392" s="1526"/>
      <c r="K392" s="1526"/>
      <c r="L392" s="1526"/>
      <c r="M392" s="1526"/>
      <c r="N392" s="1526"/>
      <c r="Q392" s="4" t="s">
        <v>207</v>
      </c>
      <c r="S392" s="1734"/>
      <c r="T392" s="1734"/>
      <c r="U392" s="1734"/>
      <c r="V392" t="s">
        <v>73</v>
      </c>
      <c r="AI392" s="1380" t="s">
        <v>676</v>
      </c>
      <c r="AJ392" s="1380"/>
    </row>
    <row r="393" spans="4:36" ht="12.95" customHeight="1">
      <c r="D393" t="s">
        <v>311</v>
      </c>
      <c r="Q393" s="1533"/>
      <c r="R393" s="1533"/>
      <c r="S393" s="1533"/>
      <c r="T393" s="1533"/>
      <c r="U393" s="1533"/>
      <c r="V393" t="s">
        <v>312</v>
      </c>
      <c r="AG393" s="1472"/>
      <c r="AH393" s="1472"/>
      <c r="AI393" s="1472"/>
      <c r="AJ393" s="1472"/>
    </row>
    <row r="394" spans="4:36" ht="12.95" customHeight="1">
      <c r="D394" t="s">
        <v>313</v>
      </c>
      <c r="Q394" s="1580"/>
      <c r="R394" s="1580"/>
      <c r="S394" s="1580"/>
      <c r="T394" s="1580"/>
      <c r="U394" s="1580"/>
      <c r="V394" t="s">
        <v>1266</v>
      </c>
      <c r="AG394" s="1472"/>
      <c r="AH394" s="1472"/>
      <c r="AI394" s="1472"/>
      <c r="AJ394" s="1472"/>
    </row>
    <row r="395" spans="4:36" ht="12.95" customHeight="1">
      <c r="D395" t="s">
        <v>1265</v>
      </c>
      <c r="AG395" s="1472"/>
      <c r="AH395" s="1472"/>
      <c r="AI395" s="1472"/>
      <c r="AJ395" s="1472"/>
    </row>
    <row r="396" spans="4:36" ht="12.95" customHeight="1">
      <c r="AG396" s="490"/>
      <c r="AH396" s="490"/>
      <c r="AI396" s="490"/>
      <c r="AJ396" s="490"/>
    </row>
    <row r="397" spans="4:36" ht="12.95" customHeight="1">
      <c r="D397" s="3" t="s">
        <v>2500</v>
      </c>
      <c r="AG397" s="490"/>
      <c r="AH397" s="490"/>
      <c r="AI397" s="1380" t="s">
        <v>676</v>
      </c>
      <c r="AJ397" s="1380"/>
    </row>
    <row r="398" spans="4:36" ht="12.95" customHeight="1">
      <c r="D398" s="3" t="s">
        <v>1779</v>
      </c>
      <c r="T398" s="1432"/>
      <c r="U398" s="1432"/>
      <c r="V398" s="1432"/>
      <c r="W398" s="1432"/>
      <c r="X398" s="1432"/>
      <c r="Y398" s="1432"/>
      <c r="Z398" s="1432"/>
      <c r="AA398" s="1432"/>
      <c r="AB398" s="1432"/>
      <c r="AC398" s="1432"/>
      <c r="AD398" s="1432"/>
      <c r="AE398" s="1432"/>
      <c r="AF398" s="1432"/>
      <c r="AG398" s="1432"/>
      <c r="AH398" s="1432"/>
      <c r="AI398" s="1432"/>
      <c r="AJ398" s="1432"/>
    </row>
    <row r="399" spans="4:36" ht="12.95" customHeight="1">
      <c r="D399" s="3" t="s">
        <v>1778</v>
      </c>
      <c r="T399" s="1432"/>
      <c r="U399" s="1432"/>
      <c r="V399" s="1432"/>
      <c r="W399" s="1432"/>
      <c r="X399" s="1432"/>
      <c r="Y399" s="1432"/>
      <c r="Z399" s="1432"/>
      <c r="AA399" s="1432"/>
      <c r="AB399" s="1432"/>
      <c r="AC399" s="1432"/>
      <c r="AD399" s="1432"/>
      <c r="AE399" s="1432"/>
      <c r="AF399" s="1432"/>
      <c r="AG399" s="1432"/>
      <c r="AH399" s="1432"/>
      <c r="AI399" s="1432"/>
      <c r="AJ399" s="1432"/>
    </row>
    <row r="400" spans="4:36" ht="12.95" customHeight="1">
      <c r="AG400" s="490"/>
      <c r="AH400" s="490"/>
      <c r="AI400" s="490"/>
      <c r="AJ400" s="490"/>
    </row>
    <row r="401" spans="1:36" ht="12.95" customHeight="1">
      <c r="D401" s="3" t="s">
        <v>1772</v>
      </c>
      <c r="S401" s="1432" t="s">
        <v>552</v>
      </c>
      <c r="T401" s="1432"/>
      <c r="U401" s="1432"/>
      <c r="V401" t="s">
        <v>1773</v>
      </c>
      <c r="AG401" s="1484">
        <v>99</v>
      </c>
      <c r="AH401" s="1484"/>
      <c r="AI401" s="1484"/>
      <c r="AJ401" s="1484"/>
    </row>
    <row r="402" spans="1:36" ht="12.95" customHeight="1">
      <c r="D402" s="3" t="s">
        <v>1770</v>
      </c>
      <c r="S402" s="1432" t="s">
        <v>552</v>
      </c>
      <c r="T402" s="1432"/>
      <c r="U402" s="1432"/>
      <c r="V402" t="s">
        <v>1775</v>
      </c>
      <c r="AE402" s="1488">
        <v>1</v>
      </c>
      <c r="AF402" s="1488"/>
      <c r="AG402" s="1488"/>
      <c r="AH402" s="1488"/>
      <c r="AI402" s="1488"/>
      <c r="AJ402" s="1488"/>
    </row>
    <row r="403" spans="1:36" ht="12.95" customHeight="1">
      <c r="D403" s="3" t="s">
        <v>1771</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2.95" customHeight="1">
      <c r="D404" s="3" t="s">
        <v>1774</v>
      </c>
      <c r="K404" s="1483" t="s">
        <v>2742</v>
      </c>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2.95" customHeight="1">
      <c r="D405" s="3" t="s">
        <v>1777</v>
      </c>
      <c r="E405" s="511"/>
      <c r="F405" s="511"/>
      <c r="G405" s="511"/>
      <c r="H405" s="511"/>
      <c r="I405" s="511"/>
      <c r="J405" s="511"/>
      <c r="K405" s="511"/>
      <c r="L405" s="511"/>
      <c r="M405" s="511"/>
      <c r="N405" s="511"/>
      <c r="O405" s="511"/>
      <c r="P405" s="511"/>
      <c r="Q405" s="511"/>
      <c r="R405" s="511"/>
      <c r="S405" s="1515" t="s">
        <v>2743</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482" t="s">
        <v>2649</v>
      </c>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row>
    <row r="411" spans="1:36" ht="12.95" customHeight="1">
      <c r="E411" t="s">
        <v>106</v>
      </c>
      <c r="R411" s="1380" t="s">
        <v>552</v>
      </c>
      <c r="S411" s="1380"/>
      <c r="AC411" s="27" t="s">
        <v>577</v>
      </c>
      <c r="AD411" s="1449">
        <v>8</v>
      </c>
      <c r="AE411" s="1449"/>
    </row>
    <row r="412" spans="1:36" ht="12.95" customHeight="1">
      <c r="E412" t="s">
        <v>107</v>
      </c>
      <c r="R412" s="1380" t="s">
        <v>598</v>
      </c>
      <c r="S412" s="1380"/>
      <c r="AC412" s="27" t="s">
        <v>577</v>
      </c>
      <c r="AD412" s="1449">
        <v>0</v>
      </c>
      <c r="AE412" s="1449"/>
    </row>
    <row r="413" spans="1:36" ht="12.95" customHeight="1">
      <c r="E413" t="s">
        <v>108</v>
      </c>
      <c r="S413" s="1380" t="s">
        <v>598</v>
      </c>
      <c r="T413" s="1380"/>
    </row>
    <row r="414" spans="1:36" ht="12.95" customHeight="1">
      <c r="E414" t="s">
        <v>170</v>
      </c>
      <c r="H414" s="1728" t="s">
        <v>335</v>
      </c>
      <c r="I414" s="1728"/>
      <c r="J414" s="1728"/>
      <c r="K414" s="1728"/>
      <c r="L414" s="1728"/>
      <c r="M414" s="1728"/>
      <c r="N414" s="1728"/>
      <c r="O414" s="1728"/>
      <c r="P414" s="1728"/>
      <c r="Q414" s="1728"/>
      <c r="R414" s="1728"/>
      <c r="S414" s="1728"/>
      <c r="T414" s="1728"/>
      <c r="U414" s="1728"/>
      <c r="V414" s="1728"/>
      <c r="W414" s="1728"/>
      <c r="X414" s="1728"/>
      <c r="Y414" s="1728"/>
      <c r="Z414" s="1728"/>
      <c r="AA414" s="1728"/>
      <c r="AB414" s="1728"/>
      <c r="AC414" s="1728"/>
      <c r="AD414" s="1728"/>
      <c r="AE414" s="1728"/>
    </row>
    <row r="415" spans="1:36" ht="12.95" customHeight="1">
      <c r="H415" s="1729"/>
      <c r="I415" s="1729"/>
      <c r="J415" s="1729"/>
      <c r="K415" s="1729"/>
      <c r="L415" s="1729"/>
      <c r="M415" s="1729"/>
      <c r="N415" s="1729"/>
      <c r="O415" s="1729"/>
      <c r="P415" s="1729"/>
      <c r="Q415" s="1729"/>
      <c r="R415" s="1729"/>
      <c r="S415" s="1729"/>
      <c r="T415" s="1729"/>
      <c r="U415" s="1729"/>
      <c r="V415" s="1729"/>
      <c r="W415" s="1729"/>
      <c r="X415" s="1729"/>
      <c r="Y415" s="1729"/>
      <c r="Z415" s="1729"/>
      <c r="AA415" s="1729"/>
      <c r="AB415" s="1729"/>
      <c r="AC415" s="1729"/>
      <c r="AD415" s="1729"/>
      <c r="AE415" s="1729"/>
    </row>
    <row r="416" spans="1:36" ht="12.95" customHeight="1"/>
    <row r="417" spans="1:39" ht="12.95" customHeight="1">
      <c r="A417" s="2" t="s">
        <v>597</v>
      </c>
      <c r="B417" s="2"/>
      <c r="C417" s="2"/>
      <c r="D417" s="2" t="s">
        <v>114</v>
      </c>
      <c r="AF417" s="2" t="s">
        <v>974</v>
      </c>
    </row>
    <row r="418" spans="1:39" ht="12.95" customHeight="1">
      <c r="E418" s="1476"/>
      <c r="F418" s="1476"/>
      <c r="G418" s="1476"/>
      <c r="H418" s="13" t="s">
        <v>115</v>
      </c>
      <c r="I418" s="1476"/>
      <c r="J418" s="1476"/>
      <c r="K418" s="1476"/>
      <c r="L418" t="s">
        <v>116</v>
      </c>
      <c r="N418" s="27" t="s">
        <v>582</v>
      </c>
      <c r="P418" s="1733">
        <v>0.43</v>
      </c>
      <c r="Q418" s="1733"/>
      <c r="R418" s="1733"/>
      <c r="S418" t="s">
        <v>117</v>
      </c>
      <c r="W418" s="1439">
        <f>IF(E418&gt;0,(E418*I418),(P418*43560))</f>
        <v>18730.8</v>
      </c>
      <c r="X418" s="1439"/>
      <c r="Y418" s="1439"/>
      <c r="Z418" t="s">
        <v>118</v>
      </c>
      <c r="AF418" s="1730">
        <f>IFERROR(IF(P418&gt;0,(AG437/P418),(AG437/(W418/43560))),0)</f>
        <v>213.95348837209303</v>
      </c>
      <c r="AG418" s="1730"/>
      <c r="AH418" s="1730"/>
      <c r="AM418" s="3"/>
    </row>
    <row r="419" spans="1:39" ht="12.95" customHeight="1">
      <c r="E419" t="s">
        <v>51</v>
      </c>
    </row>
    <row r="420" spans="1:39" ht="12.95"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2.95" customHeight="1">
      <c r="E421" s="118" t="s">
        <v>1924</v>
      </c>
      <c r="F421" s="1048"/>
      <c r="G421" s="1048"/>
      <c r="H421" s="1048"/>
      <c r="I421" s="1578">
        <v>0.433</v>
      </c>
      <c r="J421" s="1578"/>
      <c r="K421" s="1578"/>
      <c r="L421" s="1048"/>
      <c r="M421" s="118"/>
      <c r="N421" s="1048"/>
      <c r="O421" s="1048"/>
      <c r="P421" s="1776">
        <f>(CS634+CS642+CS658)/I421</f>
        <v>385.68129330254044</v>
      </c>
      <c r="Q421" s="1776"/>
      <c r="R421" s="1776"/>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598</v>
      </c>
      <c r="AF425" s="1380"/>
    </row>
    <row r="426" spans="1:39" ht="12.95" customHeight="1">
      <c r="F426" s="28" t="s">
        <v>132</v>
      </c>
    </row>
    <row r="427" spans="1:39" ht="12.95"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2.95"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2.95" customHeight="1">
      <c r="E429" t="s">
        <v>615</v>
      </c>
      <c r="P429" s="1"/>
      <c r="Q429" s="1380" t="s">
        <v>552</v>
      </c>
      <c r="R429" s="1380"/>
    </row>
    <row r="430" spans="1:39" ht="12.95" customHeight="1">
      <c r="F430" t="s">
        <v>616</v>
      </c>
      <c r="P430" s="1"/>
      <c r="Q430" s="1"/>
      <c r="AF430" s="1380" t="s">
        <v>598</v>
      </c>
      <c r="AG430" s="1450"/>
    </row>
    <row r="431" spans="1:39" ht="12.95" customHeight="1"/>
    <row r="432" spans="1:39" ht="12.95" customHeight="1">
      <c r="A432" s="2"/>
      <c r="B432" s="2"/>
      <c r="C432" s="2"/>
      <c r="E432" s="4" t="s">
        <v>309</v>
      </c>
      <c r="Z432" s="1380" t="s">
        <v>676</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80" t="s">
        <v>598</v>
      </c>
      <c r="AA434" s="1380"/>
    </row>
    <row r="435" spans="1:110" ht="12.95" customHeight="1"/>
    <row r="436" spans="1:110" ht="12.95" customHeight="1">
      <c r="A436" s="2" t="s">
        <v>474</v>
      </c>
      <c r="B436" s="2"/>
      <c r="C436" s="2"/>
      <c r="D436" s="2" t="s">
        <v>772</v>
      </c>
      <c r="AF436" s="48"/>
    </row>
    <row r="437" spans="1:110" ht="12.95" customHeight="1">
      <c r="D437" s="1479"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454">
        <v>92</v>
      </c>
      <c r="AH437" s="1454"/>
      <c r="AI437" s="1454"/>
      <c r="AJ437" s="1454"/>
    </row>
    <row r="438" spans="1:110" ht="12.95" customHeight="1">
      <c r="D438" s="1443" t="s">
        <v>1327</v>
      </c>
      <c r="E438" s="1444"/>
      <c r="F438" s="1444"/>
      <c r="G438" s="1444"/>
      <c r="H438" s="1444"/>
      <c r="I438" s="1444"/>
      <c r="J438" s="1444"/>
      <c r="K438" s="1444"/>
      <c r="L438" s="1444"/>
      <c r="M438" s="1444"/>
      <c r="N438" s="1444"/>
      <c r="O438" s="1444"/>
      <c r="P438" s="1444"/>
      <c r="Q438" s="1444"/>
      <c r="R438" s="1444"/>
      <c r="S438" s="1444"/>
      <c r="T438" s="1444"/>
      <c r="U438" s="1444"/>
      <c r="V438" s="1444"/>
      <c r="W438" s="1444"/>
      <c r="X438" s="1444"/>
      <c r="Y438" s="1444"/>
      <c r="Z438" s="1444"/>
      <c r="AA438" s="1444"/>
      <c r="AB438" s="1444"/>
      <c r="AC438" s="1444"/>
      <c r="AD438" s="1444"/>
      <c r="AE438" s="1444"/>
      <c r="AF438" s="1445"/>
      <c r="AG438" s="1485"/>
      <c r="AH438" s="1486"/>
      <c r="AI438" s="1486"/>
      <c r="AJ438" s="1486"/>
    </row>
    <row r="439" spans="1:110" ht="12.95" customHeight="1">
      <c r="D439" s="1443" t="s">
        <v>1053</v>
      </c>
      <c r="E439" s="1444"/>
      <c r="F439" s="1444"/>
      <c r="G439" s="1444"/>
      <c r="H439" s="1444"/>
      <c r="I439" s="1444"/>
      <c r="J439" s="1444"/>
      <c r="K439" s="1444"/>
      <c r="L439" s="1444"/>
      <c r="M439" s="1444"/>
      <c r="N439" s="1444"/>
      <c r="O439" s="1444"/>
      <c r="P439" s="1444"/>
      <c r="Q439" s="1444"/>
      <c r="R439" s="1444"/>
      <c r="S439" s="1444"/>
      <c r="T439" s="1444"/>
      <c r="U439" s="1444"/>
      <c r="V439" s="1444"/>
      <c r="W439" s="1444"/>
      <c r="X439" s="1444"/>
      <c r="Y439" s="1444"/>
      <c r="Z439" s="1444"/>
      <c r="AA439" s="1444"/>
      <c r="AB439" s="1444"/>
      <c r="AC439" s="1444"/>
      <c r="AD439" s="1444"/>
      <c r="AE439" s="1444"/>
      <c r="AF439" s="1445"/>
      <c r="AG439" s="1454">
        <v>91</v>
      </c>
      <c r="AH439" s="1454"/>
      <c r="AI439" s="1454"/>
      <c r="AJ439" s="1454"/>
    </row>
    <row r="440" spans="1:110" ht="12.95" customHeight="1">
      <c r="D440" s="1443" t="s">
        <v>1054</v>
      </c>
      <c r="E440" s="1444"/>
      <c r="F440" s="1444"/>
      <c r="G440" s="1444"/>
      <c r="H440" s="1444"/>
      <c r="I440" s="1444"/>
      <c r="J440" s="1444"/>
      <c r="K440" s="1444"/>
      <c r="L440" s="1444"/>
      <c r="M440" s="1444"/>
      <c r="N440" s="1444"/>
      <c r="O440" s="1444"/>
      <c r="P440" s="1444"/>
      <c r="Q440" s="1444"/>
      <c r="R440" s="1444"/>
      <c r="S440" s="1444"/>
      <c r="T440" s="1444"/>
      <c r="U440" s="1444"/>
      <c r="V440" s="1444"/>
      <c r="W440" s="1444"/>
      <c r="X440" s="1444"/>
      <c r="Y440" s="1444"/>
      <c r="Z440" s="1444"/>
      <c r="AA440" s="1444"/>
      <c r="AB440" s="1444"/>
      <c r="AC440" s="1444"/>
      <c r="AD440" s="1444"/>
      <c r="AE440" s="1444"/>
      <c r="AF440" s="1445"/>
      <c r="AG440" s="1454">
        <v>91</v>
      </c>
      <c r="AH440" s="1454"/>
      <c r="AI440" s="1454"/>
      <c r="AJ440" s="1454"/>
    </row>
    <row r="441" spans="1:110" ht="12.95" customHeight="1">
      <c r="D441" s="1443" t="s">
        <v>1056</v>
      </c>
      <c r="E441" s="1444"/>
      <c r="F441" s="1444"/>
      <c r="G441" s="1444"/>
      <c r="H441" s="1444"/>
      <c r="I441" s="1444"/>
      <c r="J441" s="1444"/>
      <c r="K441" s="1444"/>
      <c r="L441" s="1444"/>
      <c r="M441" s="1444"/>
      <c r="N441" s="1444"/>
      <c r="O441" s="1444"/>
      <c r="P441" s="1444"/>
      <c r="Q441" s="1444"/>
      <c r="R441" s="1444"/>
      <c r="S441" s="1444"/>
      <c r="T441" s="1444"/>
      <c r="U441" s="1444"/>
      <c r="V441" s="1444"/>
      <c r="W441" s="1444"/>
      <c r="X441" s="1444"/>
      <c r="Y441" s="1444"/>
      <c r="Z441" s="1444"/>
      <c r="AA441" s="1444"/>
      <c r="AB441" s="1444"/>
      <c r="AC441" s="1444"/>
      <c r="AD441" s="1444"/>
      <c r="AE441" s="1444"/>
      <c r="AF441" s="1445"/>
      <c r="AG441" s="1458">
        <f>IF(ISERROR(AG440/AG439),"",AG440/AG439)</f>
        <v>1</v>
      </c>
      <c r="AH441" s="1458"/>
      <c r="AI441" s="1458"/>
      <c r="AJ441" s="1458"/>
    </row>
    <row r="442" spans="1:110" ht="12.95" customHeight="1">
      <c r="D442" s="1443" t="s">
        <v>1055</v>
      </c>
      <c r="E442" s="1444"/>
      <c r="F442" s="1444"/>
      <c r="G442" s="1444"/>
      <c r="H442" s="1444"/>
      <c r="I442" s="1444"/>
      <c r="J442" s="1444"/>
      <c r="K442" s="1444"/>
      <c r="L442" s="1444"/>
      <c r="M442" s="1444"/>
      <c r="N442" s="1444"/>
      <c r="O442" s="1444"/>
      <c r="P442" s="1444"/>
      <c r="Q442" s="1444"/>
      <c r="R442" s="1444"/>
      <c r="S442" s="1444"/>
      <c r="T442" s="1444"/>
      <c r="U442" s="1444"/>
      <c r="V442" s="1444"/>
      <c r="W442" s="1444"/>
      <c r="X442" s="1444"/>
      <c r="Y442" s="1444"/>
      <c r="Z442" s="1444"/>
      <c r="AA442" s="1444"/>
      <c r="AB442" s="1444"/>
      <c r="AC442" s="1444"/>
      <c r="AD442" s="1444"/>
      <c r="AE442" s="1444"/>
      <c r="AF442" s="1445"/>
      <c r="AG442" s="1403">
        <v>61951</v>
      </c>
      <c r="AH442" s="1403"/>
      <c r="AI442" s="1403"/>
      <c r="AJ442" s="1403"/>
    </row>
    <row r="443" spans="1:110" ht="12.95" customHeight="1">
      <c r="D443" s="1443" t="s">
        <v>1057</v>
      </c>
      <c r="E443" s="1444"/>
      <c r="F443" s="1444"/>
      <c r="G443" s="1444"/>
      <c r="H443" s="1444"/>
      <c r="I443" s="1444"/>
      <c r="J443" s="1444"/>
      <c r="K443" s="1444"/>
      <c r="L443" s="1444"/>
      <c r="M443" s="1444"/>
      <c r="N443" s="1444"/>
      <c r="O443" s="1444"/>
      <c r="P443" s="1444"/>
      <c r="Q443" s="1444"/>
      <c r="R443" s="1444"/>
      <c r="S443" s="1444"/>
      <c r="T443" s="1444"/>
      <c r="U443" s="1444"/>
      <c r="V443" s="1444"/>
      <c r="W443" s="1444"/>
      <c r="X443" s="1444"/>
      <c r="Y443" s="1444"/>
      <c r="Z443" s="1444"/>
      <c r="AA443" s="1444"/>
      <c r="AB443" s="1444"/>
      <c r="AC443" s="1444"/>
      <c r="AD443" s="1444"/>
      <c r="AE443" s="1444"/>
      <c r="AF443" s="1445"/>
      <c r="AG443" s="1403">
        <v>61951</v>
      </c>
      <c r="AH443" s="1403"/>
      <c r="AI443" s="1403"/>
      <c r="AJ443" s="1403"/>
    </row>
    <row r="444" spans="1:110" ht="12.95" customHeight="1">
      <c r="D444" s="1443" t="s">
        <v>1058</v>
      </c>
      <c r="E444" s="1444"/>
      <c r="F444" s="1444"/>
      <c r="G444" s="1444"/>
      <c r="H444" s="1444"/>
      <c r="I444" s="1444"/>
      <c r="J444" s="1444"/>
      <c r="K444" s="1444"/>
      <c r="L444" s="1444"/>
      <c r="M444" s="1444"/>
      <c r="N444" s="1444"/>
      <c r="O444" s="1444"/>
      <c r="P444" s="1444"/>
      <c r="Q444" s="1444"/>
      <c r="R444" s="1444"/>
      <c r="S444" s="1444"/>
      <c r="T444" s="1444"/>
      <c r="U444" s="1444"/>
      <c r="V444" s="1444"/>
      <c r="W444" s="1444"/>
      <c r="X444" s="1444"/>
      <c r="Y444" s="1444"/>
      <c r="Z444" s="1444"/>
      <c r="AA444" s="1444"/>
      <c r="AB444" s="1444"/>
      <c r="AC444" s="1444"/>
      <c r="AD444" s="1444"/>
      <c r="AE444" s="1444"/>
      <c r="AF444" s="1445"/>
      <c r="AG444" s="1458">
        <f>IF(ISERROR(AG443/AG442),"",AG443/AG442)</f>
        <v>1</v>
      </c>
      <c r="AH444" s="1458"/>
      <c r="AI444" s="1458"/>
      <c r="AJ444" s="1458"/>
    </row>
    <row r="445" spans="1:110" ht="12.95" customHeight="1">
      <c r="D445" s="1443" t="s">
        <v>1059</v>
      </c>
      <c r="E445" s="1444"/>
      <c r="F445" s="1444"/>
      <c r="G445" s="1444"/>
      <c r="H445" s="1444"/>
      <c r="I445" s="1444"/>
      <c r="J445" s="1444"/>
      <c r="K445" s="1444"/>
      <c r="L445" s="1444"/>
      <c r="M445" s="1444"/>
      <c r="N445" s="1444"/>
      <c r="O445" s="1444"/>
      <c r="P445" s="1444"/>
      <c r="Q445" s="1444"/>
      <c r="R445" s="1444"/>
      <c r="S445" s="1444"/>
      <c r="T445" s="1444"/>
      <c r="U445" s="1444"/>
      <c r="V445" s="1444"/>
      <c r="W445" s="1444"/>
      <c r="X445" s="1444"/>
      <c r="Y445" s="1444"/>
      <c r="Z445" s="1444"/>
      <c r="AA445" s="1444"/>
      <c r="AB445" s="1444"/>
      <c r="AC445" s="1444"/>
      <c r="AD445" s="1444"/>
      <c r="AE445" s="1444"/>
      <c r="AF445" s="1445"/>
      <c r="AG445" s="1458">
        <f>MIN(IF(AG441&gt;AG444,AG444,AG441),1)</f>
        <v>1</v>
      </c>
      <c r="AH445" s="1458"/>
      <c r="AI445" s="1458"/>
      <c r="AJ445" s="1458"/>
    </row>
    <row r="446" spans="1:110" ht="12.95" customHeight="1">
      <c r="D446" s="1443" t="s">
        <v>2402</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03">
        <v>2999</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9" t="s">
        <v>576</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03">
        <v>0</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3" t="s">
        <v>1309</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03">
        <v>33769</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3" t="s">
        <v>1060</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03">
        <v>0</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1061</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55">
        <f>AG442+AG446+AG448+AG449</f>
        <v>98719</v>
      </c>
      <c r="AH450" s="1455"/>
      <c r="AI450" s="1455"/>
      <c r="AJ450" s="145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1310</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7">
        <f>IF(AG437=0,"",'Sources and Uses Budget'!B105/Application!AG437)</f>
        <v>1013976.6739130435</v>
      </c>
      <c r="AD454" s="1397"/>
      <c r="AE454" s="1397"/>
      <c r="AF454" s="139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7">
        <f>IF(AG437=0,"",'Sources and Uses Budget'!C105/Application!AG437)</f>
        <v>1013976.6739130435</v>
      </c>
      <c r="AD455" s="1397"/>
      <c r="AE455" s="1397"/>
      <c r="AF455" s="13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7">
        <f>IF(AG437=0,"",('Sources and Uses Budget'!$S$107+'Sources and Uses Budget'!$T$107)/Application!AG437)</f>
        <v>949361.82608695654</v>
      </c>
      <c r="AD456" s="1397"/>
      <c r="AE456" s="1397"/>
      <c r="AF456" s="139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2416</v>
      </c>
      <c r="E465" s="1408"/>
      <c r="F465" s="1408"/>
      <c r="G465" s="1408"/>
      <c r="H465" s="1408"/>
      <c r="I465" s="1408"/>
      <c r="J465" s="1408"/>
      <c r="K465" s="1408"/>
      <c r="L465" s="1408"/>
      <c r="M465" s="1408"/>
      <c r="N465" s="1408"/>
      <c r="O465" s="1408"/>
      <c r="P465" s="1408"/>
      <c r="Q465" s="1408"/>
      <c r="R465" s="1408"/>
      <c r="S465" s="1408"/>
      <c r="T465" s="1408"/>
      <c r="U465" s="1408"/>
      <c r="V465" s="1409"/>
      <c r="W465" s="1428">
        <v>0</v>
      </c>
      <c r="X465" s="1429"/>
      <c r="Y465" s="143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7" t="s">
        <v>701</v>
      </c>
      <c r="E466" s="1408"/>
      <c r="F466" s="1408"/>
      <c r="G466" s="1408"/>
      <c r="H466" s="1408"/>
      <c r="I466" s="1408"/>
      <c r="J466" s="1408"/>
      <c r="K466" s="1408"/>
      <c r="L466" s="1408"/>
      <c r="M466" s="1408"/>
      <c r="N466" s="1408"/>
      <c r="O466" s="1408"/>
      <c r="P466" s="1408"/>
      <c r="Q466" s="1408"/>
      <c r="R466" s="1408"/>
      <c r="S466" s="1408"/>
      <c r="T466" s="1408"/>
      <c r="U466" s="1408"/>
      <c r="V466" s="1409"/>
      <c r="W466" s="1428">
        <v>0</v>
      </c>
      <c r="X466" s="1429"/>
      <c r="Y466" s="143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7" t="s">
        <v>702</v>
      </c>
      <c r="E467" s="1408"/>
      <c r="F467" s="1408"/>
      <c r="G467" s="1408"/>
      <c r="H467" s="1408"/>
      <c r="I467" s="1408"/>
      <c r="J467" s="1408"/>
      <c r="K467" s="1408"/>
      <c r="L467" s="1408"/>
      <c r="M467" s="1408"/>
      <c r="N467" s="1408"/>
      <c r="O467" s="1408"/>
      <c r="P467" s="1408"/>
      <c r="Q467" s="1408"/>
      <c r="R467" s="1408"/>
      <c r="S467" s="1408"/>
      <c r="T467" s="1408"/>
      <c r="U467" s="1408"/>
      <c r="V467" s="1409"/>
      <c r="W467" s="1428">
        <v>0</v>
      </c>
      <c r="X467" s="1429"/>
      <c r="Y467" s="143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7" t="s">
        <v>703</v>
      </c>
      <c r="E468" s="1408"/>
      <c r="F468" s="1408"/>
      <c r="G468" s="1408"/>
      <c r="H468" s="1408"/>
      <c r="I468" s="1408"/>
      <c r="J468" s="1408"/>
      <c r="K468" s="1408"/>
      <c r="L468" s="1408"/>
      <c r="M468" s="1408"/>
      <c r="N468" s="1408"/>
      <c r="O468" s="1408"/>
      <c r="P468" s="1408"/>
      <c r="Q468" s="1408"/>
      <c r="R468" s="1408"/>
      <c r="S468" s="1408"/>
      <c r="T468" s="1408"/>
      <c r="U468" s="1408"/>
      <c r="V468" s="1409"/>
      <c r="W468" s="1428">
        <v>0</v>
      </c>
      <c r="X468" s="1429"/>
      <c r="Y468" s="143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7" t="s">
        <v>892</v>
      </c>
      <c r="E469" s="1408"/>
      <c r="F469" s="1408"/>
      <c r="G469" s="1408"/>
      <c r="H469" s="1408"/>
      <c r="I469" s="1408"/>
      <c r="J469" s="1408"/>
      <c r="K469" s="1408"/>
      <c r="L469" s="1408"/>
      <c r="M469" s="1408"/>
      <c r="N469" s="1408"/>
      <c r="O469" s="1408"/>
      <c r="P469" s="1408"/>
      <c r="Q469" s="1408"/>
      <c r="R469" s="1408"/>
      <c r="S469" s="1408"/>
      <c r="T469" s="1408"/>
      <c r="U469" s="1408"/>
      <c r="V469" s="1409"/>
      <c r="W469" s="1428">
        <v>0</v>
      </c>
      <c r="X469" s="1429"/>
      <c r="Y469" s="143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7" t="s">
        <v>704</v>
      </c>
      <c r="E470" s="1408"/>
      <c r="F470" s="1408"/>
      <c r="G470" s="1408"/>
      <c r="H470" s="1408"/>
      <c r="I470" s="1408"/>
      <c r="J470" s="1408"/>
      <c r="K470" s="1408"/>
      <c r="L470" s="1408"/>
      <c r="M470" s="1408"/>
      <c r="N470" s="1408"/>
      <c r="O470" s="1408"/>
      <c r="P470" s="1408"/>
      <c r="Q470" s="1408"/>
      <c r="R470" s="1408"/>
      <c r="S470" s="1408"/>
      <c r="T470" s="1408"/>
      <c r="U470" s="1408"/>
      <c r="V470" s="1409"/>
      <c r="W470" s="1428">
        <v>0</v>
      </c>
      <c r="X470" s="1429"/>
      <c r="Y470" s="143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7" t="s">
        <v>1034</v>
      </c>
      <c r="E471" s="1408"/>
      <c r="F471" s="1408"/>
      <c r="G471" s="1408"/>
      <c r="H471" s="1408"/>
      <c r="I471" s="1408"/>
      <c r="J471" s="1408"/>
      <c r="K471" s="1408"/>
      <c r="L471" s="1408"/>
      <c r="M471" s="1408"/>
      <c r="N471" s="1408"/>
      <c r="O471" s="1408"/>
      <c r="P471" s="1408"/>
      <c r="Q471" s="1408"/>
      <c r="R471" s="1408"/>
      <c r="S471" s="1408"/>
      <c r="T471" s="1408"/>
      <c r="U471" s="1408"/>
      <c r="V471" s="1409"/>
      <c r="W471" s="1428">
        <v>0</v>
      </c>
      <c r="X471" s="1429"/>
      <c r="Y471" s="143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2553</v>
      </c>
      <c r="E472" s="1426"/>
      <c r="F472" s="1426"/>
      <c r="G472" s="1426"/>
      <c r="H472" s="1426"/>
      <c r="I472" s="1426"/>
      <c r="J472" s="1426"/>
      <c r="K472" s="1426"/>
      <c r="L472" s="1426"/>
      <c r="M472" s="1426"/>
      <c r="N472" s="1426"/>
      <c r="O472" s="1426"/>
      <c r="P472" s="1426"/>
      <c r="Q472" s="1426"/>
      <c r="R472" s="1426"/>
      <c r="S472" s="1426"/>
      <c r="T472" s="1426"/>
      <c r="U472" s="1426"/>
      <c r="V472" s="1427"/>
      <c r="W472" s="1428">
        <v>0</v>
      </c>
      <c r="X472" s="1429"/>
      <c r="Y472" s="143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1765</v>
      </c>
      <c r="E473" s="1408"/>
      <c r="F473" s="1408"/>
      <c r="G473" s="1408"/>
      <c r="H473" s="1408"/>
      <c r="I473" s="1408"/>
      <c r="J473" s="1408"/>
      <c r="K473" s="1408"/>
      <c r="L473" s="1408"/>
      <c r="M473" s="1408"/>
      <c r="N473" s="1408"/>
      <c r="O473" s="1408"/>
      <c r="P473" s="1408"/>
      <c r="Q473" s="1408"/>
      <c r="R473" s="1408"/>
      <c r="S473" s="1408"/>
      <c r="T473" s="1408"/>
      <c r="U473" s="1408"/>
      <c r="V473" s="1409"/>
      <c r="W473" s="1428">
        <v>14</v>
      </c>
      <c r="X473" s="1429"/>
      <c r="Y473" s="143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9"/>
      <c r="H474" s="1520"/>
      <c r="I474" s="1520"/>
      <c r="J474" s="1520"/>
      <c r="K474" s="1520"/>
      <c r="L474" s="1520"/>
      <c r="M474" s="1520"/>
      <c r="N474" s="1520"/>
      <c r="O474" s="1520"/>
      <c r="P474" s="1520"/>
      <c r="Q474" s="1520"/>
      <c r="R474" s="1520"/>
      <c r="S474" s="1520"/>
      <c r="T474" s="1520"/>
      <c r="U474" s="1520"/>
      <c r="V474" s="1521"/>
      <c r="W474" s="1428">
        <v>0</v>
      </c>
      <c r="X474" s="1429"/>
      <c r="Y474" s="143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43" t="s">
        <v>818</v>
      </c>
      <c r="B480" s="1643"/>
      <c r="C480" s="1643"/>
      <c r="D480" s="1643"/>
      <c r="E480" s="1643"/>
      <c r="F480" s="1643"/>
      <c r="G480" s="1643"/>
      <c r="H480" s="1643"/>
      <c r="I480" s="1643"/>
      <c r="J480" s="1643"/>
      <c r="K480" s="1643"/>
      <c r="L480" s="1643"/>
      <c r="M480" s="1643"/>
      <c r="N480" s="1643"/>
      <c r="O480" s="1643"/>
      <c r="P480" s="1643"/>
      <c r="Q480" s="1643"/>
      <c r="R480" s="1643"/>
      <c r="S480" s="1643"/>
      <c r="T480" s="1643"/>
      <c r="U480" s="1643"/>
      <c r="V480" s="1643"/>
      <c r="W480" s="1643"/>
      <c r="X480" s="1643"/>
      <c r="Y480" s="1643"/>
      <c r="Z480" s="1643"/>
      <c r="AA480" s="1643"/>
      <c r="AB480" s="1643"/>
      <c r="AC480" s="1643"/>
      <c r="AD480" s="1643"/>
      <c r="AE480" s="1643"/>
      <c r="AF480" s="1643"/>
      <c r="AG480" s="1643"/>
      <c r="AH480" s="1643"/>
      <c r="AI480" s="1643"/>
      <c r="AJ480" s="1643"/>
      <c r="AK480" s="1643"/>
      <c r="AL480" s="1643"/>
      <c r="AM480" s="1643"/>
      <c r="AN480" s="1643"/>
      <c r="AO480" s="1643"/>
      <c r="AP480" s="1643"/>
      <c r="AQ480" s="1643"/>
      <c r="AR480" s="1643"/>
      <c r="AS480" s="1643"/>
      <c r="AT480" s="164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43"/>
      <c r="B481" s="1643"/>
      <c r="C481" s="1643"/>
      <c r="D481" s="1643"/>
      <c r="E481" s="1643"/>
      <c r="F481" s="1643"/>
      <c r="G481" s="1643"/>
      <c r="H481" s="1643"/>
      <c r="I481" s="1643"/>
      <c r="J481" s="1643"/>
      <c r="K481" s="1643"/>
      <c r="L481" s="1643"/>
      <c r="M481" s="1643"/>
      <c r="N481" s="1643"/>
      <c r="O481" s="1643"/>
      <c r="P481" s="1643"/>
      <c r="Q481" s="1643"/>
      <c r="R481" s="1643"/>
      <c r="S481" s="1643"/>
      <c r="T481" s="1643"/>
      <c r="U481" s="1643"/>
      <c r="V481" s="1643"/>
      <c r="W481" s="1643"/>
      <c r="X481" s="1643"/>
      <c r="Y481" s="1643"/>
      <c r="Z481" s="1643"/>
      <c r="AA481" s="1643"/>
      <c r="AB481" s="1643"/>
      <c r="AC481" s="1643"/>
      <c r="AD481" s="1643"/>
      <c r="AE481" s="1643"/>
      <c r="AF481" s="1643"/>
      <c r="AG481" s="1643"/>
      <c r="AH481" s="1643"/>
      <c r="AI481" s="1643"/>
      <c r="AJ481" s="1643"/>
      <c r="AK481" s="1643"/>
      <c r="AL481" s="1643"/>
      <c r="AM481" s="1643"/>
      <c r="AN481" s="1643"/>
      <c r="AO481" s="1643"/>
      <c r="AP481" s="1643"/>
      <c r="AQ481" s="1643"/>
      <c r="AR481" s="1643"/>
      <c r="AS481" s="1643"/>
      <c r="AT481" s="164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6" t="s">
        <v>394</v>
      </c>
      <c r="R485" s="1517"/>
      <c r="S485" s="1517"/>
      <c r="T485" s="1517"/>
      <c r="U485" s="1517"/>
      <c r="V485" s="1517"/>
      <c r="W485" s="1517"/>
      <c r="X485" s="1517"/>
      <c r="Y485" s="1517"/>
      <c r="Z485" s="1517"/>
      <c r="AA485" s="1517"/>
      <c r="AB485" s="1517"/>
      <c r="AC485" s="1517"/>
      <c r="AD485" s="1517"/>
      <c r="AE485" s="1517"/>
      <c r="AF485" s="1517"/>
      <c r="AG485" s="1517"/>
      <c r="AH485" s="1517"/>
      <c r="AI485" s="1517"/>
      <c r="AJ485" s="1517"/>
      <c r="AK485" s="151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9" t="s">
        <v>2716</v>
      </c>
      <c r="R486" s="1452"/>
      <c r="S486" s="1452"/>
      <c r="T486" s="1452"/>
      <c r="U486" s="1452"/>
      <c r="V486" s="1452"/>
      <c r="W486" s="1452"/>
      <c r="X486" s="1452"/>
      <c r="Y486" s="1452"/>
      <c r="Z486" s="1452"/>
      <c r="AA486" s="1452"/>
      <c r="AB486" s="1452"/>
      <c r="AC486" s="1452"/>
      <c r="AD486" s="1452"/>
      <c r="AE486" s="1452"/>
      <c r="AF486" s="1452"/>
      <c r="AG486" s="1452"/>
      <c r="AH486" s="1452"/>
      <c r="AI486" s="1452"/>
      <c r="AJ486" s="1452"/>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9" t="s">
        <v>2717</v>
      </c>
      <c r="R487" s="1452"/>
      <c r="S487" s="1452"/>
      <c r="T487" s="1452"/>
      <c r="U487" s="1452"/>
      <c r="V487" s="1452"/>
      <c r="W487" s="1452"/>
      <c r="X487" s="1452"/>
      <c r="Y487" s="1452"/>
      <c r="Z487" s="1452"/>
      <c r="AA487" s="1452"/>
      <c r="AB487" s="1452"/>
      <c r="AC487" s="1452"/>
      <c r="AD487" s="1452"/>
      <c r="AE487" s="1452"/>
      <c r="AF487" s="1452"/>
      <c r="AG487" s="1452"/>
      <c r="AH487" s="1452"/>
      <c r="AI487" s="1452"/>
      <c r="AJ487" s="1452"/>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9" t="s">
        <v>2717</v>
      </c>
      <c r="R488" s="1452"/>
      <c r="S488" s="1452"/>
      <c r="T488" s="1452"/>
      <c r="U488" s="1452"/>
      <c r="V488" s="1452"/>
      <c r="W488" s="1452"/>
      <c r="X488" s="1452"/>
      <c r="Y488" s="1452"/>
      <c r="Z488" s="1452"/>
      <c r="AA488" s="1452"/>
      <c r="AB488" s="1452"/>
      <c r="AC488" s="1452"/>
      <c r="AD488" s="1452"/>
      <c r="AE488" s="1452"/>
      <c r="AF488" s="1452"/>
      <c r="AG488" s="1452"/>
      <c r="AH488" s="1452"/>
      <c r="AI488" s="1452"/>
      <c r="AJ488" s="1452"/>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398</v>
      </c>
      <c r="C489" s="1460"/>
      <c r="D489" s="1460"/>
      <c r="E489" s="1460"/>
      <c r="F489" s="1460"/>
      <c r="G489" s="1460"/>
      <c r="H489" s="1460"/>
      <c r="I489" s="1460"/>
      <c r="J489" s="1460"/>
      <c r="K489" s="1460"/>
      <c r="L489" s="1460"/>
      <c r="M489" s="1460"/>
      <c r="N489" s="1460"/>
      <c r="O489" s="1460"/>
      <c r="P489" s="1461"/>
      <c r="Q489" s="1465" t="s">
        <v>676</v>
      </c>
      <c r="R489" s="1466"/>
      <c r="S489" s="1535" t="s">
        <v>166</v>
      </c>
      <c r="T489" s="1536"/>
      <c r="U489" s="1536"/>
      <c r="V489" s="1536"/>
      <c r="W489" s="1536"/>
      <c r="X489" s="1536"/>
      <c r="Y489" s="1536"/>
      <c r="Z489" s="1536"/>
      <c r="AA489" s="1536"/>
      <c r="AB489" s="1536"/>
      <c r="AC489" s="1536"/>
      <c r="AD489" s="1536"/>
      <c r="AE489" s="1536"/>
      <c r="AF489" s="1536"/>
      <c r="AG489" s="1536"/>
      <c r="AH489" s="1536"/>
      <c r="AI489" s="1536"/>
      <c r="AJ489" s="1536"/>
      <c r="AK489" s="15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538"/>
      <c r="T490" s="1478"/>
      <c r="U490" s="1478"/>
      <c r="V490" s="1478"/>
      <c r="W490" s="1478"/>
      <c r="X490" s="1478"/>
      <c r="Y490" s="1478"/>
      <c r="Z490" s="1478"/>
      <c r="AA490" s="1478"/>
      <c r="AB490" s="1478"/>
      <c r="AC490" s="1478"/>
      <c r="AD490" s="1478"/>
      <c r="AE490" s="1478"/>
      <c r="AF490" s="1478"/>
      <c r="AG490" s="1478"/>
      <c r="AH490" s="1478"/>
      <c r="AI490" s="1478"/>
      <c r="AJ490" s="1478"/>
      <c r="AK490" s="15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00" t="s">
        <v>676</v>
      </c>
      <c r="R491" s="1401"/>
      <c r="S491" s="1401"/>
      <c r="T491" s="1401"/>
      <c r="U491" s="1401"/>
      <c r="V491" s="1401"/>
      <c r="W491" s="1401"/>
      <c r="X491" s="1401"/>
      <c r="Y491" s="1401"/>
      <c r="Z491" s="1401"/>
      <c r="AA491" s="1401"/>
      <c r="AB491" s="1401"/>
      <c r="AC491" s="1401"/>
      <c r="AD491" s="1401"/>
      <c r="AE491" s="1401"/>
      <c r="AF491" s="1401"/>
      <c r="AG491" s="1401"/>
      <c r="AH491" s="1401"/>
      <c r="AI491" s="1401"/>
      <c r="AJ491" s="1401"/>
      <c r="AK491" s="140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9" t="s">
        <v>2718</v>
      </c>
      <c r="R492" s="1452"/>
      <c r="S492" s="1452"/>
      <c r="T492" s="1452"/>
      <c r="U492" s="1452"/>
      <c r="V492" s="1452"/>
      <c r="W492" s="1452"/>
      <c r="X492" s="1452"/>
      <c r="Y492" s="1452"/>
      <c r="Z492" s="1452"/>
      <c r="AA492" s="1452"/>
      <c r="AB492" s="1452"/>
      <c r="AC492" s="1452"/>
      <c r="AD492" s="1452"/>
      <c r="AE492" s="1452"/>
      <c r="AF492" s="1452"/>
      <c r="AG492" s="1452"/>
      <c r="AH492" s="1452"/>
      <c r="AI492" s="1452"/>
      <c r="AJ492" s="1452"/>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9" t="s">
        <v>2719</v>
      </c>
      <c r="R493" s="1452"/>
      <c r="S493" s="1452"/>
      <c r="T493" s="1452"/>
      <c r="U493" s="1452"/>
      <c r="V493" s="1452"/>
      <c r="W493" s="1452"/>
      <c r="X493" s="1452"/>
      <c r="Y493" s="1452"/>
      <c r="Z493" s="1452"/>
      <c r="AA493" s="1452"/>
      <c r="AB493" s="1452"/>
      <c r="AC493" s="1452"/>
      <c r="AD493" s="1452"/>
      <c r="AE493" s="1452"/>
      <c r="AF493" s="1452"/>
      <c r="AG493" s="1452"/>
      <c r="AH493" s="1452"/>
      <c r="AI493" s="1452"/>
      <c r="AJ493" s="1452"/>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51">
        <v>0</v>
      </c>
      <c r="R494" s="1452"/>
      <c r="S494" s="1452"/>
      <c r="T494" s="1452"/>
      <c r="U494" s="1452"/>
      <c r="V494" s="1452"/>
      <c r="W494" s="1452"/>
      <c r="X494" s="1452"/>
      <c r="Y494" s="1452"/>
      <c r="Z494" s="1452"/>
      <c r="AA494" s="1452"/>
      <c r="AB494" s="1452"/>
      <c r="AC494" s="1452"/>
      <c r="AD494" s="1452"/>
      <c r="AE494" s="1452"/>
      <c r="AF494" s="1452"/>
      <c r="AG494" s="1452"/>
      <c r="AH494" s="1452"/>
      <c r="AI494" s="1452"/>
      <c r="AJ494" s="1452"/>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04"/>
      <c r="N495" s="1405"/>
      <c r="O495" s="1405"/>
      <c r="P495" s="1406"/>
      <c r="Q495" s="121" t="s">
        <v>1782</v>
      </c>
      <c r="R495" s="5"/>
      <c r="S495" s="5"/>
      <c r="T495" s="5"/>
      <c r="U495" s="5"/>
      <c r="V495" s="5"/>
      <c r="W495" s="5"/>
      <c r="X495" s="5"/>
      <c r="Y495" s="5"/>
      <c r="Z495" s="5"/>
      <c r="AA495" s="5"/>
      <c r="AB495" s="5"/>
      <c r="AC495" s="5"/>
      <c r="AD495" s="5"/>
      <c r="AE495" s="5"/>
      <c r="AF495" s="5"/>
      <c r="AG495" s="5"/>
      <c r="AH495" s="1404"/>
      <c r="AI495" s="1405"/>
      <c r="AJ495" s="1405"/>
      <c r="AK495" s="140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6" t="s">
        <v>402</v>
      </c>
      <c r="AD499" s="1517"/>
      <c r="AE499" s="1517"/>
      <c r="AF499" s="1517"/>
      <c r="AG499" s="1517"/>
      <c r="AH499" s="1517"/>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6" t="s">
        <v>403</v>
      </c>
      <c r="AD500" s="1517"/>
      <c r="AE500" s="1517"/>
      <c r="AF500" s="1517"/>
      <c r="AG500" s="50" t="s">
        <v>404</v>
      </c>
      <c r="AH500" s="1517" t="s">
        <v>405</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448">
        <v>4</v>
      </c>
      <c r="AD501" s="1449"/>
      <c r="AE501" s="1449"/>
      <c r="AF501" s="1449"/>
      <c r="AG501" s="13" t="s">
        <v>404</v>
      </c>
      <c r="AH501" s="1398">
        <v>2022</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448">
        <v>12</v>
      </c>
      <c r="AD502" s="1449"/>
      <c r="AE502" s="1449"/>
      <c r="AF502" s="1449"/>
      <c r="AG502" s="38" t="s">
        <v>404</v>
      </c>
      <c r="AH502" s="1398">
        <v>2024</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448" t="s">
        <v>598</v>
      </c>
      <c r="AD503" s="1449"/>
      <c r="AE503" s="1449"/>
      <c r="AF503" s="1449"/>
      <c r="AG503" s="13" t="s">
        <v>404</v>
      </c>
      <c r="AH503" s="1398"/>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0"/>
      <c r="C504" s="1421"/>
      <c r="D504" s="1421"/>
      <c r="E504" s="1421"/>
      <c r="F504" s="1421"/>
      <c r="G504" s="1421"/>
      <c r="H504" s="1422"/>
      <c r="I504" t="s">
        <v>411</v>
      </c>
      <c r="AC504" s="1448" t="s">
        <v>598</v>
      </c>
      <c r="AD504" s="1449"/>
      <c r="AE504" s="1449"/>
      <c r="AF504" s="1449"/>
      <c r="AG504" s="13" t="s">
        <v>404</v>
      </c>
      <c r="AH504" s="1398"/>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0"/>
      <c r="C505" s="1421"/>
      <c r="D505" s="1421"/>
      <c r="E505" s="1421"/>
      <c r="F505" s="1421"/>
      <c r="G505" s="1421"/>
      <c r="H505" s="1422"/>
      <c r="I505" t="s">
        <v>412</v>
      </c>
      <c r="AC505" s="1448" t="s">
        <v>598</v>
      </c>
      <c r="AD505" s="1449"/>
      <c r="AE505" s="1449"/>
      <c r="AF505" s="1449"/>
      <c r="AG505" s="13" t="s">
        <v>404</v>
      </c>
      <c r="AH505" s="1398"/>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0"/>
      <c r="C506" s="1421"/>
      <c r="D506" s="1421"/>
      <c r="E506" s="1421"/>
      <c r="F506" s="1421"/>
      <c r="G506" s="1421"/>
      <c r="H506" s="1422"/>
      <c r="I506" t="s">
        <v>413</v>
      </c>
      <c r="AC506" s="1448">
        <v>12</v>
      </c>
      <c r="AD506" s="1449"/>
      <c r="AE506" s="1449"/>
      <c r="AF506" s="1449"/>
      <c r="AG506" s="13" t="s">
        <v>404</v>
      </c>
      <c r="AH506" s="1398">
        <v>2024</v>
      </c>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0"/>
      <c r="C507" s="1421"/>
      <c r="D507" s="1421"/>
      <c r="E507" s="1421"/>
      <c r="F507" s="1421"/>
      <c r="G507" s="1421"/>
      <c r="H507" s="1422"/>
      <c r="I507" s="3" t="s">
        <v>414</v>
      </c>
      <c r="AC507" s="1355">
        <v>12</v>
      </c>
      <c r="AD507" s="1356"/>
      <c r="AE507" s="1356"/>
      <c r="AF507" s="1356"/>
      <c r="AG507" s="13" t="s">
        <v>404</v>
      </c>
      <c r="AH507" s="1398">
        <v>2024</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0"/>
      <c r="C508" s="1421"/>
      <c r="D508" s="1421"/>
      <c r="E508" s="1421"/>
      <c r="F508" s="1421"/>
      <c r="G508" s="1421"/>
      <c r="H508" s="1422"/>
      <c r="I508" s="931" t="s">
        <v>170</v>
      </c>
      <c r="J508" s="48"/>
      <c r="K508" s="48"/>
      <c r="L508" s="1431" t="s">
        <v>335</v>
      </c>
      <c r="M508" s="1432"/>
      <c r="N508" s="1432"/>
      <c r="O508" s="1432"/>
      <c r="P508" s="1432"/>
      <c r="Q508" s="1432"/>
      <c r="R508" s="1432"/>
      <c r="S508" s="1432"/>
      <c r="T508" s="1432"/>
      <c r="U508" s="1432"/>
      <c r="V508" s="1432"/>
      <c r="W508" s="1432"/>
      <c r="X508" s="1432"/>
      <c r="Y508" s="1432"/>
      <c r="Z508" s="1432"/>
      <c r="AA508" s="1432"/>
      <c r="AB508" s="1506"/>
      <c r="AC508" s="1448" t="s">
        <v>598</v>
      </c>
      <c r="AD508" s="1449"/>
      <c r="AE508" s="1449"/>
      <c r="AF508" s="1449"/>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4" t="s">
        <v>552</v>
      </c>
      <c r="AD509" s="1454"/>
      <c r="AE509" s="1454"/>
      <c r="AF509" s="1454"/>
      <c r="AG509" s="13"/>
      <c r="AH509" s="1305"/>
      <c r="AI509" s="1305"/>
      <c r="AJ509" s="1305"/>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5">
        <v>1</v>
      </c>
      <c r="AD510" s="1356"/>
      <c r="AE510" s="1356"/>
      <c r="AF510" s="1357"/>
      <c r="AG510" s="13"/>
      <c r="AH510" s="1305"/>
      <c r="AI510" s="1305"/>
      <c r="AJ510" s="1305"/>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7">
        <v>0.5</v>
      </c>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7" t="s">
        <v>403</v>
      </c>
      <c r="AD513" s="1494"/>
      <c r="AE513" s="1494"/>
      <c r="AF513" s="1494"/>
      <c r="AG513" s="38" t="s">
        <v>404</v>
      </c>
      <c r="AH513" s="1494" t="s">
        <v>405</v>
      </c>
      <c r="AI513" s="1494"/>
      <c r="AJ513" s="1494"/>
      <c r="AK513" s="1495"/>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448">
        <v>2</v>
      </c>
      <c r="AD514" s="1449"/>
      <c r="AE514" s="1449"/>
      <c r="AF514" s="1449"/>
      <c r="AG514" s="13" t="s">
        <v>404</v>
      </c>
      <c r="AH514" s="1398">
        <v>2024</v>
      </c>
      <c r="AI514" s="1398"/>
      <c r="AJ514" s="1398"/>
      <c r="AK514" s="1399"/>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0"/>
      <c r="C515" s="1421"/>
      <c r="D515" s="1421"/>
      <c r="E515" s="1421"/>
      <c r="F515" s="1421"/>
      <c r="G515" s="1421"/>
      <c r="H515" s="1422"/>
      <c r="I515" t="s">
        <v>417</v>
      </c>
      <c r="AC515" s="1448">
        <v>4</v>
      </c>
      <c r="AD515" s="1449"/>
      <c r="AE515" s="1449"/>
      <c r="AF515" s="1449"/>
      <c r="AG515" s="13" t="s">
        <v>404</v>
      </c>
      <c r="AH515" s="1398">
        <v>2024</v>
      </c>
      <c r="AI515" s="1398"/>
      <c r="AJ515" s="1398"/>
      <c r="AK515" s="1399"/>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448">
        <v>12</v>
      </c>
      <c r="AD516" s="1449"/>
      <c r="AE516" s="1449"/>
      <c r="AF516" s="1449"/>
      <c r="AG516" s="38" t="s">
        <v>404</v>
      </c>
      <c r="AH516" s="1398">
        <v>2024</v>
      </c>
      <c r="AI516" s="1398"/>
      <c r="AJ516" s="1398"/>
      <c r="AK516" s="1399"/>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404</v>
      </c>
      <c r="AH517" s="1398">
        <v>2024</v>
      </c>
      <c r="AI517" s="1398"/>
      <c r="AJ517" s="1398"/>
      <c r="AK517" s="1399"/>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0"/>
      <c r="C518" s="1421"/>
      <c r="D518" s="1421"/>
      <c r="E518" s="1421"/>
      <c r="F518" s="1421"/>
      <c r="G518" s="1421"/>
      <c r="H518" s="1422"/>
      <c r="I518" t="s">
        <v>417</v>
      </c>
      <c r="AC518" s="1448">
        <v>4</v>
      </c>
      <c r="AD518" s="1449"/>
      <c r="AE518" s="1449"/>
      <c r="AF518" s="1449"/>
      <c r="AG518" s="13" t="s">
        <v>404</v>
      </c>
      <c r="AH518" s="1398">
        <v>2024</v>
      </c>
      <c r="AI518" s="1398"/>
      <c r="AJ518" s="1398"/>
      <c r="AK518" s="1399"/>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3"/>
      <c r="C519" s="1424"/>
      <c r="D519" s="1424"/>
      <c r="E519" s="1424"/>
      <c r="F519" s="1424"/>
      <c r="G519" s="1424"/>
      <c r="H519" s="1425"/>
      <c r="I519" s="48" t="s">
        <v>418</v>
      </c>
      <c r="J519" s="48"/>
      <c r="K519" s="48"/>
      <c r="L519" s="48"/>
      <c r="M519" s="48"/>
      <c r="N519" s="48"/>
      <c r="O519" s="48"/>
      <c r="P519" s="48"/>
      <c r="Q519" s="48"/>
      <c r="R519" s="48"/>
      <c r="S519" s="48"/>
      <c r="T519" s="48"/>
      <c r="U519" s="48"/>
      <c r="V519" s="48"/>
      <c r="W519" s="48"/>
      <c r="X519" s="48"/>
      <c r="Y519" s="48"/>
      <c r="Z519" s="48"/>
      <c r="AA519" s="48"/>
      <c r="AB519" s="48"/>
      <c r="AC519" s="1448">
        <v>12</v>
      </c>
      <c r="AD519" s="1449"/>
      <c r="AE519" s="1449"/>
      <c r="AF519" s="1449"/>
      <c r="AG519" s="38" t="s">
        <v>404</v>
      </c>
      <c r="AH519" s="1398">
        <v>2024</v>
      </c>
      <c r="AI519" s="1398"/>
      <c r="AJ519" s="1398"/>
      <c r="AK519" s="1399"/>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7" t="s">
        <v>420</v>
      </c>
      <c r="C520" s="1418"/>
      <c r="D520" s="1418"/>
      <c r="E520" s="1418"/>
      <c r="F520" s="1418"/>
      <c r="G520" s="1418"/>
      <c r="H520" s="1419"/>
      <c r="I520" s="41" t="s">
        <v>421</v>
      </c>
      <c r="J520" s="42"/>
      <c r="K520" s="42"/>
      <c r="L520" s="42"/>
      <c r="M520" s="42"/>
      <c r="N520" s="42"/>
      <c r="O520" s="1431" t="s">
        <v>2559</v>
      </c>
      <c r="P520" s="1432"/>
      <c r="Q520" s="1432"/>
      <c r="R520" s="1432"/>
      <c r="S520" s="1432"/>
      <c r="T520" s="1432"/>
      <c r="U520" s="1432"/>
      <c r="V520" s="1432"/>
      <c r="W520" s="1432"/>
      <c r="X520" s="1432"/>
      <c r="Y520" s="1432"/>
      <c r="Z520" s="1432"/>
      <c r="AA520" s="1432"/>
      <c r="AB520" s="58"/>
      <c r="AC520" s="1355" t="s">
        <v>598</v>
      </c>
      <c r="AD520" s="1356"/>
      <c r="AE520" s="1356"/>
      <c r="AF520" s="1356"/>
      <c r="AG520" s="129" t="s">
        <v>404</v>
      </c>
      <c r="AH520" s="1398"/>
      <c r="AI520" s="1398"/>
      <c r="AJ520" s="1398"/>
      <c r="AK520" s="1399"/>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0"/>
      <c r="C521" s="1421"/>
      <c r="D521" s="1421"/>
      <c r="E521" s="1421"/>
      <c r="F521" s="1421"/>
      <c r="G521" s="1421"/>
      <c r="H521" s="1422"/>
      <c r="I521" s="114" t="s">
        <v>422</v>
      </c>
      <c r="AB521" s="65"/>
      <c r="AC521" s="1448">
        <v>4</v>
      </c>
      <c r="AD521" s="1449"/>
      <c r="AE521" s="1449"/>
      <c r="AF521" s="1449"/>
      <c r="AG521" s="13" t="s">
        <v>404</v>
      </c>
      <c r="AH521" s="1398">
        <v>2023</v>
      </c>
      <c r="AI521" s="1398"/>
      <c r="AJ521" s="1398"/>
      <c r="AK521" s="1399"/>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448">
        <v>9</v>
      </c>
      <c r="AD522" s="1449"/>
      <c r="AE522" s="1449"/>
      <c r="AF522" s="1449"/>
      <c r="AG522" s="38" t="s">
        <v>404</v>
      </c>
      <c r="AH522" s="1398">
        <v>2023</v>
      </c>
      <c r="AI522" s="1398"/>
      <c r="AJ522" s="1398"/>
      <c r="AK522" s="1399"/>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0"/>
      <c r="C523" s="1421"/>
      <c r="D523" s="1421"/>
      <c r="E523" s="1421"/>
      <c r="F523" s="1421"/>
      <c r="G523" s="1421"/>
      <c r="H523" s="1422"/>
      <c r="I523" s="42" t="s">
        <v>424</v>
      </c>
      <c r="J523" s="42"/>
      <c r="K523" s="42"/>
      <c r="L523" s="42"/>
      <c r="M523" s="42"/>
      <c r="N523" s="42"/>
      <c r="O523" s="1431" t="s">
        <v>2720</v>
      </c>
      <c r="P523" s="1432"/>
      <c r="Q523" s="1432"/>
      <c r="R523" s="1432"/>
      <c r="S523" s="1432"/>
      <c r="T523" s="1432"/>
      <c r="U523" s="1432"/>
      <c r="V523" s="1432"/>
      <c r="W523" s="1432"/>
      <c r="X523" s="1432"/>
      <c r="Y523" s="1432"/>
      <c r="Z523" s="1432"/>
      <c r="AA523" s="1432"/>
      <c r="AC523" s="1448" t="s">
        <v>598</v>
      </c>
      <c r="AD523" s="1449"/>
      <c r="AE523" s="1449"/>
      <c r="AF523" s="1449"/>
      <c r="AG523" s="13" t="s">
        <v>404</v>
      </c>
      <c r="AH523" s="1398"/>
      <c r="AI523" s="1398"/>
      <c r="AJ523" s="1398"/>
      <c r="AK523" s="1399"/>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0"/>
      <c r="C524" s="1421"/>
      <c r="D524" s="1421"/>
      <c r="E524" s="1421"/>
      <c r="F524" s="1421"/>
      <c r="G524" s="1421"/>
      <c r="H524" s="1422"/>
      <c r="I524" t="s">
        <v>422</v>
      </c>
      <c r="AC524" s="1448">
        <v>8</v>
      </c>
      <c r="AD524" s="1449"/>
      <c r="AE524" s="1449"/>
      <c r="AF524" s="1449"/>
      <c r="AG524" s="13" t="s">
        <v>404</v>
      </c>
      <c r="AH524" s="1398">
        <v>2022</v>
      </c>
      <c r="AI524" s="1398"/>
      <c r="AJ524" s="1398"/>
      <c r="AK524" s="1399"/>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448">
        <v>2</v>
      </c>
      <c r="AD525" s="1449"/>
      <c r="AE525" s="1449"/>
      <c r="AF525" s="1449"/>
      <c r="AG525" s="38" t="s">
        <v>404</v>
      </c>
      <c r="AH525" s="1398">
        <v>2023</v>
      </c>
      <c r="AI525" s="1398"/>
      <c r="AJ525" s="1398"/>
      <c r="AK525" s="1399"/>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0"/>
      <c r="C526" s="1421"/>
      <c r="D526" s="1421"/>
      <c r="E526" s="1421"/>
      <c r="F526" s="1421"/>
      <c r="G526" s="1421"/>
      <c r="H526" s="1422"/>
      <c r="I526" s="42" t="s">
        <v>424</v>
      </c>
      <c r="J526" s="42"/>
      <c r="K526" s="42"/>
      <c r="L526" s="42"/>
      <c r="M526" s="42"/>
      <c r="N526" s="42"/>
      <c r="O526" s="1431" t="s">
        <v>2721</v>
      </c>
      <c r="P526" s="1432"/>
      <c r="Q526" s="1432"/>
      <c r="R526" s="1432"/>
      <c r="S526" s="1432"/>
      <c r="T526" s="1432"/>
      <c r="U526" s="1432"/>
      <c r="V526" s="1432"/>
      <c r="W526" s="1432"/>
      <c r="X526" s="1432"/>
      <c r="Y526" s="1432"/>
      <c r="Z526" s="1432"/>
      <c r="AA526" s="1432"/>
      <c r="AC526" s="1448" t="s">
        <v>598</v>
      </c>
      <c r="AD526" s="1449"/>
      <c r="AE526" s="1449"/>
      <c r="AF526" s="1449"/>
      <c r="AG526" s="13" t="s">
        <v>404</v>
      </c>
      <c r="AH526" s="1398"/>
      <c r="AI526" s="1398"/>
      <c r="AJ526" s="1398"/>
      <c r="AK526" s="1399"/>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0"/>
      <c r="C527" s="1421"/>
      <c r="D527" s="1421"/>
      <c r="E527" s="1421"/>
      <c r="F527" s="1421"/>
      <c r="G527" s="1421"/>
      <c r="H527" s="1422"/>
      <c r="I527" t="s">
        <v>422</v>
      </c>
      <c r="AC527" s="1448">
        <v>5</v>
      </c>
      <c r="AD527" s="1449"/>
      <c r="AE527" s="1449"/>
      <c r="AF527" s="1449"/>
      <c r="AG527" s="13" t="s">
        <v>404</v>
      </c>
      <c r="AH527" s="1398">
        <v>2022</v>
      </c>
      <c r="AI527" s="1398"/>
      <c r="AJ527" s="1398"/>
      <c r="AK527" s="1399"/>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448">
        <v>6</v>
      </c>
      <c r="AD528" s="1449"/>
      <c r="AE528" s="1449"/>
      <c r="AF528" s="1449"/>
      <c r="AG528" s="38" t="s">
        <v>404</v>
      </c>
      <c r="AH528" s="1398">
        <v>2022</v>
      </c>
      <c r="AI528" s="1398"/>
      <c r="AJ528" s="1398"/>
      <c r="AK528" s="1399"/>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0"/>
      <c r="C529" s="1421"/>
      <c r="D529" s="1421"/>
      <c r="E529" s="1421"/>
      <c r="F529" s="1421"/>
      <c r="G529" s="1421"/>
      <c r="H529" s="1422"/>
      <c r="I529" s="42" t="s">
        <v>424</v>
      </c>
      <c r="J529" s="42"/>
      <c r="K529" s="42"/>
      <c r="L529" s="42"/>
      <c r="M529" s="42"/>
      <c r="N529" s="42"/>
      <c r="O529" s="1431" t="s">
        <v>335</v>
      </c>
      <c r="P529" s="1432"/>
      <c r="Q529" s="1432"/>
      <c r="R529" s="1432"/>
      <c r="S529" s="1432"/>
      <c r="T529" s="1432"/>
      <c r="U529" s="1432"/>
      <c r="V529" s="1432"/>
      <c r="W529" s="1432"/>
      <c r="X529" s="1432"/>
      <c r="Y529" s="1432"/>
      <c r="Z529" s="1432"/>
      <c r="AA529" s="1432"/>
      <c r="AC529" s="1448" t="s">
        <v>598</v>
      </c>
      <c r="AD529" s="1449"/>
      <c r="AE529" s="1449"/>
      <c r="AF529" s="1449"/>
      <c r="AG529" s="13" t="s">
        <v>404</v>
      </c>
      <c r="AH529" s="1398"/>
      <c r="AI529" s="1398"/>
      <c r="AJ529" s="1398"/>
      <c r="AK529" s="1399"/>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0"/>
      <c r="C530" s="1421"/>
      <c r="D530" s="1421"/>
      <c r="E530" s="1421"/>
      <c r="F530" s="1421"/>
      <c r="G530" s="1421"/>
      <c r="H530" s="1422"/>
      <c r="I530" t="s">
        <v>422</v>
      </c>
      <c r="AC530" s="1448" t="s">
        <v>598</v>
      </c>
      <c r="AD530" s="1449"/>
      <c r="AE530" s="1449"/>
      <c r="AF530" s="1449"/>
      <c r="AG530" s="13" t="s">
        <v>404</v>
      </c>
      <c r="AH530" s="1398"/>
      <c r="AI530" s="1398"/>
      <c r="AJ530" s="1398"/>
      <c r="AK530" s="1399"/>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448" t="s">
        <v>598</v>
      </c>
      <c r="AD531" s="1449"/>
      <c r="AE531" s="1449"/>
      <c r="AF531" s="1449"/>
      <c r="AG531" s="38" t="s">
        <v>404</v>
      </c>
      <c r="AH531" s="1398"/>
      <c r="AI531" s="1398"/>
      <c r="AJ531" s="1398"/>
      <c r="AK531" s="1399"/>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0"/>
      <c r="C532" s="1421"/>
      <c r="D532" s="1421"/>
      <c r="E532" s="1421"/>
      <c r="F532" s="1421"/>
      <c r="G532" s="1421"/>
      <c r="H532" s="1422"/>
      <c r="I532" s="42" t="s">
        <v>424</v>
      </c>
      <c r="J532" s="42"/>
      <c r="K532" s="42"/>
      <c r="L532" s="42"/>
      <c r="M532" s="42"/>
      <c r="N532" s="42"/>
      <c r="O532" s="1431" t="s">
        <v>335</v>
      </c>
      <c r="P532" s="1432"/>
      <c r="Q532" s="1432"/>
      <c r="R532" s="1432"/>
      <c r="S532" s="1432"/>
      <c r="T532" s="1432"/>
      <c r="U532" s="1432"/>
      <c r="V532" s="1432"/>
      <c r="W532" s="1432"/>
      <c r="X532" s="1432"/>
      <c r="Y532" s="1432"/>
      <c r="Z532" s="1432"/>
      <c r="AA532" s="1432"/>
      <c r="AC532" s="1448" t="s">
        <v>598</v>
      </c>
      <c r="AD532" s="1449"/>
      <c r="AE532" s="1449"/>
      <c r="AF532" s="1449"/>
      <c r="AG532" s="13" t="s">
        <v>404</v>
      </c>
      <c r="AH532" s="1398"/>
      <c r="AI532" s="1398"/>
      <c r="AJ532" s="1398"/>
      <c r="AK532" s="1399"/>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0"/>
      <c r="C533" s="1421"/>
      <c r="D533" s="1421"/>
      <c r="E533" s="1421"/>
      <c r="F533" s="1421"/>
      <c r="G533" s="1421"/>
      <c r="H533" s="1422"/>
      <c r="I533" t="s">
        <v>422</v>
      </c>
      <c r="AC533" s="1448" t="s">
        <v>598</v>
      </c>
      <c r="AD533" s="1449"/>
      <c r="AE533" s="1449"/>
      <c r="AF533" s="1449"/>
      <c r="AG533" s="38" t="s">
        <v>404</v>
      </c>
      <c r="AH533" s="1398"/>
      <c r="AI533" s="1398"/>
      <c r="AJ533" s="1398"/>
      <c r="AK533" s="1399"/>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448" t="s">
        <v>598</v>
      </c>
      <c r="AD534" s="1449"/>
      <c r="AE534" s="1449"/>
      <c r="AF534" s="1449"/>
      <c r="AG534" s="13" t="s">
        <v>404</v>
      </c>
      <c r="AH534" s="1398"/>
      <c r="AI534" s="1398"/>
      <c r="AJ534" s="1398"/>
      <c r="AK534" s="1399"/>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0"/>
      <c r="C535" s="1421"/>
      <c r="D535" s="1421"/>
      <c r="E535" s="1421"/>
      <c r="F535" s="1421"/>
      <c r="G535" s="1421"/>
      <c r="H535" s="1422"/>
      <c r="I535" s="42" t="s">
        <v>424</v>
      </c>
      <c r="J535" s="42"/>
      <c r="K535" s="42"/>
      <c r="L535" s="42"/>
      <c r="M535" s="42"/>
      <c r="N535" s="42"/>
      <c r="O535" s="1431" t="s">
        <v>335</v>
      </c>
      <c r="P535" s="1432"/>
      <c r="Q535" s="1432"/>
      <c r="R535" s="1432"/>
      <c r="S535" s="1432"/>
      <c r="T535" s="1432"/>
      <c r="U535" s="1432"/>
      <c r="V535" s="1432"/>
      <c r="W535" s="1432"/>
      <c r="X535" s="1432"/>
      <c r="Y535" s="1432"/>
      <c r="Z535" s="1432"/>
      <c r="AA535" s="1432"/>
      <c r="AC535" s="1448" t="s">
        <v>598</v>
      </c>
      <c r="AD535" s="1449"/>
      <c r="AE535" s="1449"/>
      <c r="AF535" s="1449"/>
      <c r="AG535" s="38" t="s">
        <v>404</v>
      </c>
      <c r="AH535" s="1398"/>
      <c r="AI535" s="1398"/>
      <c r="AJ535" s="1398"/>
      <c r="AK535" s="1399"/>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0"/>
      <c r="C536" s="1421"/>
      <c r="D536" s="1421"/>
      <c r="E536" s="1421"/>
      <c r="F536" s="1421"/>
      <c r="G536" s="1421"/>
      <c r="H536" s="1422"/>
      <c r="I536" t="s">
        <v>422</v>
      </c>
      <c r="AC536" s="1448" t="s">
        <v>598</v>
      </c>
      <c r="AD536" s="1449"/>
      <c r="AE536" s="1449"/>
      <c r="AF536" s="1449"/>
      <c r="AG536" s="13" t="s">
        <v>404</v>
      </c>
      <c r="AH536" s="1398"/>
      <c r="AI536" s="1398"/>
      <c r="AJ536" s="1398"/>
      <c r="AK536" s="1399"/>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448" t="s">
        <v>598</v>
      </c>
      <c r="AD537" s="1449"/>
      <c r="AE537" s="1449"/>
      <c r="AF537" s="1449"/>
      <c r="AG537" s="38" t="s">
        <v>404</v>
      </c>
      <c r="AH537" s="1398"/>
      <c r="AI537" s="1398"/>
      <c r="AJ537" s="1398"/>
      <c r="AK537" s="1399"/>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0"/>
      <c r="C538" s="1421"/>
      <c r="D538" s="1421"/>
      <c r="E538" s="1421"/>
      <c r="F538" s="1421"/>
      <c r="G538" s="1421"/>
      <c r="H538" s="1422"/>
      <c r="I538" s="42" t="s">
        <v>569</v>
      </c>
      <c r="J538" s="42"/>
      <c r="K538" s="42"/>
      <c r="L538" s="42"/>
      <c r="M538" s="42"/>
      <c r="N538" s="42"/>
      <c r="O538" s="42"/>
      <c r="P538" s="42"/>
      <c r="Q538" s="42"/>
      <c r="R538" s="42"/>
      <c r="S538" s="42"/>
      <c r="T538" s="42"/>
      <c r="U538" s="42"/>
      <c r="V538" s="42"/>
      <c r="W538" s="42"/>
      <c r="AC538" s="1448">
        <v>6</v>
      </c>
      <c r="AD538" s="1449"/>
      <c r="AE538" s="1449"/>
      <c r="AF538" s="1449"/>
      <c r="AG538" s="38" t="s">
        <v>404</v>
      </c>
      <c r="AH538" s="1398">
        <v>2025</v>
      </c>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0"/>
      <c r="C539" s="1421"/>
      <c r="D539" s="1421"/>
      <c r="E539" s="1421"/>
      <c r="F539" s="1421"/>
      <c r="G539" s="1421"/>
      <c r="H539" s="1422"/>
      <c r="I539" t="s">
        <v>570</v>
      </c>
      <c r="AC539" s="1448">
        <v>12</v>
      </c>
      <c r="AD539" s="1449"/>
      <c r="AE539" s="1449"/>
      <c r="AF539" s="1449"/>
      <c r="AG539" s="13" t="s">
        <v>404</v>
      </c>
      <c r="AH539" s="1398">
        <v>2024</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t="s">
        <v>571</v>
      </c>
      <c r="AC540" s="1448">
        <v>10</v>
      </c>
      <c r="AD540" s="1449"/>
      <c r="AE540" s="1449"/>
      <c r="AF540" s="1449"/>
      <c r="AG540" s="38" t="s">
        <v>404</v>
      </c>
      <c r="AH540" s="1398">
        <v>2026</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0"/>
      <c r="C541" s="1421"/>
      <c r="D541" s="1421"/>
      <c r="E541" s="1421"/>
      <c r="F541" s="1421"/>
      <c r="G541" s="1421"/>
      <c r="H541" s="1422"/>
      <c r="I541" t="s">
        <v>572</v>
      </c>
      <c r="AC541" s="1448">
        <v>10</v>
      </c>
      <c r="AD541" s="1449"/>
      <c r="AE541" s="1449"/>
      <c r="AF541" s="1449"/>
      <c r="AG541" s="38" t="s">
        <v>404</v>
      </c>
      <c r="AH541" s="1398">
        <v>2026</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3"/>
      <c r="C542" s="1424"/>
      <c r="D542" s="1424"/>
      <c r="E542" s="1424"/>
      <c r="F542" s="1424"/>
      <c r="G542" s="1424"/>
      <c r="H542" s="1425"/>
      <c r="I542" s="48" t="s">
        <v>458</v>
      </c>
      <c r="J542" s="48"/>
      <c r="K542" s="48"/>
      <c r="L542" s="48"/>
      <c r="M542" s="48"/>
      <c r="N542" s="48"/>
      <c r="O542" s="48"/>
      <c r="P542" s="48"/>
      <c r="Q542" s="48"/>
      <c r="R542" s="48"/>
      <c r="S542" s="48"/>
      <c r="T542" s="48"/>
      <c r="U542" s="48"/>
      <c r="V542" s="48"/>
      <c r="W542" s="48"/>
      <c r="X542" s="48"/>
      <c r="Y542" s="48"/>
      <c r="Z542" s="48"/>
      <c r="AA542" s="48"/>
      <c r="AB542" s="48"/>
      <c r="AC542" s="1448">
        <v>3</v>
      </c>
      <c r="AD542" s="1449"/>
      <c r="AE542" s="1449"/>
      <c r="AF542" s="1449"/>
      <c r="AG542" s="38" t="s">
        <v>404</v>
      </c>
      <c r="AH542" s="1398">
        <v>2027</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7" t="s">
        <v>2420</v>
      </c>
      <c r="C551" s="1418"/>
      <c r="D551" s="1418"/>
      <c r="E551" s="1418"/>
      <c r="F551" s="1418"/>
      <c r="G551" s="1418"/>
      <c r="H551" s="1418"/>
      <c r="I551" s="1418"/>
      <c r="J551" s="1418"/>
      <c r="K551" s="1418"/>
      <c r="L551" s="1419"/>
      <c r="M551" s="1417" t="s">
        <v>2421</v>
      </c>
      <c r="N551" s="1418"/>
      <c r="O551" s="1418"/>
      <c r="P551" s="1419"/>
      <c r="Q551" s="1417" t="s">
        <v>2447</v>
      </c>
      <c r="R551" s="1418"/>
      <c r="S551" s="1419"/>
      <c r="T551" s="1417" t="s">
        <v>2448</v>
      </c>
      <c r="U551" s="1418"/>
      <c r="V551" s="1419"/>
      <c r="W551" s="1417" t="s">
        <v>460</v>
      </c>
      <c r="X551" s="1418"/>
      <c r="Y551" s="1419"/>
      <c r="Z551" s="1417" t="s">
        <v>2041</v>
      </c>
      <c r="AA551" s="1418"/>
      <c r="AB551" s="1418"/>
      <c r="AC551" s="1418"/>
      <c r="AD551" s="1419"/>
      <c r="AE551" s="1417" t="s">
        <v>1863</v>
      </c>
      <c r="AF551" s="1418"/>
      <c r="AG551" s="1418"/>
      <c r="AH551" s="1419"/>
      <c r="AI551" s="1417" t="s">
        <v>1864</v>
      </c>
      <c r="AJ551" s="1418"/>
      <c r="AK551" s="1418"/>
      <c r="AL551" s="1419"/>
      <c r="AM551" s="1417" t="s">
        <v>461</v>
      </c>
      <c r="AN551" s="1418"/>
      <c r="AO551" s="1418"/>
      <c r="AP551" s="1418"/>
      <c r="AQ551" s="1418"/>
      <c r="AR551" s="1418"/>
      <c r="AS551" s="1419"/>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9" t="s">
        <v>2722</v>
      </c>
      <c r="D554" s="1579"/>
      <c r="E554" s="1579"/>
      <c r="F554" s="1579"/>
      <c r="G554" s="1579"/>
      <c r="H554" s="1579"/>
      <c r="I554" s="1579"/>
      <c r="J554" s="1579"/>
      <c r="K554" s="1579"/>
      <c r="L554" s="1579"/>
      <c r="M554" s="1579" t="s">
        <v>2437</v>
      </c>
      <c r="N554" s="1579"/>
      <c r="O554" s="1579"/>
      <c r="P554" s="1579"/>
      <c r="Q554" s="1437">
        <v>32</v>
      </c>
      <c r="R554" s="1437"/>
      <c r="S554" s="1438"/>
      <c r="T554" s="1436"/>
      <c r="U554" s="1437"/>
      <c r="V554" s="1438"/>
      <c r="W554" s="1502">
        <v>7.0000000000000007E-2</v>
      </c>
      <c r="X554" s="1503"/>
      <c r="Y554" s="1504"/>
      <c r="Z554" s="1493" t="s">
        <v>2764</v>
      </c>
      <c r="AA554" s="1493"/>
      <c r="AB554" s="1493"/>
      <c r="AC554" s="1493"/>
      <c r="AD554" s="1493"/>
      <c r="AE554" s="1433">
        <v>1</v>
      </c>
      <c r="AF554" s="1434"/>
      <c r="AG554" s="1434"/>
      <c r="AH554" s="1435"/>
      <c r="AI554" s="1490"/>
      <c r="AJ554" s="1491"/>
      <c r="AK554" s="1491"/>
      <c r="AL554" s="1492"/>
      <c r="AM554" s="1440">
        <v>45579468</v>
      </c>
      <c r="AN554" s="1441"/>
      <c r="AO554" s="1441"/>
      <c r="AP554" s="1441"/>
      <c r="AQ554" s="1441"/>
      <c r="AR554" s="1441"/>
      <c r="AS554" s="144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5" t="s">
        <v>2723</v>
      </c>
      <c r="D555" s="1505"/>
      <c r="E555" s="1505"/>
      <c r="F555" s="1505"/>
      <c r="G555" s="1505"/>
      <c r="H555" s="1505"/>
      <c r="I555" s="1505"/>
      <c r="J555" s="1505"/>
      <c r="K555" s="1505"/>
      <c r="L555" s="1505"/>
      <c r="M555" s="1579" t="s">
        <v>2431</v>
      </c>
      <c r="N555" s="1579"/>
      <c r="O555" s="1579"/>
      <c r="P555" s="1579"/>
      <c r="Q555" s="1436">
        <v>32</v>
      </c>
      <c r="R555" s="1437"/>
      <c r="S555" s="1438"/>
      <c r="T555" s="1436"/>
      <c r="U555" s="1437"/>
      <c r="V555" s="1438"/>
      <c r="W555" s="1502">
        <v>7.0000000000000007E-2</v>
      </c>
      <c r="X555" s="1503"/>
      <c r="Y555" s="1504"/>
      <c r="Z555" s="1493" t="s">
        <v>2764</v>
      </c>
      <c r="AA555" s="1493"/>
      <c r="AB555" s="1493"/>
      <c r="AC555" s="1493"/>
      <c r="AD555" s="1493"/>
      <c r="AE555" s="1433">
        <v>2</v>
      </c>
      <c r="AF555" s="1434"/>
      <c r="AG555" s="1434"/>
      <c r="AH555" s="1435"/>
      <c r="AI555" s="1490"/>
      <c r="AJ555" s="1491"/>
      <c r="AK555" s="1491"/>
      <c r="AL555" s="1492"/>
      <c r="AM555" s="1440">
        <v>20179847</v>
      </c>
      <c r="AN555" s="1441"/>
      <c r="AO555" s="1441"/>
      <c r="AP555" s="1441"/>
      <c r="AQ555" s="1441"/>
      <c r="AR555" s="1441"/>
      <c r="AS555" s="144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5" t="s">
        <v>2720</v>
      </c>
      <c r="D556" s="1505"/>
      <c r="E556" s="1505"/>
      <c r="F556" s="1505"/>
      <c r="G556" s="1505"/>
      <c r="H556" s="1505"/>
      <c r="I556" s="1505"/>
      <c r="J556" s="1505"/>
      <c r="K556" s="1505"/>
      <c r="L556" s="1505"/>
      <c r="M556" s="1579" t="s">
        <v>2433</v>
      </c>
      <c r="N556" s="1579"/>
      <c r="O556" s="1579"/>
      <c r="P556" s="1579"/>
      <c r="Q556" s="1436"/>
      <c r="R556" s="1437"/>
      <c r="S556" s="1438"/>
      <c r="T556" s="1436"/>
      <c r="U556" s="1437"/>
      <c r="V556" s="1438"/>
      <c r="W556" s="1502">
        <v>0</v>
      </c>
      <c r="X556" s="1503"/>
      <c r="Y556" s="1504"/>
      <c r="Z556" s="1493" t="s">
        <v>2777</v>
      </c>
      <c r="AA556" s="1493"/>
      <c r="AB556" s="1493"/>
      <c r="AC556" s="1493"/>
      <c r="AD556" s="1493"/>
      <c r="AE556" s="1433"/>
      <c r="AF556" s="1434"/>
      <c r="AG556" s="1434"/>
      <c r="AH556" s="1435"/>
      <c r="AI556" s="1490"/>
      <c r="AJ556" s="1491"/>
      <c r="AK556" s="1491"/>
      <c r="AL556" s="1492"/>
      <c r="AM556" s="1440">
        <v>1317000</v>
      </c>
      <c r="AN556" s="1441"/>
      <c r="AO556" s="1441"/>
      <c r="AP556" s="1441"/>
      <c r="AQ556" s="1441"/>
      <c r="AR556" s="1441"/>
      <c r="AS556" s="144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5" t="s">
        <v>2721</v>
      </c>
      <c r="D557" s="1505"/>
      <c r="E557" s="1505"/>
      <c r="F557" s="1505"/>
      <c r="G557" s="1505"/>
      <c r="H557" s="1505"/>
      <c r="I557" s="1505"/>
      <c r="J557" s="1505"/>
      <c r="K557" s="1505"/>
      <c r="L557" s="1505"/>
      <c r="M557" s="1579" t="s">
        <v>2433</v>
      </c>
      <c r="N557" s="1579"/>
      <c r="O557" s="1579"/>
      <c r="P557" s="1579"/>
      <c r="Q557" s="1436"/>
      <c r="R557" s="1437"/>
      <c r="S557" s="1438"/>
      <c r="T557" s="1436"/>
      <c r="U557" s="1437"/>
      <c r="V557" s="1438"/>
      <c r="W557" s="1502">
        <v>0</v>
      </c>
      <c r="X557" s="1503"/>
      <c r="Y557" s="1504"/>
      <c r="Z557" s="1493" t="s">
        <v>2777</v>
      </c>
      <c r="AA557" s="1493"/>
      <c r="AB557" s="1493"/>
      <c r="AC557" s="1493"/>
      <c r="AD557" s="1493"/>
      <c r="AE557" s="1433"/>
      <c r="AF557" s="1434"/>
      <c r="AG557" s="1434"/>
      <c r="AH557" s="1435"/>
      <c r="AI557" s="1490"/>
      <c r="AJ557" s="1491"/>
      <c r="AK557" s="1491"/>
      <c r="AL557" s="1492"/>
      <c r="AM557" s="1440">
        <v>7760753</v>
      </c>
      <c r="AN557" s="1441"/>
      <c r="AO557" s="1441"/>
      <c r="AP557" s="1441"/>
      <c r="AQ557" s="1441"/>
      <c r="AR557" s="1441"/>
      <c r="AS557" s="144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5" t="s">
        <v>2744</v>
      </c>
      <c r="D558" s="1505"/>
      <c r="E558" s="1505"/>
      <c r="F558" s="1505"/>
      <c r="G558" s="1505"/>
      <c r="H558" s="1505"/>
      <c r="I558" s="1505"/>
      <c r="J558" s="1505"/>
      <c r="K558" s="1505"/>
      <c r="L558" s="1505"/>
      <c r="M558" s="1579" t="s">
        <v>2423</v>
      </c>
      <c r="N558" s="1579"/>
      <c r="O558" s="1579"/>
      <c r="P558" s="1579"/>
      <c r="Q558" s="1436"/>
      <c r="R558" s="1437"/>
      <c r="S558" s="1438"/>
      <c r="T558" s="1436"/>
      <c r="U558" s="1437"/>
      <c r="V558" s="1438"/>
      <c r="W558" s="1502"/>
      <c r="X558" s="1503"/>
      <c r="Y558" s="1504"/>
      <c r="Z558" s="1493" t="s">
        <v>598</v>
      </c>
      <c r="AA558" s="1493"/>
      <c r="AB558" s="1493"/>
      <c r="AC558" s="1493"/>
      <c r="AD558" s="1493"/>
      <c r="AE558" s="1433"/>
      <c r="AF558" s="1434"/>
      <c r="AG558" s="1434"/>
      <c r="AH558" s="1435"/>
      <c r="AI558" s="1490"/>
      <c r="AJ558" s="1491"/>
      <c r="AK558" s="1491"/>
      <c r="AL558" s="1492"/>
      <c r="AM558" s="1440">
        <v>2552495</v>
      </c>
      <c r="AN558" s="1441"/>
      <c r="AO558" s="1441"/>
      <c r="AP558" s="1441"/>
      <c r="AQ558" s="1441"/>
      <c r="AR558" s="1441"/>
      <c r="AS558" s="1442"/>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5" t="s">
        <v>1849</v>
      </c>
      <c r="D559" s="1505"/>
      <c r="E559" s="1505"/>
      <c r="F559" s="1505"/>
      <c r="G559" s="1505"/>
      <c r="H559" s="1505"/>
      <c r="I559" s="1505"/>
      <c r="J559" s="1505"/>
      <c r="K559" s="1505"/>
      <c r="L559" s="1505"/>
      <c r="M559" s="1579" t="s">
        <v>2424</v>
      </c>
      <c r="N559" s="1579"/>
      <c r="O559" s="1579"/>
      <c r="P559" s="1579"/>
      <c r="Q559" s="1436"/>
      <c r="R559" s="1437"/>
      <c r="S559" s="1438"/>
      <c r="T559" s="1436"/>
      <c r="U559" s="1437"/>
      <c r="V559" s="1438"/>
      <c r="W559" s="1502"/>
      <c r="X559" s="1503"/>
      <c r="Y559" s="1504"/>
      <c r="Z559" s="1493" t="s">
        <v>598</v>
      </c>
      <c r="AA559" s="1493"/>
      <c r="AB559" s="1493"/>
      <c r="AC559" s="1493"/>
      <c r="AD559" s="1493"/>
      <c r="AE559" s="1433"/>
      <c r="AF559" s="1434"/>
      <c r="AG559" s="1434"/>
      <c r="AH559" s="1435"/>
      <c r="AI559" s="1490"/>
      <c r="AJ559" s="1491"/>
      <c r="AK559" s="1491"/>
      <c r="AL559" s="1492"/>
      <c r="AM559" s="1440">
        <v>8892342</v>
      </c>
      <c r="AN559" s="1441"/>
      <c r="AO559" s="1441"/>
      <c r="AP559" s="1441"/>
      <c r="AQ559" s="1441"/>
      <c r="AR559" s="1441"/>
      <c r="AS559" s="1442"/>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5" t="s">
        <v>2759</v>
      </c>
      <c r="D560" s="1505"/>
      <c r="E560" s="1505"/>
      <c r="F560" s="1505"/>
      <c r="G560" s="1505"/>
      <c r="H560" s="1505"/>
      <c r="I560" s="1505"/>
      <c r="J560" s="1505"/>
      <c r="K560" s="1505"/>
      <c r="L560" s="1505"/>
      <c r="M560" s="1579" t="s">
        <v>2427</v>
      </c>
      <c r="N560" s="1579"/>
      <c r="O560" s="1579"/>
      <c r="P560" s="1579"/>
      <c r="Q560" s="1436"/>
      <c r="R560" s="1437"/>
      <c r="S560" s="1438"/>
      <c r="T560" s="1436"/>
      <c r="U560" s="1437"/>
      <c r="V560" s="1438"/>
      <c r="W560" s="1502"/>
      <c r="X560" s="1503"/>
      <c r="Y560" s="1504"/>
      <c r="Z560" s="1493" t="s">
        <v>598</v>
      </c>
      <c r="AA560" s="1493"/>
      <c r="AB560" s="1493"/>
      <c r="AC560" s="1493"/>
      <c r="AD560" s="1493"/>
      <c r="AE560" s="1433"/>
      <c r="AF560" s="1434"/>
      <c r="AG560" s="1434"/>
      <c r="AH560" s="1435"/>
      <c r="AI560" s="1490"/>
      <c r="AJ560" s="1491"/>
      <c r="AK560" s="1491"/>
      <c r="AL560" s="1492"/>
      <c r="AM560" s="1440">
        <v>100</v>
      </c>
      <c r="AN560" s="1441"/>
      <c r="AO560" s="1441"/>
      <c r="AP560" s="1441"/>
      <c r="AQ560" s="1441"/>
      <c r="AR560" s="1441"/>
      <c r="AS560" s="144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5" t="s">
        <v>2745</v>
      </c>
      <c r="D561" s="1505"/>
      <c r="E561" s="1505"/>
      <c r="F561" s="1505"/>
      <c r="G561" s="1505"/>
      <c r="H561" s="1505"/>
      <c r="I561" s="1505"/>
      <c r="J561" s="1505"/>
      <c r="K561" s="1505"/>
      <c r="L561" s="1505"/>
      <c r="M561" s="1579" t="s">
        <v>2428</v>
      </c>
      <c r="N561" s="1579"/>
      <c r="O561" s="1579"/>
      <c r="P561" s="1579"/>
      <c r="Q561" s="1436"/>
      <c r="R561" s="1437"/>
      <c r="S561" s="1438"/>
      <c r="T561" s="1436"/>
      <c r="U561" s="1437"/>
      <c r="V561" s="1438"/>
      <c r="W561" s="1502"/>
      <c r="X561" s="1503"/>
      <c r="Y561" s="1504"/>
      <c r="Z561" s="1493" t="s">
        <v>598</v>
      </c>
      <c r="AA561" s="1493"/>
      <c r="AB561" s="1493"/>
      <c r="AC561" s="1493"/>
      <c r="AD561" s="1493"/>
      <c r="AE561" s="1433"/>
      <c r="AF561" s="1434"/>
      <c r="AG561" s="1434"/>
      <c r="AH561" s="1435"/>
      <c r="AI561" s="1490"/>
      <c r="AJ561" s="1491"/>
      <c r="AK561" s="1491"/>
      <c r="AL561" s="1492"/>
      <c r="AM561" s="1440">
        <v>7003849</v>
      </c>
      <c r="AN561" s="1441"/>
      <c r="AO561" s="1441"/>
      <c r="AP561" s="1441"/>
      <c r="AQ561" s="1441"/>
      <c r="AR561" s="1441"/>
      <c r="AS561" s="144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5"/>
      <c r="D562" s="1505"/>
      <c r="E562" s="1505"/>
      <c r="F562" s="1505"/>
      <c r="G562" s="1505"/>
      <c r="H562" s="1505"/>
      <c r="I562" s="1505"/>
      <c r="J562" s="1505"/>
      <c r="K562" s="1505"/>
      <c r="L562" s="1505"/>
      <c r="M562" s="1579" t="s">
        <v>1288</v>
      </c>
      <c r="N562" s="1579"/>
      <c r="O562" s="1579"/>
      <c r="P562" s="1579"/>
      <c r="Q562" s="1436"/>
      <c r="R562" s="1437"/>
      <c r="S562" s="1438"/>
      <c r="T562" s="1436"/>
      <c r="U562" s="1437"/>
      <c r="V562" s="1438"/>
      <c r="W562" s="1502"/>
      <c r="X562" s="1503"/>
      <c r="Y562" s="1504"/>
      <c r="Z562" s="1493" t="s">
        <v>1288</v>
      </c>
      <c r="AA562" s="1493"/>
      <c r="AB562" s="1493"/>
      <c r="AC562" s="1493"/>
      <c r="AD562" s="1493"/>
      <c r="AE562" s="1433"/>
      <c r="AF562" s="1434"/>
      <c r="AG562" s="1434"/>
      <c r="AH562" s="1435"/>
      <c r="AI562" s="1490"/>
      <c r="AJ562" s="1491"/>
      <c r="AK562" s="1491"/>
      <c r="AL562" s="1492"/>
      <c r="AM562" s="1440"/>
      <c r="AN562" s="1441"/>
      <c r="AO562" s="1441"/>
      <c r="AP562" s="1441"/>
      <c r="AQ562" s="1441"/>
      <c r="AR562" s="1441"/>
      <c r="AS562" s="144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5"/>
      <c r="D563" s="1505"/>
      <c r="E563" s="1505"/>
      <c r="F563" s="1505"/>
      <c r="G563" s="1505"/>
      <c r="H563" s="1505"/>
      <c r="I563" s="1505"/>
      <c r="J563" s="1505"/>
      <c r="K563" s="1505"/>
      <c r="L563" s="1505"/>
      <c r="M563" s="1579" t="s">
        <v>1288</v>
      </c>
      <c r="N563" s="1579"/>
      <c r="O563" s="1579"/>
      <c r="P563" s="1579"/>
      <c r="Q563" s="1436"/>
      <c r="R563" s="1437"/>
      <c r="S563" s="1438"/>
      <c r="T563" s="1436"/>
      <c r="U563" s="1437"/>
      <c r="V563" s="1438"/>
      <c r="W563" s="1502"/>
      <c r="X563" s="1503"/>
      <c r="Y563" s="1504"/>
      <c r="Z563" s="1493" t="s">
        <v>1288</v>
      </c>
      <c r="AA563" s="1493"/>
      <c r="AB563" s="1493"/>
      <c r="AC563" s="1493"/>
      <c r="AD563" s="1493"/>
      <c r="AE563" s="1433"/>
      <c r="AF563" s="1434"/>
      <c r="AG563" s="1434"/>
      <c r="AH563" s="1435"/>
      <c r="AI563" s="1490"/>
      <c r="AJ563" s="1491"/>
      <c r="AK563" s="1491"/>
      <c r="AL563" s="1492"/>
      <c r="AM563" s="1440"/>
      <c r="AN563" s="1441"/>
      <c r="AO563" s="1441"/>
      <c r="AP563" s="1441"/>
      <c r="AQ563" s="1441"/>
      <c r="AR563" s="1441"/>
      <c r="AS563" s="144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5"/>
      <c r="D564" s="1505"/>
      <c r="E564" s="1505"/>
      <c r="F564" s="1505"/>
      <c r="G564" s="1505"/>
      <c r="H564" s="1505"/>
      <c r="I564" s="1505"/>
      <c r="J564" s="1505"/>
      <c r="K564" s="1505"/>
      <c r="L564" s="1505"/>
      <c r="M564" s="1579" t="s">
        <v>1288</v>
      </c>
      <c r="N564" s="1579"/>
      <c r="O564" s="1579"/>
      <c r="P564" s="1579"/>
      <c r="Q564" s="1436"/>
      <c r="R564" s="1437"/>
      <c r="S564" s="1438"/>
      <c r="T564" s="1436"/>
      <c r="U564" s="1437"/>
      <c r="V564" s="1438"/>
      <c r="W564" s="1502"/>
      <c r="X564" s="1503"/>
      <c r="Y564" s="1504"/>
      <c r="Z564" s="1493" t="s">
        <v>1288</v>
      </c>
      <c r="AA564" s="1493"/>
      <c r="AB564" s="1493"/>
      <c r="AC564" s="1493"/>
      <c r="AD564" s="1493"/>
      <c r="AE564" s="1433"/>
      <c r="AF564" s="1434"/>
      <c r="AG564" s="1434"/>
      <c r="AH564" s="1435"/>
      <c r="AI564" s="1490"/>
      <c r="AJ564" s="1491"/>
      <c r="AK564" s="1491"/>
      <c r="AL564" s="1492"/>
      <c r="AM564" s="1440"/>
      <c r="AN564" s="1441"/>
      <c r="AO564" s="1441"/>
      <c r="AP564" s="1441"/>
      <c r="AQ564" s="1441"/>
      <c r="AR564" s="1441"/>
      <c r="AS564" s="144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5"/>
      <c r="D565" s="1505"/>
      <c r="E565" s="1505"/>
      <c r="F565" s="1505"/>
      <c r="G565" s="1505"/>
      <c r="H565" s="1505"/>
      <c r="I565" s="1505"/>
      <c r="J565" s="1505"/>
      <c r="K565" s="1505"/>
      <c r="L565" s="1505"/>
      <c r="M565" s="1579" t="s">
        <v>1288</v>
      </c>
      <c r="N565" s="1579"/>
      <c r="O565" s="1579"/>
      <c r="P565" s="1579"/>
      <c r="Q565" s="1436"/>
      <c r="R565" s="1437"/>
      <c r="S565" s="1438"/>
      <c r="T565" s="1436"/>
      <c r="U565" s="1437"/>
      <c r="V565" s="1438"/>
      <c r="W565" s="1502"/>
      <c r="X565" s="1503"/>
      <c r="Y565" s="1504"/>
      <c r="Z565" s="1493" t="s">
        <v>1288</v>
      </c>
      <c r="AA565" s="1493"/>
      <c r="AB565" s="1493"/>
      <c r="AC565" s="1493"/>
      <c r="AD565" s="1493"/>
      <c r="AE565" s="1433"/>
      <c r="AF565" s="1434"/>
      <c r="AG565" s="1434"/>
      <c r="AH565" s="1435"/>
      <c r="AI565" s="1490"/>
      <c r="AJ565" s="1491"/>
      <c r="AK565" s="1491"/>
      <c r="AL565" s="1492"/>
      <c r="AM565" s="1440"/>
      <c r="AN565" s="1441"/>
      <c r="AO565" s="1441"/>
      <c r="AP565" s="1441"/>
      <c r="AQ565" s="1441"/>
      <c r="AR565" s="1441"/>
      <c r="AS565" s="144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1" t="s">
        <v>127</v>
      </c>
      <c r="C566" s="1592"/>
      <c r="D566" s="1592"/>
      <c r="E566" s="1592"/>
      <c r="F566" s="1592"/>
      <c r="G566" s="1592"/>
      <c r="H566" s="1592"/>
      <c r="I566" s="1592"/>
      <c r="J566" s="1592"/>
      <c r="K566" s="1592"/>
      <c r="L566" s="1592"/>
      <c r="M566" s="1592"/>
      <c r="N566" s="1592"/>
      <c r="O566" s="1592"/>
      <c r="P566" s="1592"/>
      <c r="Q566" s="1592"/>
      <c r="R566" s="1592"/>
      <c r="S566" s="1592"/>
      <c r="T566" s="1592"/>
      <c r="U566" s="1595"/>
      <c r="V566" s="1592"/>
      <c r="W566" s="1592"/>
      <c r="X566" s="1592"/>
      <c r="Y566" s="1592"/>
      <c r="Z566" s="1592"/>
      <c r="AA566" s="1592"/>
      <c r="AB566" s="1592"/>
      <c r="AC566" s="1592"/>
      <c r="AD566" s="1592"/>
      <c r="AE566" s="1592"/>
      <c r="AF566" s="1592"/>
      <c r="AG566" s="1592"/>
      <c r="AH566" s="1592"/>
      <c r="AI566" s="1592"/>
      <c r="AJ566" s="1592"/>
      <c r="AK566" s="1592"/>
      <c r="AL566" s="1593"/>
      <c r="AM566" s="1625">
        <f>SUM(AM554:AS565)</f>
        <v>93285854</v>
      </c>
      <c r="AN566" s="1626"/>
      <c r="AO566" s="1626"/>
      <c r="AP566" s="1626"/>
      <c r="AQ566" s="1626"/>
      <c r="AR566" s="1626"/>
      <c r="AS566" s="1627"/>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08" t="str">
        <f>C554</f>
        <v>Tax-Exempt Construction Loan - Wells Fargo</v>
      </c>
      <c r="H568" s="1508"/>
      <c r="I568" s="1508"/>
      <c r="J568" s="1508"/>
      <c r="K568" s="1508"/>
      <c r="L568" s="1508"/>
      <c r="M568" s="1508"/>
      <c r="N568" s="1508"/>
      <c r="O568" s="1508"/>
      <c r="P568" s="1508"/>
      <c r="Q568" s="1508"/>
      <c r="R568" s="1508"/>
      <c r="S568" s="8"/>
      <c r="T568" s="55" t="s">
        <v>113</v>
      </c>
      <c r="U568" t="s">
        <v>470</v>
      </c>
      <c r="Z568" s="1508" t="str">
        <f>C555</f>
        <v>Taxable Construction Loan - Wells Fargo</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82" t="s">
        <v>2724</v>
      </c>
      <c r="H569" s="1471"/>
      <c r="I569" s="1471"/>
      <c r="J569" s="1471"/>
      <c r="K569" s="1471"/>
      <c r="L569" s="1471"/>
      <c r="M569" s="1471"/>
      <c r="N569" s="1471"/>
      <c r="O569" s="1471"/>
      <c r="P569" s="1471"/>
      <c r="Q569" s="1471"/>
      <c r="R569" s="1471"/>
      <c r="S569" s="8"/>
      <c r="T569" s="22"/>
      <c r="U569" t="s">
        <v>85</v>
      </c>
      <c r="Z569" s="1482" t="s">
        <v>2724</v>
      </c>
      <c r="AA569" s="1471"/>
      <c r="AB569" s="1471"/>
      <c r="AC569" s="1471"/>
      <c r="AD569" s="1471"/>
      <c r="AE569" s="1471"/>
      <c r="AF569" s="1471"/>
      <c r="AG569" s="1471"/>
      <c r="AH569" s="1471"/>
      <c r="AI569" s="1471"/>
      <c r="AJ569" s="1471"/>
      <c r="AK569" s="147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82" t="s">
        <v>738</v>
      </c>
      <c r="H570" s="1471"/>
      <c r="I570" s="1471"/>
      <c r="J570" s="1471"/>
      <c r="K570" s="1471"/>
      <c r="L570" s="1471"/>
      <c r="M570" s="1471"/>
      <c r="N570" s="1471"/>
      <c r="O570" s="1471"/>
      <c r="P570" s="1471"/>
      <c r="Q570" s="1471"/>
      <c r="R570" s="1471"/>
      <c r="T570" s="22"/>
      <c r="U570" t="s">
        <v>587</v>
      </c>
      <c r="Z570" s="1481" t="s">
        <v>738</v>
      </c>
      <c r="AA570" s="1452"/>
      <c r="AB570" s="1452"/>
      <c r="AC570" s="1452"/>
      <c r="AD570" s="1452"/>
      <c r="AE570" s="1452"/>
      <c r="AF570" s="1452"/>
      <c r="AG570" s="1452"/>
      <c r="AH570" s="1452"/>
      <c r="AI570" s="1452"/>
      <c r="AJ570" s="1452"/>
      <c r="AK570" s="145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1" t="s">
        <v>2757</v>
      </c>
      <c r="H571" s="1471"/>
      <c r="I571" s="1471"/>
      <c r="J571" s="1471"/>
      <c r="K571" s="1471"/>
      <c r="L571" s="1471"/>
      <c r="M571" s="1471"/>
      <c r="N571" s="1471"/>
      <c r="O571" s="1471"/>
      <c r="P571" s="1471"/>
      <c r="Q571" s="1471"/>
      <c r="R571" s="1471"/>
      <c r="S571" s="8"/>
      <c r="T571" s="22"/>
      <c r="U571" t="s">
        <v>17</v>
      </c>
      <c r="Z571" s="1452" t="s">
        <v>2757</v>
      </c>
      <c r="AA571" s="1452"/>
      <c r="AB571" s="1452"/>
      <c r="AC571" s="1452"/>
      <c r="AD571" s="1452"/>
      <c r="AE571" s="1452"/>
      <c r="AF571" s="1452"/>
      <c r="AG571" s="1452"/>
      <c r="AH571" s="1452"/>
      <c r="AI571" s="1452"/>
      <c r="AJ571" s="1452"/>
      <c r="AK571" s="145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9" t="s">
        <v>2758</v>
      </c>
      <c r="H572" s="1473"/>
      <c r="I572" s="1473"/>
      <c r="J572" s="1473"/>
      <c r="K572" s="1473"/>
      <c r="L572" s="1473"/>
      <c r="O572" s="33" t="s">
        <v>207</v>
      </c>
      <c r="P572" s="1384"/>
      <c r="Q572" s="1384"/>
      <c r="R572" s="1384"/>
      <c r="S572" s="10"/>
      <c r="T572" s="22"/>
      <c r="U572" t="s">
        <v>317</v>
      </c>
      <c r="Z572" s="1489" t="s">
        <v>2758</v>
      </c>
      <c r="AA572" s="1473"/>
      <c r="AB572" s="1473"/>
      <c r="AC572" s="1473"/>
      <c r="AD572" s="1473"/>
      <c r="AE572" s="1473"/>
      <c r="AH572" s="33" t="s">
        <v>207</v>
      </c>
      <c r="AI572" s="1384"/>
      <c r="AJ572" s="1384"/>
      <c r="AK572" s="138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82" t="s">
        <v>2782</v>
      </c>
      <c r="I573" s="1471"/>
      <c r="J573" s="1471"/>
      <c r="K573" s="1471"/>
      <c r="L573" s="1471"/>
      <c r="M573" s="1471"/>
      <c r="N573" s="1471"/>
      <c r="O573" s="1471"/>
      <c r="P573" s="1471"/>
      <c r="Q573" s="1471"/>
      <c r="R573" s="1471"/>
      <c r="S573" s="8"/>
      <c r="T573" s="22"/>
      <c r="U573" t="s">
        <v>18</v>
      </c>
      <c r="AA573" s="1482" t="s">
        <v>2783</v>
      </c>
      <c r="AB573" s="1471"/>
      <c r="AC573" s="1471"/>
      <c r="AD573" s="1471"/>
      <c r="AE573" s="1471"/>
      <c r="AF573" s="1471"/>
      <c r="AG573" s="1471"/>
      <c r="AH573" s="1471"/>
      <c r="AI573" s="1471"/>
      <c r="AJ573" s="1471"/>
      <c r="AK573" s="147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77" t="s">
        <v>2765</v>
      </c>
      <c r="N574" s="1577"/>
      <c r="O574" s="1577"/>
      <c r="P574" s="1577"/>
      <c r="Q574" s="1577"/>
      <c r="R574" s="1577"/>
      <c r="S574" s="8"/>
      <c r="T574" s="22"/>
      <c r="U574" s="348" t="s">
        <v>1289</v>
      </c>
      <c r="AA574" s="8"/>
      <c r="AB574" s="8"/>
      <c r="AC574" s="8"/>
      <c r="AD574" s="8"/>
      <c r="AE574" s="8"/>
      <c r="AF574" s="1577" t="s">
        <v>2765</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552</v>
      </c>
      <c r="O575" s="1380"/>
      <c r="T575" s="22"/>
      <c r="U575" t="s">
        <v>20</v>
      </c>
      <c r="AG575" s="1380" t="s">
        <v>552</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08" t="str">
        <f>C556</f>
        <v>HCD IIG</v>
      </c>
      <c r="H577" s="1508"/>
      <c r="I577" s="1508"/>
      <c r="J577" s="1508"/>
      <c r="K577" s="1508"/>
      <c r="L577" s="1508"/>
      <c r="M577" s="1508"/>
      <c r="N577" s="1508"/>
      <c r="O577" s="1508"/>
      <c r="P577" s="1508"/>
      <c r="Q577" s="1508"/>
      <c r="R577" s="1508"/>
      <c r="T577" s="55" t="s">
        <v>588</v>
      </c>
      <c r="U577" t="s">
        <v>470</v>
      </c>
      <c r="Z577" s="1508" t="str">
        <f>C557</f>
        <v>HCD LGMG</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82" t="s">
        <v>2725</v>
      </c>
      <c r="H578" s="1471"/>
      <c r="I578" s="1471"/>
      <c r="J578" s="1471"/>
      <c r="K578" s="1471"/>
      <c r="L578" s="1471"/>
      <c r="M578" s="1471"/>
      <c r="N578" s="1471"/>
      <c r="O578" s="1471"/>
      <c r="P578" s="1471"/>
      <c r="Q578" s="1471"/>
      <c r="R578" s="1471"/>
      <c r="T578" s="22"/>
      <c r="U578" t="s">
        <v>85</v>
      </c>
      <c r="Z578" s="1471" t="s">
        <v>2725</v>
      </c>
      <c r="AA578" s="1471"/>
      <c r="AB578" s="1471"/>
      <c r="AC578" s="1471"/>
      <c r="AD578" s="1471"/>
      <c r="AE578" s="1471"/>
      <c r="AF578" s="1471"/>
      <c r="AG578" s="1471"/>
      <c r="AH578" s="1471"/>
      <c r="AI578" s="1471"/>
      <c r="AJ578" s="1471"/>
      <c r="AK578" s="147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81" t="s">
        <v>68</v>
      </c>
      <c r="H579" s="1452"/>
      <c r="I579" s="1452"/>
      <c r="J579" s="1452"/>
      <c r="K579" s="1452"/>
      <c r="L579" s="1452"/>
      <c r="M579" s="1452"/>
      <c r="N579" s="1452"/>
      <c r="O579" s="1452"/>
      <c r="P579" s="1452"/>
      <c r="Q579" s="1452"/>
      <c r="R579" s="1452"/>
      <c r="T579" s="22"/>
      <c r="U579" t="s">
        <v>587</v>
      </c>
      <c r="Z579" s="1481" t="s">
        <v>68</v>
      </c>
      <c r="AA579" s="1452"/>
      <c r="AB579" s="1452"/>
      <c r="AC579" s="1452"/>
      <c r="AD579" s="1452"/>
      <c r="AE579" s="1452"/>
      <c r="AF579" s="1452"/>
      <c r="AG579" s="1452"/>
      <c r="AH579" s="1452"/>
      <c r="AI579" s="1452"/>
      <c r="AJ579" s="1452"/>
      <c r="AK579" s="145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1" t="s">
        <v>2726</v>
      </c>
      <c r="H580" s="1452"/>
      <c r="I580" s="1452"/>
      <c r="J580" s="1452"/>
      <c r="K580" s="1452"/>
      <c r="L580" s="1452"/>
      <c r="M580" s="1452"/>
      <c r="N580" s="1452"/>
      <c r="O580" s="1452"/>
      <c r="P580" s="1452"/>
      <c r="Q580" s="1452"/>
      <c r="R580" s="1452"/>
      <c r="T580" s="22"/>
      <c r="U580" t="s">
        <v>17</v>
      </c>
      <c r="Z580" s="1481" t="s">
        <v>2727</v>
      </c>
      <c r="AA580" s="1452"/>
      <c r="AB580" s="1452"/>
      <c r="AC580" s="1452"/>
      <c r="AD580" s="1452"/>
      <c r="AE580" s="1452"/>
      <c r="AF580" s="1452"/>
      <c r="AG580" s="1452"/>
      <c r="AH580" s="1452"/>
      <c r="AI580" s="1452"/>
      <c r="AJ580" s="1452"/>
      <c r="AK580" s="145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9" t="s">
        <v>2728</v>
      </c>
      <c r="H581" s="1473"/>
      <c r="I581" s="1473"/>
      <c r="J581" s="1473"/>
      <c r="K581" s="1473"/>
      <c r="L581" s="1473"/>
      <c r="O581" s="33" t="s">
        <v>207</v>
      </c>
      <c r="P581" s="1384"/>
      <c r="Q581" s="1384"/>
      <c r="R581" s="1384"/>
      <c r="T581" s="22"/>
      <c r="U581" t="s">
        <v>317</v>
      </c>
      <c r="Z581" s="1489" t="s">
        <v>2729</v>
      </c>
      <c r="AA581" s="1473"/>
      <c r="AB581" s="1473"/>
      <c r="AC581" s="1473"/>
      <c r="AD581" s="1473"/>
      <c r="AE581" s="1473"/>
      <c r="AH581" s="33" t="s">
        <v>207</v>
      </c>
      <c r="AI581" s="1384"/>
      <c r="AJ581" s="1384"/>
      <c r="AK581" s="138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82" t="s">
        <v>2430</v>
      </c>
      <c r="I582" s="1471"/>
      <c r="J582" s="1471"/>
      <c r="K582" s="1471"/>
      <c r="L582" s="1471"/>
      <c r="M582" s="1471"/>
      <c r="N582" s="1471"/>
      <c r="O582" s="1471"/>
      <c r="P582" s="1471"/>
      <c r="Q582" s="1471"/>
      <c r="R582" s="1471"/>
      <c r="T582" s="22"/>
      <c r="U582" t="s">
        <v>18</v>
      </c>
      <c r="AA582" s="1482" t="s">
        <v>2430</v>
      </c>
      <c r="AB582" s="1471"/>
      <c r="AC582" s="1471"/>
      <c r="AD582" s="1471"/>
      <c r="AE582" s="1471"/>
      <c r="AF582" s="1471"/>
      <c r="AG582" s="1471"/>
      <c r="AH582" s="1471"/>
      <c r="AI582" s="1471"/>
      <c r="AJ582" s="1471"/>
      <c r="AK582" s="147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552</v>
      </c>
      <c r="O583" s="1380"/>
      <c r="T583" s="22"/>
      <c r="U583" t="s">
        <v>20</v>
      </c>
      <c r="AG583" s="1380" t="s">
        <v>552</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08" t="str">
        <f>C558</f>
        <v>Costs Deferred Until Conversion</v>
      </c>
      <c r="H585" s="1508"/>
      <c r="I585" s="1508"/>
      <c r="J585" s="1508"/>
      <c r="K585" s="1508"/>
      <c r="L585" s="1508"/>
      <c r="M585" s="1508"/>
      <c r="N585" s="1508"/>
      <c r="O585" s="1508"/>
      <c r="P585" s="1508"/>
      <c r="Q585" s="1508"/>
      <c r="R585" s="1508"/>
      <c r="T585" s="55" t="s">
        <v>591</v>
      </c>
      <c r="U585" t="s">
        <v>470</v>
      </c>
      <c r="Z585" s="1508" t="str">
        <f>C559</f>
        <v>Deferred Developer Fee</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82" t="s">
        <v>2645</v>
      </c>
      <c r="H586" s="1471"/>
      <c r="I586" s="1471"/>
      <c r="J586" s="1471"/>
      <c r="K586" s="1471"/>
      <c r="L586" s="1471"/>
      <c r="M586" s="1471"/>
      <c r="N586" s="1471"/>
      <c r="O586" s="1471"/>
      <c r="P586" s="1471"/>
      <c r="Q586" s="1471"/>
      <c r="R586" s="1471"/>
      <c r="T586" s="22"/>
      <c r="U586" t="s">
        <v>85</v>
      </c>
      <c r="Z586" s="1482" t="s">
        <v>2645</v>
      </c>
      <c r="AA586" s="1471"/>
      <c r="AB586" s="1471"/>
      <c r="AC586" s="1471"/>
      <c r="AD586" s="1471"/>
      <c r="AE586" s="1471"/>
      <c r="AF586" s="1471"/>
      <c r="AG586" s="1471"/>
      <c r="AH586" s="1471"/>
      <c r="AI586" s="1471"/>
      <c r="AJ586" s="1471"/>
      <c r="AK586" s="147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82" t="s">
        <v>2646</v>
      </c>
      <c r="H587" s="1471"/>
      <c r="I587" s="1471"/>
      <c r="J587" s="1471"/>
      <c r="K587" s="1471"/>
      <c r="L587" s="1471"/>
      <c r="M587" s="1471"/>
      <c r="N587" s="1471"/>
      <c r="O587" s="1471"/>
      <c r="P587" s="1471"/>
      <c r="Q587" s="1471"/>
      <c r="R587" s="1471"/>
      <c r="T587" s="22"/>
      <c r="U587" t="s">
        <v>587</v>
      </c>
      <c r="Z587" s="1481" t="s">
        <v>2646</v>
      </c>
      <c r="AA587" s="1452"/>
      <c r="AB587" s="1452"/>
      <c r="AC587" s="1452"/>
      <c r="AD587" s="1452"/>
      <c r="AE587" s="1452"/>
      <c r="AF587" s="1452"/>
      <c r="AG587" s="1452"/>
      <c r="AH587" s="1452"/>
      <c r="AI587" s="1452"/>
      <c r="AJ587" s="1452"/>
      <c r="AK587" s="145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82" t="s">
        <v>2656</v>
      </c>
      <c r="H588" s="1471"/>
      <c r="I588" s="1471"/>
      <c r="J588" s="1471"/>
      <c r="K588" s="1471"/>
      <c r="L588" s="1471"/>
      <c r="M588" s="1471"/>
      <c r="N588" s="1471"/>
      <c r="O588" s="1471"/>
      <c r="P588" s="1471"/>
      <c r="Q588" s="1471"/>
      <c r="R588" s="1471"/>
      <c r="T588" s="22"/>
      <c r="U588" t="s">
        <v>17</v>
      </c>
      <c r="Z588" s="1481" t="s">
        <v>2656</v>
      </c>
      <c r="AA588" s="1452"/>
      <c r="AB588" s="1452"/>
      <c r="AC588" s="1452"/>
      <c r="AD588" s="1452"/>
      <c r="AE588" s="1452"/>
      <c r="AF588" s="1452"/>
      <c r="AG588" s="1452"/>
      <c r="AH588" s="1452"/>
      <c r="AI588" s="1452"/>
      <c r="AJ588" s="1452"/>
      <c r="AK588" s="1452"/>
    </row>
    <row r="589" spans="1:110" ht="12.95" customHeight="1">
      <c r="A589" s="22"/>
      <c r="B589" t="s">
        <v>317</v>
      </c>
      <c r="G589" s="1489" t="s">
        <v>2657</v>
      </c>
      <c r="H589" s="1473"/>
      <c r="I589" s="1473"/>
      <c r="J589" s="1473"/>
      <c r="K589" s="1473"/>
      <c r="L589" s="1473"/>
      <c r="O589" s="33" t="s">
        <v>207</v>
      </c>
      <c r="P589" s="1384"/>
      <c r="Q589" s="1384"/>
      <c r="R589" s="1384"/>
      <c r="T589" s="22"/>
      <c r="U589" t="s">
        <v>317</v>
      </c>
      <c r="Z589" s="1489" t="s">
        <v>2657</v>
      </c>
      <c r="AA589" s="1473"/>
      <c r="AB589" s="1473"/>
      <c r="AC589" s="1473"/>
      <c r="AD589" s="1473"/>
      <c r="AE589" s="1473"/>
      <c r="AH589" s="33" t="s">
        <v>207</v>
      </c>
      <c r="AI589" s="1384"/>
      <c r="AJ589" s="1384"/>
      <c r="AK589" s="138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82" t="s">
        <v>2746</v>
      </c>
      <c r="I590" s="1471"/>
      <c r="J590" s="1471"/>
      <c r="K590" s="1471"/>
      <c r="L590" s="1471"/>
      <c r="M590" s="1471"/>
      <c r="N590" s="1471"/>
      <c r="O590" s="1471"/>
      <c r="P590" s="1471"/>
      <c r="Q590" s="1471"/>
      <c r="R590" s="1471"/>
      <c r="T590" s="22"/>
      <c r="U590" t="s">
        <v>18</v>
      </c>
      <c r="AA590" s="1482" t="s">
        <v>2747</v>
      </c>
      <c r="AB590" s="1471"/>
      <c r="AC590" s="1471"/>
      <c r="AD590" s="1471"/>
      <c r="AE590" s="1471"/>
      <c r="AF590" s="1471"/>
      <c r="AG590" s="1471"/>
      <c r="AH590" s="1471"/>
      <c r="AI590" s="1471"/>
      <c r="AJ590" s="1471"/>
      <c r="AK590" s="147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552</v>
      </c>
      <c r="O591" s="1380"/>
      <c r="T591" s="22"/>
      <c r="U591" t="s">
        <v>20</v>
      </c>
      <c r="AG591" s="1380" t="s">
        <v>552</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08" t="str">
        <f>C560</f>
        <v>GP Capital Contribution</v>
      </c>
      <c r="H593" s="1508"/>
      <c r="I593" s="1508"/>
      <c r="J593" s="1508"/>
      <c r="K593" s="1508"/>
      <c r="L593" s="1508"/>
      <c r="M593" s="1508"/>
      <c r="N593" s="1508"/>
      <c r="O593" s="1508"/>
      <c r="P593" s="1508"/>
      <c r="Q593" s="1508"/>
      <c r="R593" s="1508"/>
      <c r="T593" s="55" t="s">
        <v>463</v>
      </c>
      <c r="U593" t="s">
        <v>470</v>
      </c>
      <c r="Z593" s="1508" t="str">
        <f>C561</f>
        <v>Limited Partner Equity</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82" t="s">
        <v>2645</v>
      </c>
      <c r="H594" s="1471"/>
      <c r="I594" s="1471"/>
      <c r="J594" s="1471"/>
      <c r="K594" s="1471"/>
      <c r="L594" s="1471"/>
      <c r="M594" s="1471"/>
      <c r="N594" s="1471"/>
      <c r="O594" s="1471"/>
      <c r="P594" s="1471"/>
      <c r="Q594" s="1471"/>
      <c r="R594" s="1471"/>
      <c r="S594"/>
      <c r="T594" s="22"/>
      <c r="U594" t="s">
        <v>85</v>
      </c>
      <c r="V594"/>
      <c r="W594"/>
      <c r="X594"/>
      <c r="Y594"/>
      <c r="Z594" s="1482" t="s">
        <v>2704</v>
      </c>
      <c r="AA594" s="1471"/>
      <c r="AB594" s="1471"/>
      <c r="AC594" s="1471"/>
      <c r="AD594" s="1471"/>
      <c r="AE594" s="1471"/>
      <c r="AF594" s="1471"/>
      <c r="AG594" s="1471"/>
      <c r="AH594" s="1471"/>
      <c r="AI594" s="1471"/>
      <c r="AJ594" s="1471"/>
      <c r="AK594" s="147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82" t="s">
        <v>2748</v>
      </c>
      <c r="H595" s="1471"/>
      <c r="I595" s="1471"/>
      <c r="J595" s="1471"/>
      <c r="K595" s="1471"/>
      <c r="L595" s="1471"/>
      <c r="M595" s="1471"/>
      <c r="N595" s="1471"/>
      <c r="O595" s="1471"/>
      <c r="P595" s="1471"/>
      <c r="Q595" s="1471"/>
      <c r="R595" s="1471"/>
      <c r="S595"/>
      <c r="T595" s="22"/>
      <c r="U595" t="s">
        <v>587</v>
      </c>
      <c r="V595"/>
      <c r="W595"/>
      <c r="X595"/>
      <c r="Y595"/>
      <c r="Z595" s="1452"/>
      <c r="AA595" s="1452"/>
      <c r="AB595" s="1452"/>
      <c r="AC595" s="1452"/>
      <c r="AD595" s="1452"/>
      <c r="AE595" s="1452"/>
      <c r="AF595" s="1452"/>
      <c r="AG595" s="1452"/>
      <c r="AH595" s="1452"/>
      <c r="AI595" s="1452"/>
      <c r="AJ595" s="1452"/>
      <c r="AK595" s="145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2" t="s">
        <v>2656</v>
      </c>
      <c r="H596" s="1471"/>
      <c r="I596" s="1471"/>
      <c r="J596" s="1471"/>
      <c r="K596" s="1471"/>
      <c r="L596" s="1471"/>
      <c r="M596" s="1471"/>
      <c r="N596" s="1471"/>
      <c r="O596" s="1471"/>
      <c r="P596" s="1471"/>
      <c r="Q596" s="1471"/>
      <c r="R596" s="1471"/>
      <c r="S596"/>
      <c r="T596" s="22"/>
      <c r="U596" t="s">
        <v>17</v>
      </c>
      <c r="V596"/>
      <c r="W596"/>
      <c r="X596"/>
      <c r="Y596"/>
      <c r="Z596" s="1452"/>
      <c r="AA596" s="1452"/>
      <c r="AB596" s="1452"/>
      <c r="AC596" s="1452"/>
      <c r="AD596" s="1452"/>
      <c r="AE596" s="1452"/>
      <c r="AF596" s="1452"/>
      <c r="AG596" s="1452"/>
      <c r="AH596" s="1452"/>
      <c r="AI596" s="1452"/>
      <c r="AJ596" s="1452"/>
      <c r="AK596" s="1452"/>
      <c r="AL596"/>
      <c r="AM596"/>
      <c r="AN596"/>
      <c r="AO596"/>
      <c r="AP596"/>
      <c r="AQ596"/>
      <c r="AR596"/>
      <c r="AS596"/>
      <c r="AT596"/>
      <c r="AU596"/>
      <c r="AV596"/>
      <c r="AW596"/>
      <c r="AX596"/>
      <c r="AY596"/>
      <c r="BA596" s="4" t="s">
        <v>325</v>
      </c>
      <c r="BB596" s="3"/>
      <c r="BC596" s="3"/>
      <c r="BD596" s="3"/>
      <c r="BE596" s="121" t="s">
        <v>481</v>
      </c>
      <c r="BF596" s="122"/>
      <c r="BG596" s="1395"/>
      <c r="BH596" s="1396"/>
      <c r="BI596" s="121" t="s">
        <v>482</v>
      </c>
      <c r="BJ596" s="122"/>
      <c r="BK596" s="1395"/>
      <c r="BL596" s="1396"/>
      <c r="BM596" s="3"/>
      <c r="BN596" s="1522" t="s">
        <v>640</v>
      </c>
      <c r="BO596" s="1523"/>
      <c r="BP596" s="1523"/>
      <c r="BQ596" s="1523"/>
      <c r="BR596" s="1524"/>
      <c r="BS596" s="1514" t="s">
        <v>326</v>
      </c>
      <c r="BT596" s="1514"/>
      <c r="BU596" s="1514"/>
      <c r="BV596" s="1514"/>
      <c r="BW596" s="1514"/>
      <c r="BX596" s="1514" t="s">
        <v>163</v>
      </c>
      <c r="BY596" s="1514"/>
      <c r="BZ596" s="1514"/>
      <c r="CA596" s="1514"/>
      <c r="CB596" s="1514"/>
      <c r="CC596" s="1514" t="s">
        <v>164</v>
      </c>
      <c r="CD596" s="1514"/>
      <c r="CE596" s="1514"/>
      <c r="CF596" s="1514"/>
      <c r="CG596" s="1514"/>
      <c r="CH596" s="1514" t="s">
        <v>467</v>
      </c>
      <c r="CI596" s="1514"/>
      <c r="CJ596" s="1514"/>
      <c r="CK596" s="1514"/>
      <c r="CL596" s="1514"/>
      <c r="CM596" s="1514" t="s">
        <v>30</v>
      </c>
      <c r="CN596" s="1514"/>
      <c r="CO596" s="1514"/>
      <c r="CP596" s="1514"/>
      <c r="CQ596" s="1514"/>
      <c r="CR596" s="89"/>
      <c r="CS596" s="1514" t="s">
        <v>640</v>
      </c>
      <c r="CT596" s="1514"/>
      <c r="CU596" s="1514"/>
      <c r="CV596" s="1514"/>
      <c r="CW596" s="1514"/>
      <c r="CX596" s="1514" t="s">
        <v>326</v>
      </c>
      <c r="CY596" s="1514"/>
      <c r="CZ596" s="1514"/>
      <c r="DA596" s="1514"/>
      <c r="DB596" s="1514"/>
      <c r="DC596" s="1514" t="s">
        <v>163</v>
      </c>
      <c r="DD596" s="1514"/>
      <c r="DE596" s="1514"/>
      <c r="DF596" s="1514"/>
      <c r="DG596" s="1514"/>
      <c r="DH596" s="1514" t="s">
        <v>164</v>
      </c>
      <c r="DI596" s="1514"/>
      <c r="DJ596" s="1514"/>
      <c r="DK596" s="1514"/>
      <c r="DL596" s="1514"/>
      <c r="DM596" s="1514" t="s">
        <v>467</v>
      </c>
      <c r="DN596" s="1514"/>
      <c r="DO596" s="1514"/>
      <c r="DP596" s="1514"/>
      <c r="DQ596" s="1514"/>
      <c r="DR596" s="1514" t="s">
        <v>30</v>
      </c>
      <c r="DS596" s="1514"/>
      <c r="DT596" s="1514"/>
      <c r="DU596" s="1514"/>
      <c r="DV596" s="1514"/>
      <c r="DX596" s="1514" t="s">
        <v>640</v>
      </c>
      <c r="DY596" s="1514"/>
      <c r="DZ596" s="1514"/>
      <c r="EA596" s="1514"/>
      <c r="EB596" s="1514"/>
      <c r="EC596" s="1514" t="s">
        <v>326</v>
      </c>
      <c r="ED596" s="1514"/>
      <c r="EE596" s="1514"/>
      <c r="EF596" s="1514"/>
      <c r="EG596" s="1514"/>
      <c r="EH596" s="1514" t="s">
        <v>163</v>
      </c>
      <c r="EI596" s="1514"/>
      <c r="EJ596" s="1514"/>
      <c r="EK596" s="1514"/>
      <c r="EL596" s="1514"/>
      <c r="EM596" s="1514" t="s">
        <v>164</v>
      </c>
      <c r="EN596" s="1514"/>
      <c r="EO596" s="1514"/>
      <c r="EP596" s="1514"/>
      <c r="EQ596" s="1514"/>
      <c r="ER596" s="1514" t="s">
        <v>467</v>
      </c>
      <c r="ES596" s="1514"/>
      <c r="ET596" s="1514"/>
      <c r="EU596" s="1514"/>
      <c r="EV596" s="1514"/>
      <c r="EW596" s="1514" t="s">
        <v>30</v>
      </c>
      <c r="EX596" s="1514"/>
      <c r="EY596" s="1514"/>
      <c r="EZ596" s="1514"/>
      <c r="FA596" s="1514"/>
    </row>
    <row r="597" spans="1:157" s="4" customFormat="1" ht="12.95" customHeight="1">
      <c r="A597" s="22"/>
      <c r="B597" t="s">
        <v>317</v>
      </c>
      <c r="C597"/>
      <c r="D597"/>
      <c r="E597"/>
      <c r="F597"/>
      <c r="G597" s="1489" t="s">
        <v>2657</v>
      </c>
      <c r="H597" s="1473"/>
      <c r="I597" s="1473"/>
      <c r="J597" s="1473"/>
      <c r="K597" s="1473"/>
      <c r="L597" s="1473"/>
      <c r="M597"/>
      <c r="N597"/>
      <c r="O597" s="33" t="s">
        <v>207</v>
      </c>
      <c r="P597" s="1384"/>
      <c r="Q597" s="1384"/>
      <c r="R597" s="1384"/>
      <c r="S597"/>
      <c r="T597" s="22"/>
      <c r="U597" t="s">
        <v>317</v>
      </c>
      <c r="V597"/>
      <c r="W597"/>
      <c r="X597"/>
      <c r="Y597"/>
      <c r="Z597" s="1473"/>
      <c r="AA597" s="1473"/>
      <c r="AB597" s="1473"/>
      <c r="AC597" s="1473"/>
      <c r="AD597" s="1473"/>
      <c r="AE597" s="1473"/>
      <c r="AF597"/>
      <c r="AG597"/>
      <c r="AH597" s="33" t="s">
        <v>207</v>
      </c>
      <c r="AI597" s="1384"/>
      <c r="AJ597" s="1384"/>
      <c r="AK597" s="1384"/>
      <c r="AL597"/>
      <c r="AM597"/>
      <c r="AN597"/>
      <c r="AO597"/>
      <c r="AP597"/>
      <c r="AQ597"/>
      <c r="AR597"/>
      <c r="AS597"/>
      <c r="AT597"/>
      <c r="AU597"/>
      <c r="AV597"/>
      <c r="AW597"/>
      <c r="AX597"/>
      <c r="AY597"/>
      <c r="BA597" s="4" t="s">
        <v>326</v>
      </c>
      <c r="BB597" s="3"/>
      <c r="BC597" s="3"/>
      <c r="BD597" s="3"/>
      <c r="BE597" s="1386">
        <f t="shared" ref="BE597:BE631" si="1">IF(AND(AC718&lt;=0.5,AC718&gt;=0.36),1,0)</f>
        <v>0</v>
      </c>
      <c r="BF597" s="1388"/>
      <c r="BG597" s="1395">
        <f t="shared" ref="BG597:BG631" si="2">IF(BE597=1,G718,0)</f>
        <v>0</v>
      </c>
      <c r="BH597" s="1396"/>
      <c r="BI597" s="1386">
        <f t="shared" ref="BI597:BI631" si="3">IF(AND(AC718&lt;=0.35,AC718&gt;0),1,0)</f>
        <v>1</v>
      </c>
      <c r="BJ597" s="1388"/>
      <c r="BK597" s="1395">
        <f t="shared" ref="BK597:BK631" si="4">IF(BI597=1,G718,0)</f>
        <v>8</v>
      </c>
      <c r="BL597" s="1396"/>
      <c r="BM597" s="3"/>
      <c r="BN597" s="1391">
        <f t="shared" ref="BN597:BN631" si="5">IF(B718="SRO/Studio",G718,0)</f>
        <v>8</v>
      </c>
      <c r="BO597" s="1392"/>
      <c r="BP597" s="1392"/>
      <c r="BQ597" s="1392"/>
      <c r="BR597" s="1393"/>
      <c r="BS597" s="1394">
        <f t="shared" ref="BS597:BS631" si="6">IF(B718="1 Bedroom",G718,0)</f>
        <v>0</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0">
        <f t="shared" ref="CS597:CS631" si="11">IF(AND(B718="SRO/Studio",AC718&lt;=0.3),G718,0)</f>
        <v>8</v>
      </c>
      <c r="CT597" s="1390"/>
      <c r="CU597" s="1390"/>
      <c r="CV597" s="1390"/>
      <c r="CW597" s="1390"/>
      <c r="CX597" s="1390">
        <f t="shared" ref="CX597:CX631" si="12">IF(AND(B718="1 Bedroom",AC718&lt;=0.3),G718,0)</f>
        <v>0</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6">
        <f t="shared" ref="DX597:DX631" si="17">IF(BN597&gt;0,O718,"")</f>
        <v>898</v>
      </c>
      <c r="DY597" s="1387"/>
      <c r="DZ597" s="1387"/>
      <c r="EA597" s="1387"/>
      <c r="EB597" s="1388"/>
      <c r="EC597" s="1386" t="str">
        <f t="shared" ref="EC597:EC631" si="18">IF(BS597&gt;0,O718,"")</f>
        <v/>
      </c>
      <c r="ED597" s="1387"/>
      <c r="EE597" s="1387"/>
      <c r="EF597" s="1387"/>
      <c r="EG597" s="1388"/>
      <c r="EH597" s="1386" t="str">
        <f t="shared" ref="EH597:EH631" si="19">IF(BX597&gt;0,O718,"")</f>
        <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2.95" customHeight="1">
      <c r="A598" s="22"/>
      <c r="B598" t="s">
        <v>18</v>
      </c>
      <c r="C598"/>
      <c r="D598"/>
      <c r="E598"/>
      <c r="F598"/>
      <c r="G598"/>
      <c r="H598" s="1482" t="s">
        <v>2749</v>
      </c>
      <c r="I598" s="1471"/>
      <c r="J598" s="1471"/>
      <c r="K598" s="1471"/>
      <c r="L598" s="1471"/>
      <c r="M598" s="1471"/>
      <c r="N598" s="1471"/>
      <c r="O598" s="1471"/>
      <c r="P598" s="1471"/>
      <c r="Q598" s="1471"/>
      <c r="R598" s="1471"/>
      <c r="S598"/>
      <c r="T598" s="22"/>
      <c r="U598" t="s">
        <v>18</v>
      </c>
      <c r="V598"/>
      <c r="W598"/>
      <c r="X598"/>
      <c r="Y598"/>
      <c r="Z598"/>
      <c r="AA598" s="1471"/>
      <c r="AB598" s="1471"/>
      <c r="AC598" s="1471"/>
      <c r="AD598" s="1471"/>
      <c r="AE598" s="1471"/>
      <c r="AF598" s="1471"/>
      <c r="AG598" s="1471"/>
      <c r="AH598" s="1471"/>
      <c r="AI598" s="1471"/>
      <c r="AJ598" s="1471"/>
      <c r="AK598" s="1471"/>
      <c r="AL598"/>
      <c r="AM598"/>
      <c r="AN598"/>
      <c r="AO598"/>
      <c r="AP598"/>
      <c r="AQ598"/>
      <c r="AR598"/>
      <c r="AS598"/>
      <c r="AT598"/>
      <c r="AU598"/>
      <c r="AV598"/>
      <c r="AW598"/>
      <c r="AX598"/>
      <c r="AY598"/>
      <c r="BA598" s="4" t="s">
        <v>163</v>
      </c>
      <c r="BB598" s="3"/>
      <c r="BC598" s="3"/>
      <c r="BD598" s="3"/>
      <c r="BE598" s="1386">
        <f t="shared" si="1"/>
        <v>0</v>
      </c>
      <c r="BF598" s="1388"/>
      <c r="BG598" s="1395">
        <f t="shared" si="2"/>
        <v>0</v>
      </c>
      <c r="BH598" s="1396"/>
      <c r="BI598" s="1386">
        <f t="shared" si="3"/>
        <v>1</v>
      </c>
      <c r="BJ598" s="1388"/>
      <c r="BK598" s="1395">
        <f t="shared" si="4"/>
        <v>5</v>
      </c>
      <c r="BL598" s="1396"/>
      <c r="BM598" s="3"/>
      <c r="BN598" s="1391">
        <f t="shared" si="5"/>
        <v>0</v>
      </c>
      <c r="BO598" s="1392"/>
      <c r="BP598" s="1392"/>
      <c r="BQ598" s="1392"/>
      <c r="BR598" s="1393"/>
      <c r="BS598" s="1394">
        <f t="shared" si="6"/>
        <v>5</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0">
        <f t="shared" si="11"/>
        <v>0</v>
      </c>
      <c r="CT598" s="1390"/>
      <c r="CU598" s="1390"/>
      <c r="CV598" s="1390"/>
      <c r="CW598" s="1390"/>
      <c r="CX598" s="1390">
        <f t="shared" si="12"/>
        <v>5</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6" t="str">
        <f t="shared" si="17"/>
        <v/>
      </c>
      <c r="DY598" s="1387"/>
      <c r="DZ598" s="1387"/>
      <c r="EA598" s="1387"/>
      <c r="EB598" s="1388"/>
      <c r="EC598" s="1386">
        <f t="shared" si="18"/>
        <v>937</v>
      </c>
      <c r="ED598" s="1387"/>
      <c r="EE598" s="1387"/>
      <c r="EF598" s="1387"/>
      <c r="EG598" s="1388"/>
      <c r="EH598" s="1386" t="str">
        <f t="shared" si="19"/>
        <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2.95" customHeight="1">
      <c r="A599" s="22"/>
      <c r="B599" t="s">
        <v>20</v>
      </c>
      <c r="N599" s="1380" t="s">
        <v>552</v>
      </c>
      <c r="O599" s="1380"/>
      <c r="T599" s="22"/>
      <c r="U599" t="s">
        <v>20</v>
      </c>
      <c r="AG599" s="1380" t="s">
        <v>676</v>
      </c>
      <c r="AH599" s="1380"/>
      <c r="BA599" s="4" t="s">
        <v>164</v>
      </c>
      <c r="BB599" s="3"/>
      <c r="BC599" s="3"/>
      <c r="BD599" s="3"/>
      <c r="BE599" s="1386">
        <f t="shared" si="1"/>
        <v>0</v>
      </c>
      <c r="BF599" s="1388"/>
      <c r="BG599" s="1395">
        <f t="shared" si="2"/>
        <v>0</v>
      </c>
      <c r="BH599" s="1396"/>
      <c r="BI599" s="1386">
        <f t="shared" si="3"/>
        <v>1</v>
      </c>
      <c r="BJ599" s="1388"/>
      <c r="BK599" s="1395">
        <f t="shared" si="4"/>
        <v>6</v>
      </c>
      <c r="BL599" s="1396"/>
      <c r="BM599" s="3"/>
      <c r="BN599" s="1391">
        <f t="shared" si="5"/>
        <v>0</v>
      </c>
      <c r="BO599" s="1392"/>
      <c r="BP599" s="1392"/>
      <c r="BQ599" s="1392"/>
      <c r="BR599" s="1393"/>
      <c r="BS599" s="1394">
        <f t="shared" si="6"/>
        <v>0</v>
      </c>
      <c r="BT599" s="1394"/>
      <c r="BU599" s="1394"/>
      <c r="BV599" s="1394"/>
      <c r="BW599" s="1394"/>
      <c r="BX599" s="1394">
        <f t="shared" si="7"/>
        <v>6</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0">
        <f t="shared" si="11"/>
        <v>0</v>
      </c>
      <c r="CT599" s="1390"/>
      <c r="CU599" s="1390"/>
      <c r="CV599" s="1390"/>
      <c r="CW599" s="1390"/>
      <c r="CX599" s="1390">
        <f t="shared" si="12"/>
        <v>0</v>
      </c>
      <c r="CY599" s="1390"/>
      <c r="CZ599" s="1390"/>
      <c r="DA599" s="1390"/>
      <c r="DB599" s="1390"/>
      <c r="DC599" s="1390">
        <f t="shared" si="13"/>
        <v>6</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6" t="str">
        <f t="shared" si="17"/>
        <v/>
      </c>
      <c r="DY599" s="1387"/>
      <c r="DZ599" s="1387"/>
      <c r="EA599" s="1387"/>
      <c r="EB599" s="1388"/>
      <c r="EC599" s="1386" t="str">
        <f t="shared" si="18"/>
        <v/>
      </c>
      <c r="ED599" s="1387"/>
      <c r="EE599" s="1387"/>
      <c r="EF599" s="1387"/>
      <c r="EG599" s="1388"/>
      <c r="EH599" s="1386">
        <f t="shared" si="19"/>
        <v>1115</v>
      </c>
      <c r="EI599" s="1387"/>
      <c r="EJ599" s="1387"/>
      <c r="EK599" s="1387"/>
      <c r="EL599" s="1388"/>
      <c r="EM599" s="1386" t="str">
        <f t="shared" si="20"/>
        <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2.95" customHeight="1">
      <c r="A600" s="22"/>
      <c r="T600" s="22"/>
      <c r="BA600" s="4" t="s">
        <v>165</v>
      </c>
      <c r="BB600" s="3"/>
      <c r="BC600" s="3"/>
      <c r="BD600" s="3"/>
      <c r="BE600" s="1386">
        <f t="shared" si="1"/>
        <v>0</v>
      </c>
      <c r="BF600" s="1388"/>
      <c r="BG600" s="1395">
        <f t="shared" si="2"/>
        <v>0</v>
      </c>
      <c r="BH600" s="1396"/>
      <c r="BI600" s="1386">
        <f t="shared" si="3"/>
        <v>1</v>
      </c>
      <c r="BJ600" s="1388"/>
      <c r="BK600" s="1395">
        <f t="shared" si="4"/>
        <v>6</v>
      </c>
      <c r="BL600" s="1396"/>
      <c r="BM600" s="3"/>
      <c r="BN600" s="1391">
        <f t="shared" si="5"/>
        <v>0</v>
      </c>
      <c r="BO600" s="1392"/>
      <c r="BP600" s="1392"/>
      <c r="BQ600" s="1392"/>
      <c r="BR600" s="1393"/>
      <c r="BS600" s="1394">
        <f t="shared" si="6"/>
        <v>0</v>
      </c>
      <c r="BT600" s="1394"/>
      <c r="BU600" s="1394"/>
      <c r="BV600" s="1394"/>
      <c r="BW600" s="1394"/>
      <c r="BX600" s="1394">
        <f t="shared" si="7"/>
        <v>0</v>
      </c>
      <c r="BY600" s="1394"/>
      <c r="BZ600" s="1394"/>
      <c r="CA600" s="1394"/>
      <c r="CB600" s="1394"/>
      <c r="CC600" s="1394">
        <f t="shared" si="8"/>
        <v>6</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6</v>
      </c>
      <c r="DI600" s="1390"/>
      <c r="DJ600" s="1390"/>
      <c r="DK600" s="1390"/>
      <c r="DL600" s="1390"/>
      <c r="DM600" s="1390">
        <f t="shared" si="15"/>
        <v>0</v>
      </c>
      <c r="DN600" s="1390"/>
      <c r="DO600" s="1390"/>
      <c r="DP600" s="1390"/>
      <c r="DQ600" s="1390"/>
      <c r="DR600" s="1390">
        <f t="shared" si="16"/>
        <v>0</v>
      </c>
      <c r="DS600" s="1390"/>
      <c r="DT600" s="1390"/>
      <c r="DU600" s="1390"/>
      <c r="DV600" s="1390"/>
      <c r="DX600" s="1386" t="str">
        <f t="shared" si="17"/>
        <v/>
      </c>
      <c r="DY600" s="1387"/>
      <c r="DZ600" s="1387"/>
      <c r="EA600" s="1387"/>
      <c r="EB600" s="1388"/>
      <c r="EC600" s="1386" t="str">
        <f t="shared" si="18"/>
        <v/>
      </c>
      <c r="ED600" s="1387"/>
      <c r="EE600" s="1387"/>
      <c r="EF600" s="1387"/>
      <c r="EG600" s="1388"/>
      <c r="EH600" s="1386" t="str">
        <f t="shared" si="19"/>
        <v/>
      </c>
      <c r="EI600" s="1387"/>
      <c r="EJ600" s="1387"/>
      <c r="EK600" s="1387"/>
      <c r="EL600" s="1388"/>
      <c r="EM600" s="1386">
        <f t="shared" si="20"/>
        <v>1278</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2.95" customHeight="1">
      <c r="A601" s="55" t="s">
        <v>468</v>
      </c>
      <c r="B601" t="s">
        <v>470</v>
      </c>
      <c r="G601" s="1508">
        <f>C562</f>
        <v>0</v>
      </c>
      <c r="H601" s="1508"/>
      <c r="I601" s="1508"/>
      <c r="J601" s="1508"/>
      <c r="K601" s="1508"/>
      <c r="L601" s="1508"/>
      <c r="M601" s="1508"/>
      <c r="N601" s="1508"/>
      <c r="O601" s="1508"/>
      <c r="P601" s="1508"/>
      <c r="Q601" s="1508"/>
      <c r="R601" s="1508"/>
      <c r="T601" s="55" t="s">
        <v>653</v>
      </c>
      <c r="U601" t="s">
        <v>470</v>
      </c>
      <c r="Z601" s="1508">
        <f>C563</f>
        <v>0</v>
      </c>
      <c r="AA601" s="1508"/>
      <c r="AB601" s="1508"/>
      <c r="AC601" s="1508"/>
      <c r="AD601" s="1508"/>
      <c r="AE601" s="1508"/>
      <c r="AF601" s="1508"/>
      <c r="AG601" s="1508"/>
      <c r="AH601" s="1508"/>
      <c r="AI601" s="1508"/>
      <c r="AJ601" s="1508"/>
      <c r="AK601" s="1508"/>
      <c r="BA601" s="4" t="s">
        <v>30</v>
      </c>
      <c r="BB601" s="3"/>
      <c r="BC601" s="3"/>
      <c r="BD601" s="3"/>
      <c r="BE601" s="1386">
        <f t="shared" si="1"/>
        <v>0</v>
      </c>
      <c r="BF601" s="1388"/>
      <c r="BG601" s="1395">
        <f t="shared" si="2"/>
        <v>0</v>
      </c>
      <c r="BH601" s="1396"/>
      <c r="BI601" s="1386">
        <f t="shared" si="3"/>
        <v>0</v>
      </c>
      <c r="BJ601" s="1388"/>
      <c r="BK601" s="1395">
        <f t="shared" si="4"/>
        <v>0</v>
      </c>
      <c r="BL601" s="1396"/>
      <c r="BM601" s="3"/>
      <c r="BN601" s="1391">
        <f t="shared" si="5"/>
        <v>0</v>
      </c>
      <c r="BO601" s="1392"/>
      <c r="BP601" s="1392"/>
      <c r="BQ601" s="1392"/>
      <c r="BR601" s="1393"/>
      <c r="BS601" s="1394">
        <f t="shared" si="6"/>
        <v>0</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0">
        <f t="shared" si="11"/>
        <v>0</v>
      </c>
      <c r="CT601" s="1390"/>
      <c r="CU601" s="1390"/>
      <c r="CV601" s="1390"/>
      <c r="CW601" s="1390"/>
      <c r="CX601" s="1390">
        <f t="shared" si="12"/>
        <v>0</v>
      </c>
      <c r="CY601" s="1390"/>
      <c r="CZ601" s="1390"/>
      <c r="DA601" s="1390"/>
      <c r="DB601" s="1390"/>
      <c r="DC601" s="1390">
        <f t="shared" si="13"/>
        <v>0</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6" t="str">
        <f t="shared" si="17"/>
        <v/>
      </c>
      <c r="DY601" s="1387"/>
      <c r="DZ601" s="1387"/>
      <c r="EA601" s="1387"/>
      <c r="EB601" s="1388"/>
      <c r="EC601" s="1386" t="str">
        <f t="shared" si="18"/>
        <v/>
      </c>
      <c r="ED601" s="1387"/>
      <c r="EE601" s="1387"/>
      <c r="EF601" s="1387"/>
      <c r="EG601" s="1388"/>
      <c r="EH601" s="1386" t="str">
        <f t="shared" si="19"/>
        <v/>
      </c>
      <c r="EI601" s="1387"/>
      <c r="EJ601" s="1387"/>
      <c r="EK601" s="1387"/>
      <c r="EL601" s="1388"/>
      <c r="EM601" s="1386" t="str">
        <f t="shared" si="20"/>
        <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2.95" customHeight="1">
      <c r="A602" s="22"/>
      <c r="B602" t="s">
        <v>85</v>
      </c>
      <c r="G602" s="1471"/>
      <c r="H602" s="1471"/>
      <c r="I602" s="1471"/>
      <c r="J602" s="1471"/>
      <c r="K602" s="1471"/>
      <c r="L602" s="1471"/>
      <c r="M602" s="1471"/>
      <c r="N602" s="1471"/>
      <c r="O602" s="1471"/>
      <c r="P602" s="1471"/>
      <c r="Q602" s="1471"/>
      <c r="R602" s="1471"/>
      <c r="T602" s="22"/>
      <c r="U602" t="s">
        <v>85</v>
      </c>
      <c r="Z602" s="1471"/>
      <c r="AA602" s="1471"/>
      <c r="AB602" s="1471"/>
      <c r="AC602" s="1471"/>
      <c r="AD602" s="1471"/>
      <c r="AE602" s="1471"/>
      <c r="AF602" s="1471"/>
      <c r="AG602" s="1471"/>
      <c r="AH602" s="1471"/>
      <c r="AI602" s="1471"/>
      <c r="AJ602" s="1471"/>
      <c r="AK602" s="1471"/>
      <c r="AZ602" s="3"/>
      <c r="BA602" s="3"/>
      <c r="BB602" s="3"/>
      <c r="BC602" s="3"/>
      <c r="BD602" s="3"/>
      <c r="BE602" s="1386">
        <f t="shared" si="1"/>
        <v>1</v>
      </c>
      <c r="BF602" s="1388"/>
      <c r="BG602" s="1395">
        <f t="shared" si="2"/>
        <v>12</v>
      </c>
      <c r="BH602" s="1396"/>
      <c r="BI602" s="1386">
        <f t="shared" si="3"/>
        <v>0</v>
      </c>
      <c r="BJ602" s="1388"/>
      <c r="BK602" s="1395">
        <f t="shared" si="4"/>
        <v>0</v>
      </c>
      <c r="BL602" s="1396"/>
      <c r="BM602" s="3"/>
      <c r="BN602" s="1391">
        <f t="shared" si="5"/>
        <v>12</v>
      </c>
      <c r="BO602" s="1392"/>
      <c r="BP602" s="1392"/>
      <c r="BQ602" s="1392"/>
      <c r="BR602" s="1393"/>
      <c r="BS602" s="1394">
        <f t="shared" si="6"/>
        <v>0</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6">
        <f t="shared" si="17"/>
        <v>1224</v>
      </c>
      <c r="DY602" s="1387"/>
      <c r="DZ602" s="1387"/>
      <c r="EA602" s="1387"/>
      <c r="EB602" s="1388"/>
      <c r="EC602" s="1386" t="str">
        <f t="shared" si="18"/>
        <v/>
      </c>
      <c r="ED602" s="1387"/>
      <c r="EE602" s="1387"/>
      <c r="EF602" s="1387"/>
      <c r="EG602" s="1388"/>
      <c r="EH602" s="1386" t="str">
        <f t="shared" si="19"/>
        <v/>
      </c>
      <c r="EI602" s="1387"/>
      <c r="EJ602" s="1387"/>
      <c r="EK602" s="1387"/>
      <c r="EL602" s="1388"/>
      <c r="EM602" s="1386" t="str">
        <f t="shared" si="20"/>
        <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2.95" customHeight="1">
      <c r="A603" s="22"/>
      <c r="B603" t="s">
        <v>587</v>
      </c>
      <c r="G603" s="1471"/>
      <c r="H603" s="1471"/>
      <c r="I603" s="1471"/>
      <c r="J603" s="1471"/>
      <c r="K603" s="1471"/>
      <c r="L603" s="1471"/>
      <c r="M603" s="1471"/>
      <c r="N603" s="1471"/>
      <c r="O603" s="1471"/>
      <c r="P603" s="1471"/>
      <c r="Q603" s="1471"/>
      <c r="R603" s="1471"/>
      <c r="T603" s="22"/>
      <c r="U603" t="s">
        <v>587</v>
      </c>
      <c r="Z603" s="1452"/>
      <c r="AA603" s="1452"/>
      <c r="AB603" s="1452"/>
      <c r="AC603" s="1452"/>
      <c r="AD603" s="1452"/>
      <c r="AE603" s="1452"/>
      <c r="AF603" s="1452"/>
      <c r="AG603" s="1452"/>
      <c r="AH603" s="1452"/>
      <c r="AI603" s="1452"/>
      <c r="AJ603" s="1452"/>
      <c r="AK603" s="1452"/>
      <c r="AZ603" s="3"/>
      <c r="BA603" s="3"/>
      <c r="BB603" s="3"/>
      <c r="BC603" s="3"/>
      <c r="BD603" s="3"/>
      <c r="BE603" s="1386">
        <f t="shared" si="1"/>
        <v>1</v>
      </c>
      <c r="BF603" s="1388"/>
      <c r="BG603" s="1395">
        <f t="shared" si="2"/>
        <v>5</v>
      </c>
      <c r="BH603" s="1396"/>
      <c r="BI603" s="1386">
        <f t="shared" si="3"/>
        <v>0</v>
      </c>
      <c r="BJ603" s="1388"/>
      <c r="BK603" s="1395">
        <f t="shared" si="4"/>
        <v>0</v>
      </c>
      <c r="BL603" s="1396"/>
      <c r="BM603" s="3"/>
      <c r="BN603" s="1391">
        <f t="shared" si="5"/>
        <v>0</v>
      </c>
      <c r="BO603" s="1392"/>
      <c r="BP603" s="1392"/>
      <c r="BQ603" s="1392"/>
      <c r="BR603" s="1393"/>
      <c r="BS603" s="1394">
        <f t="shared" si="6"/>
        <v>5</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6" t="str">
        <f t="shared" si="17"/>
        <v/>
      </c>
      <c r="DY603" s="1387"/>
      <c r="DZ603" s="1387"/>
      <c r="EA603" s="1387"/>
      <c r="EB603" s="1388"/>
      <c r="EC603" s="1386">
        <f t="shared" si="18"/>
        <v>1286</v>
      </c>
      <c r="ED603" s="1387"/>
      <c r="EE603" s="1387"/>
      <c r="EF603" s="1387"/>
      <c r="EG603" s="1388"/>
      <c r="EH603" s="1386" t="str">
        <f t="shared" si="19"/>
        <v/>
      </c>
      <c r="EI603" s="1387"/>
      <c r="EJ603" s="1387"/>
      <c r="EK603" s="1387"/>
      <c r="EL603" s="1388"/>
      <c r="EM603" s="1386" t="str">
        <f t="shared" si="20"/>
        <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2.95" customHeight="1">
      <c r="A604" s="22"/>
      <c r="B604" t="s">
        <v>17</v>
      </c>
      <c r="G604" s="1471"/>
      <c r="H604" s="1471"/>
      <c r="I604" s="1471"/>
      <c r="J604" s="1471"/>
      <c r="K604" s="1471"/>
      <c r="L604" s="1471"/>
      <c r="M604" s="1471"/>
      <c r="N604" s="1471"/>
      <c r="O604" s="1471"/>
      <c r="P604" s="1471"/>
      <c r="Q604" s="1471"/>
      <c r="R604" s="1471"/>
      <c r="T604" s="22"/>
      <c r="U604" t="s">
        <v>17</v>
      </c>
      <c r="Z604" s="1452"/>
      <c r="AA604" s="1452"/>
      <c r="AB604" s="1452"/>
      <c r="AC604" s="1452"/>
      <c r="AD604" s="1452"/>
      <c r="AE604" s="1452"/>
      <c r="AF604" s="1452"/>
      <c r="AG604" s="1452"/>
      <c r="AH604" s="1452"/>
      <c r="AI604" s="1452"/>
      <c r="AJ604" s="1452"/>
      <c r="AK604" s="1452"/>
      <c r="AZ604" s="3"/>
      <c r="BA604" s="3"/>
      <c r="BB604" s="3"/>
      <c r="BC604" s="3"/>
      <c r="BD604" s="3"/>
      <c r="BE604" s="1386">
        <f t="shared" si="1"/>
        <v>1</v>
      </c>
      <c r="BF604" s="1388"/>
      <c r="BG604" s="1395">
        <f t="shared" si="2"/>
        <v>6</v>
      </c>
      <c r="BH604" s="1396"/>
      <c r="BI604" s="1386">
        <f t="shared" si="3"/>
        <v>0</v>
      </c>
      <c r="BJ604" s="1388"/>
      <c r="BK604" s="1395">
        <f t="shared" si="4"/>
        <v>0</v>
      </c>
      <c r="BL604" s="1396"/>
      <c r="BM604" s="3"/>
      <c r="BN604" s="1391">
        <f t="shared" si="5"/>
        <v>0</v>
      </c>
      <c r="BO604" s="1392"/>
      <c r="BP604" s="1392"/>
      <c r="BQ604" s="1392"/>
      <c r="BR604" s="1393"/>
      <c r="BS604" s="1394">
        <f t="shared" si="6"/>
        <v>0</v>
      </c>
      <c r="BT604" s="1394"/>
      <c r="BU604" s="1394"/>
      <c r="BV604" s="1394"/>
      <c r="BW604" s="1394"/>
      <c r="BX604" s="1394">
        <f t="shared" si="7"/>
        <v>6</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6" t="str">
        <f t="shared" si="17"/>
        <v/>
      </c>
      <c r="DY604" s="1387"/>
      <c r="DZ604" s="1387"/>
      <c r="EA604" s="1387"/>
      <c r="EB604" s="1388"/>
      <c r="EC604" s="1386" t="str">
        <f t="shared" si="18"/>
        <v/>
      </c>
      <c r="ED604" s="1387"/>
      <c r="EE604" s="1387"/>
      <c r="EF604" s="1387"/>
      <c r="EG604" s="1388"/>
      <c r="EH604" s="1386">
        <f t="shared" si="19"/>
        <v>1533</v>
      </c>
      <c r="EI604" s="1387"/>
      <c r="EJ604" s="1387"/>
      <c r="EK604" s="1387"/>
      <c r="EL604" s="1388"/>
      <c r="EM604" s="1386" t="str">
        <f t="shared" si="20"/>
        <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2.95" customHeight="1">
      <c r="A605" s="22"/>
      <c r="B605" t="s">
        <v>317</v>
      </c>
      <c r="C605"/>
      <c r="D605"/>
      <c r="E605"/>
      <c r="F605"/>
      <c r="G605" s="1473"/>
      <c r="H605" s="1473"/>
      <c r="I605" s="1473"/>
      <c r="J605" s="1473"/>
      <c r="K605" s="1473"/>
      <c r="L605" s="1473"/>
      <c r="M605"/>
      <c r="N605"/>
      <c r="O605" s="33" t="s">
        <v>207</v>
      </c>
      <c r="P605" s="1384"/>
      <c r="Q605" s="1384"/>
      <c r="R605" s="1384"/>
      <c r="S605"/>
      <c r="T605" s="22"/>
      <c r="U605" t="s">
        <v>317</v>
      </c>
      <c r="V605"/>
      <c r="W605"/>
      <c r="X605"/>
      <c r="Y605"/>
      <c r="Z605" s="1473"/>
      <c r="AA605" s="1473"/>
      <c r="AB605" s="1473"/>
      <c r="AC605" s="1473"/>
      <c r="AD605" s="1473"/>
      <c r="AE605" s="1473"/>
      <c r="AF605"/>
      <c r="AG605"/>
      <c r="AH605" s="33" t="s">
        <v>207</v>
      </c>
      <c r="AI605" s="1384"/>
      <c r="AJ605" s="1384"/>
      <c r="AK605" s="1384"/>
      <c r="AL605"/>
      <c r="AM605"/>
      <c r="AN605"/>
      <c r="AO605"/>
      <c r="AP605"/>
      <c r="AQ605"/>
      <c r="AR605"/>
      <c r="AS605"/>
      <c r="AT605"/>
      <c r="AU605"/>
      <c r="AV605"/>
      <c r="AW605"/>
      <c r="AX605"/>
      <c r="AY605"/>
      <c r="AZ605" s="3"/>
      <c r="BA605" s="3"/>
      <c r="BB605" s="3"/>
      <c r="BC605" s="3"/>
      <c r="BD605" s="3"/>
      <c r="BE605" s="1386">
        <f t="shared" si="1"/>
        <v>1</v>
      </c>
      <c r="BF605" s="1388"/>
      <c r="BG605" s="1395">
        <f t="shared" si="2"/>
        <v>9</v>
      </c>
      <c r="BH605" s="1396"/>
      <c r="BI605" s="1386">
        <f t="shared" si="3"/>
        <v>0</v>
      </c>
      <c r="BJ605" s="1388"/>
      <c r="BK605" s="1395">
        <f t="shared" si="4"/>
        <v>0</v>
      </c>
      <c r="BL605" s="1396"/>
      <c r="BM605" s="3"/>
      <c r="BN605" s="1391">
        <f t="shared" si="5"/>
        <v>0</v>
      </c>
      <c r="BO605" s="1392"/>
      <c r="BP605" s="1392"/>
      <c r="BQ605" s="1392"/>
      <c r="BR605" s="1393"/>
      <c r="BS605" s="1394">
        <f t="shared" si="6"/>
        <v>0</v>
      </c>
      <c r="BT605" s="1394"/>
      <c r="BU605" s="1394"/>
      <c r="BV605" s="1394"/>
      <c r="BW605" s="1394"/>
      <c r="BX605" s="1394">
        <f t="shared" si="7"/>
        <v>0</v>
      </c>
      <c r="BY605" s="1394"/>
      <c r="BZ605" s="1394"/>
      <c r="CA605" s="1394"/>
      <c r="CB605" s="1394"/>
      <c r="CC605" s="1394">
        <f t="shared" si="8"/>
        <v>9</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0">
        <f t="shared" si="11"/>
        <v>0</v>
      </c>
      <c r="CT605" s="1390"/>
      <c r="CU605" s="1390"/>
      <c r="CV605" s="1390"/>
      <c r="CW605" s="1390"/>
      <c r="CX605" s="1390">
        <f t="shared" si="12"/>
        <v>0</v>
      </c>
      <c r="CY605" s="1390"/>
      <c r="CZ605" s="1390"/>
      <c r="DA605" s="1390"/>
      <c r="DB605" s="1390"/>
      <c r="DC605" s="1390">
        <f t="shared" si="13"/>
        <v>0</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6" t="str">
        <f t="shared" si="17"/>
        <v/>
      </c>
      <c r="DY605" s="1387"/>
      <c r="DZ605" s="1387"/>
      <c r="EA605" s="1387"/>
      <c r="EB605" s="1388"/>
      <c r="EC605" s="1386" t="str">
        <f t="shared" si="18"/>
        <v/>
      </c>
      <c r="ED605" s="1387"/>
      <c r="EE605" s="1387"/>
      <c r="EF605" s="1387"/>
      <c r="EG605" s="1388"/>
      <c r="EH605" s="1386" t="str">
        <f t="shared" si="19"/>
        <v/>
      </c>
      <c r="EI605" s="1387"/>
      <c r="EJ605" s="1387"/>
      <c r="EK605" s="1387"/>
      <c r="EL605" s="1388"/>
      <c r="EM605" s="1386">
        <f t="shared" si="20"/>
        <v>1761</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2.95" customHeight="1">
      <c r="A606" s="22"/>
      <c r="B606" t="s">
        <v>18</v>
      </c>
      <c r="C606"/>
      <c r="D606"/>
      <c r="E606"/>
      <c r="F606"/>
      <c r="G606"/>
      <c r="H606" s="1471"/>
      <c r="I606" s="1471"/>
      <c r="J606" s="1471"/>
      <c r="K606" s="1471"/>
      <c r="L606" s="1471"/>
      <c r="M606" s="1471"/>
      <c r="N606" s="1471"/>
      <c r="O606" s="1471"/>
      <c r="P606" s="1471"/>
      <c r="Q606" s="1471"/>
      <c r="R606" s="1471"/>
      <c r="S606"/>
      <c r="T606" s="22"/>
      <c r="U606" t="s">
        <v>18</v>
      </c>
      <c r="V606"/>
      <c r="W606"/>
      <c r="X606"/>
      <c r="Y606"/>
      <c r="Z606"/>
      <c r="AA606" s="1471"/>
      <c r="AB606" s="1471"/>
      <c r="AC606" s="1471"/>
      <c r="AD606" s="1471"/>
      <c r="AE606" s="1471"/>
      <c r="AF606" s="1471"/>
      <c r="AG606" s="1471"/>
      <c r="AH606" s="1471"/>
      <c r="AI606" s="1471"/>
      <c r="AJ606" s="1471"/>
      <c r="AK606" s="1471"/>
      <c r="AL606"/>
      <c r="AM606"/>
      <c r="AN606"/>
      <c r="AO606"/>
      <c r="AP606"/>
      <c r="AQ606"/>
      <c r="AR606"/>
      <c r="AS606"/>
      <c r="AT606"/>
      <c r="AU606"/>
      <c r="AV606"/>
      <c r="AW606"/>
      <c r="AX606"/>
      <c r="AY606"/>
      <c r="AZ606" s="3"/>
      <c r="BA606" s="3"/>
      <c r="BB606" s="3"/>
      <c r="BC606" s="3"/>
      <c r="BD606" s="3"/>
      <c r="BE606" s="1386">
        <f t="shared" si="1"/>
        <v>0</v>
      </c>
      <c r="BF606" s="1388"/>
      <c r="BG606" s="1395">
        <f t="shared" si="2"/>
        <v>0</v>
      </c>
      <c r="BH606" s="1396"/>
      <c r="BI606" s="1386">
        <f t="shared" si="3"/>
        <v>0</v>
      </c>
      <c r="BJ606" s="1388"/>
      <c r="BK606" s="1395">
        <f t="shared" si="4"/>
        <v>0</v>
      </c>
      <c r="BL606" s="1396"/>
      <c r="BM606" s="3"/>
      <c r="BN606" s="1391">
        <f t="shared" si="5"/>
        <v>0</v>
      </c>
      <c r="BO606" s="1392"/>
      <c r="BP606" s="1392"/>
      <c r="BQ606" s="1392"/>
      <c r="BR606" s="1393"/>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6" t="str">
        <f t="shared" si="17"/>
        <v/>
      </c>
      <c r="DY606" s="1387"/>
      <c r="DZ606" s="1387"/>
      <c r="EA606" s="1387"/>
      <c r="EB606" s="1388"/>
      <c r="EC606" s="1386" t="str">
        <f t="shared" si="18"/>
        <v/>
      </c>
      <c r="ED606" s="1387"/>
      <c r="EE606" s="1387"/>
      <c r="EF606" s="1387"/>
      <c r="EG606" s="1388"/>
      <c r="EH606" s="1386" t="str">
        <f t="shared" si="19"/>
        <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2.95" customHeight="1">
      <c r="A607" s="22"/>
      <c r="B607" t="s">
        <v>20</v>
      </c>
      <c r="C607"/>
      <c r="D607"/>
      <c r="E607"/>
      <c r="F607"/>
      <c r="G607"/>
      <c r="H607"/>
      <c r="I607"/>
      <c r="J607"/>
      <c r="K607"/>
      <c r="L607"/>
      <c r="M607"/>
      <c r="N607" s="1380" t="s">
        <v>676</v>
      </c>
      <c r="O607" s="1380"/>
      <c r="P607"/>
      <c r="Q607"/>
      <c r="R607"/>
      <c r="S607"/>
      <c r="T607" s="22"/>
      <c r="U607" t="s">
        <v>20</v>
      </c>
      <c r="V607"/>
      <c r="W607"/>
      <c r="X607"/>
      <c r="Y607"/>
      <c r="Z607"/>
      <c r="AA607"/>
      <c r="AB607"/>
      <c r="AC607"/>
      <c r="AD607"/>
      <c r="AE607"/>
      <c r="AF607"/>
      <c r="AG607" s="1380" t="s">
        <v>676</v>
      </c>
      <c r="AH607" s="1380"/>
      <c r="AI607"/>
      <c r="AJ607"/>
      <c r="AK607"/>
      <c r="AL607"/>
      <c r="AM607"/>
      <c r="AN607"/>
      <c r="AO607"/>
      <c r="AP607"/>
      <c r="AQ607"/>
      <c r="AR607"/>
      <c r="AS607"/>
      <c r="AT607"/>
      <c r="AU607"/>
      <c r="AV607"/>
      <c r="AW607"/>
      <c r="AX607"/>
      <c r="AY607"/>
      <c r="AZ607" s="3"/>
      <c r="BA607" s="3"/>
      <c r="BB607" s="3"/>
      <c r="BC607" s="3"/>
      <c r="BD607" s="3"/>
      <c r="BE607" s="1386">
        <f t="shared" si="1"/>
        <v>1</v>
      </c>
      <c r="BF607" s="1388"/>
      <c r="BG607" s="1395">
        <f t="shared" si="2"/>
        <v>8</v>
      </c>
      <c r="BH607" s="1396"/>
      <c r="BI607" s="1386">
        <f t="shared" si="3"/>
        <v>0</v>
      </c>
      <c r="BJ607" s="1388"/>
      <c r="BK607" s="1395">
        <f t="shared" si="4"/>
        <v>0</v>
      </c>
      <c r="BL607" s="1396"/>
      <c r="BM607" s="3"/>
      <c r="BN607" s="1391">
        <f t="shared" si="5"/>
        <v>8</v>
      </c>
      <c r="BO607" s="1392"/>
      <c r="BP607" s="1392"/>
      <c r="BQ607" s="1392"/>
      <c r="BR607" s="1393"/>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6">
        <f t="shared" si="17"/>
        <v>1549</v>
      </c>
      <c r="DY607" s="1387"/>
      <c r="DZ607" s="1387"/>
      <c r="EA607" s="1387"/>
      <c r="EB607" s="1388"/>
      <c r="EC607" s="1386" t="str">
        <f t="shared" si="18"/>
        <v/>
      </c>
      <c r="ED607" s="1387"/>
      <c r="EE607" s="1387"/>
      <c r="EF607" s="1387"/>
      <c r="EG607" s="1388"/>
      <c r="EH607" s="1386" t="str">
        <f t="shared" si="19"/>
        <v/>
      </c>
      <c r="EI607" s="1387"/>
      <c r="EJ607" s="1387"/>
      <c r="EK607" s="1387"/>
      <c r="EL607" s="1388"/>
      <c r="EM607" s="1386" t="str">
        <f t="shared" si="20"/>
        <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2.95" customHeight="1">
      <c r="A608" s="22"/>
      <c r="T608" s="22"/>
      <c r="AZ608" s="3"/>
      <c r="BA608" s="3"/>
      <c r="BB608" s="3"/>
      <c r="BC608" s="3"/>
      <c r="BD608" s="3"/>
      <c r="BE608" s="1386">
        <f t="shared" si="1"/>
        <v>1</v>
      </c>
      <c r="BF608" s="1388"/>
      <c r="BG608" s="1395">
        <f t="shared" si="2"/>
        <v>3</v>
      </c>
      <c r="BH608" s="1396"/>
      <c r="BI608" s="1386">
        <f t="shared" si="3"/>
        <v>0</v>
      </c>
      <c r="BJ608" s="1388"/>
      <c r="BK608" s="1395">
        <f t="shared" si="4"/>
        <v>0</v>
      </c>
      <c r="BL608" s="1396"/>
      <c r="BM608" s="3"/>
      <c r="BN608" s="1391">
        <f t="shared" si="5"/>
        <v>0</v>
      </c>
      <c r="BO608" s="1392"/>
      <c r="BP608" s="1392"/>
      <c r="BQ608" s="1392"/>
      <c r="BR608" s="1393"/>
      <c r="BS608" s="1394">
        <f t="shared" si="6"/>
        <v>3</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6" t="str">
        <f t="shared" si="17"/>
        <v/>
      </c>
      <c r="DY608" s="1387"/>
      <c r="DZ608" s="1387"/>
      <c r="EA608" s="1387"/>
      <c r="EB608" s="1388"/>
      <c r="EC608" s="1386">
        <f t="shared" si="18"/>
        <v>1634</v>
      </c>
      <c r="ED608" s="1387"/>
      <c r="EE608" s="1387"/>
      <c r="EF608" s="1387"/>
      <c r="EG608" s="1388"/>
      <c r="EH608" s="1386" t="str">
        <f t="shared" si="19"/>
        <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2.95" customHeight="1">
      <c r="A609" s="55" t="s">
        <v>363</v>
      </c>
      <c r="B609" t="s">
        <v>470</v>
      </c>
      <c r="G609" s="1508">
        <f>C564</f>
        <v>0</v>
      </c>
      <c r="H609" s="1508"/>
      <c r="I609" s="1508"/>
      <c r="J609" s="1508"/>
      <c r="K609" s="1508"/>
      <c r="L609" s="1508"/>
      <c r="M609" s="1508"/>
      <c r="N609" s="1508"/>
      <c r="O609" s="1508"/>
      <c r="P609" s="1508"/>
      <c r="Q609" s="1508"/>
      <c r="R609" s="1508"/>
      <c r="T609" s="55" t="s">
        <v>364</v>
      </c>
      <c r="U609" t="s">
        <v>470</v>
      </c>
      <c r="Z609" s="1508">
        <f>C565</f>
        <v>0</v>
      </c>
      <c r="AA609" s="1508"/>
      <c r="AB609" s="1508"/>
      <c r="AC609" s="1508"/>
      <c r="AD609" s="1508"/>
      <c r="AE609" s="1508"/>
      <c r="AF609" s="1508"/>
      <c r="AG609" s="1508"/>
      <c r="AH609" s="1508"/>
      <c r="AI609" s="1508"/>
      <c r="AJ609" s="1508"/>
      <c r="AK609" s="1508"/>
      <c r="AZ609" s="3"/>
      <c r="BA609" s="3"/>
      <c r="BB609" s="3"/>
      <c r="BC609" s="3"/>
      <c r="BD609" s="3"/>
      <c r="BE609" s="1386">
        <f t="shared" si="1"/>
        <v>1</v>
      </c>
      <c r="BF609" s="1388"/>
      <c r="BG609" s="1395">
        <f t="shared" si="2"/>
        <v>4</v>
      </c>
      <c r="BH609" s="1396"/>
      <c r="BI609" s="1386">
        <f t="shared" si="3"/>
        <v>0</v>
      </c>
      <c r="BJ609" s="1388"/>
      <c r="BK609" s="1395">
        <f t="shared" si="4"/>
        <v>0</v>
      </c>
      <c r="BL609" s="1396"/>
      <c r="BM609" s="3"/>
      <c r="BN609" s="1391">
        <f t="shared" si="5"/>
        <v>0</v>
      </c>
      <c r="BO609" s="1392"/>
      <c r="BP609" s="1392"/>
      <c r="BQ609" s="1392"/>
      <c r="BR609" s="1393"/>
      <c r="BS609" s="1394">
        <f t="shared" si="6"/>
        <v>0</v>
      </c>
      <c r="BT609" s="1394"/>
      <c r="BU609" s="1394"/>
      <c r="BV609" s="1394"/>
      <c r="BW609" s="1394"/>
      <c r="BX609" s="1394">
        <f t="shared" si="7"/>
        <v>4</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6" t="str">
        <f t="shared" si="17"/>
        <v/>
      </c>
      <c r="DY609" s="1387"/>
      <c r="DZ609" s="1387"/>
      <c r="EA609" s="1387"/>
      <c r="EB609" s="1388"/>
      <c r="EC609" s="1386" t="str">
        <f t="shared" si="18"/>
        <v/>
      </c>
      <c r="ED609" s="1387"/>
      <c r="EE609" s="1387"/>
      <c r="EF609" s="1387"/>
      <c r="EG609" s="1388"/>
      <c r="EH609" s="1386">
        <f t="shared" si="19"/>
        <v>1951</v>
      </c>
      <c r="EI609" s="1387"/>
      <c r="EJ609" s="1387"/>
      <c r="EK609" s="1387"/>
      <c r="EL609" s="1388"/>
      <c r="EM609" s="1386" t="str">
        <f t="shared" si="20"/>
        <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2.95" customHeight="1">
      <c r="B610" t="s">
        <v>85</v>
      </c>
      <c r="G610" s="1471"/>
      <c r="H610" s="1471"/>
      <c r="I610" s="1471"/>
      <c r="J610" s="1471"/>
      <c r="K610" s="1471"/>
      <c r="L610" s="1471"/>
      <c r="M610" s="1471"/>
      <c r="N610" s="1471"/>
      <c r="O610" s="1471"/>
      <c r="P610" s="1471"/>
      <c r="Q610" s="1471"/>
      <c r="R610" s="1471"/>
      <c r="U610" t="s">
        <v>85</v>
      </c>
      <c r="Z610" s="1471"/>
      <c r="AA610" s="1471"/>
      <c r="AB610" s="1471"/>
      <c r="AC610" s="1471"/>
      <c r="AD610" s="1471"/>
      <c r="AE610" s="1471"/>
      <c r="AF610" s="1471"/>
      <c r="AG610" s="1471"/>
      <c r="AH610" s="1471"/>
      <c r="AI610" s="1471"/>
      <c r="AJ610" s="1471"/>
      <c r="AK610" s="1471"/>
      <c r="AZ610" s="3"/>
      <c r="BA610" s="3"/>
      <c r="BB610" s="3"/>
      <c r="BC610" s="3"/>
      <c r="BD610" s="3"/>
      <c r="BE610" s="1386">
        <f t="shared" si="1"/>
        <v>1</v>
      </c>
      <c r="BF610" s="1388"/>
      <c r="BG610" s="1395">
        <f t="shared" si="2"/>
        <v>6</v>
      </c>
      <c r="BH610" s="1396"/>
      <c r="BI610" s="1386">
        <f t="shared" si="3"/>
        <v>0</v>
      </c>
      <c r="BJ610" s="1388"/>
      <c r="BK610" s="1395">
        <f t="shared" si="4"/>
        <v>0</v>
      </c>
      <c r="BL610" s="1396"/>
      <c r="BM610" s="3"/>
      <c r="BN610" s="1391">
        <f t="shared" si="5"/>
        <v>0</v>
      </c>
      <c r="BO610" s="1392"/>
      <c r="BP610" s="1392"/>
      <c r="BQ610" s="1392"/>
      <c r="BR610" s="1393"/>
      <c r="BS610" s="1394">
        <f t="shared" si="6"/>
        <v>0</v>
      </c>
      <c r="BT610" s="1394"/>
      <c r="BU610" s="1394"/>
      <c r="BV610" s="1394"/>
      <c r="BW610" s="1394"/>
      <c r="BX610" s="1394">
        <f t="shared" si="7"/>
        <v>0</v>
      </c>
      <c r="BY610" s="1394"/>
      <c r="BZ610" s="1394"/>
      <c r="CA610" s="1394"/>
      <c r="CB610" s="1394"/>
      <c r="CC610" s="1394">
        <f t="shared" si="8"/>
        <v>6</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f t="shared" si="20"/>
        <v>2244</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2.95" customHeight="1">
      <c r="B611" t="s">
        <v>587</v>
      </c>
      <c r="G611" s="1471"/>
      <c r="H611" s="1471"/>
      <c r="I611" s="1471"/>
      <c r="J611" s="1471"/>
      <c r="K611" s="1471"/>
      <c r="L611" s="1471"/>
      <c r="M611" s="1471"/>
      <c r="N611" s="1471"/>
      <c r="O611" s="1471"/>
      <c r="P611" s="1471"/>
      <c r="Q611" s="1471"/>
      <c r="R611" s="1471"/>
      <c r="U611" t="s">
        <v>587</v>
      </c>
      <c r="Z611" s="1452"/>
      <c r="AA611" s="1452"/>
      <c r="AB611" s="1452"/>
      <c r="AC611" s="1452"/>
      <c r="AD611" s="1452"/>
      <c r="AE611" s="1452"/>
      <c r="AF611" s="1452"/>
      <c r="AG611" s="1452"/>
      <c r="AH611" s="1452"/>
      <c r="AI611" s="1452"/>
      <c r="AJ611" s="1452"/>
      <c r="AK611" s="1452"/>
      <c r="AZ611" s="3"/>
      <c r="BA611" s="3"/>
      <c r="BB611" s="3"/>
      <c r="BC611" s="3"/>
      <c r="BD611" s="3"/>
      <c r="BE611" s="1386">
        <f t="shared" si="1"/>
        <v>0</v>
      </c>
      <c r="BF611" s="1388"/>
      <c r="BG611" s="1395">
        <f t="shared" si="2"/>
        <v>0</v>
      </c>
      <c r="BH611" s="1396"/>
      <c r="BI611" s="1386">
        <f t="shared" si="3"/>
        <v>0</v>
      </c>
      <c r="BJ611" s="1388"/>
      <c r="BK611" s="1395">
        <f t="shared" si="4"/>
        <v>0</v>
      </c>
      <c r="BL611" s="1396"/>
      <c r="BM611" s="3"/>
      <c r="BN611" s="1391">
        <f t="shared" si="5"/>
        <v>0</v>
      </c>
      <c r="BO611" s="1392"/>
      <c r="BP611" s="1392"/>
      <c r="BQ611" s="1392"/>
      <c r="BR611" s="1393"/>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t="str">
        <f t="shared" si="20"/>
        <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2.95" customHeight="1">
      <c r="B612" t="s">
        <v>17</v>
      </c>
      <c r="G612" s="1471"/>
      <c r="H612" s="1471"/>
      <c r="I612" s="1471"/>
      <c r="J612" s="1471"/>
      <c r="K612" s="1471"/>
      <c r="L612" s="1471"/>
      <c r="M612" s="1471"/>
      <c r="N612" s="1471"/>
      <c r="O612" s="1471"/>
      <c r="P612" s="1471"/>
      <c r="Q612" s="1471"/>
      <c r="R612" s="1471"/>
      <c r="U612" t="s">
        <v>17</v>
      </c>
      <c r="Z612" s="1452"/>
      <c r="AA612" s="1452"/>
      <c r="AB612" s="1452"/>
      <c r="AC612" s="1452"/>
      <c r="AD612" s="1452"/>
      <c r="AE612" s="1452"/>
      <c r="AF612" s="1452"/>
      <c r="AG612" s="1452"/>
      <c r="AH612" s="1452"/>
      <c r="AI612" s="1452"/>
      <c r="AJ612" s="1452"/>
      <c r="AK612" s="1452"/>
      <c r="AZ612" s="3"/>
      <c r="BA612" s="3"/>
      <c r="BB612" s="3"/>
      <c r="BC612" s="3"/>
      <c r="BD612" s="3"/>
      <c r="BE612" s="1386">
        <f t="shared" si="1"/>
        <v>0</v>
      </c>
      <c r="BF612" s="1388"/>
      <c r="BG612" s="1395">
        <f t="shared" si="2"/>
        <v>0</v>
      </c>
      <c r="BH612" s="1396"/>
      <c r="BI612" s="1386">
        <f t="shared" si="3"/>
        <v>0</v>
      </c>
      <c r="BJ612" s="1388"/>
      <c r="BK612" s="1395">
        <f t="shared" si="4"/>
        <v>0</v>
      </c>
      <c r="BL612" s="1396"/>
      <c r="BM612" s="3"/>
      <c r="BN612" s="1391">
        <f t="shared" si="5"/>
        <v>0</v>
      </c>
      <c r="BO612" s="1392"/>
      <c r="BP612" s="1392"/>
      <c r="BQ612" s="1392"/>
      <c r="BR612" s="1393"/>
      <c r="BS612" s="1394">
        <f t="shared" si="6"/>
        <v>3</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6" t="str">
        <f t="shared" si="17"/>
        <v/>
      </c>
      <c r="DY612" s="1387"/>
      <c r="DZ612" s="1387"/>
      <c r="EA612" s="1387"/>
      <c r="EB612" s="1388"/>
      <c r="EC612" s="1386">
        <f t="shared" si="18"/>
        <v>1983</v>
      </c>
      <c r="ED612" s="1387"/>
      <c r="EE612" s="1387"/>
      <c r="EF612" s="1387"/>
      <c r="EG612" s="1388"/>
      <c r="EH612" s="1386" t="str">
        <f t="shared" si="19"/>
        <v/>
      </c>
      <c r="EI612" s="1387"/>
      <c r="EJ612" s="1387"/>
      <c r="EK612" s="1387"/>
      <c r="EL612" s="1388"/>
      <c r="EM612" s="1386" t="str">
        <f t="shared" si="20"/>
        <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2.95" customHeight="1">
      <c r="B613" t="s">
        <v>317</v>
      </c>
      <c r="G613" s="1473"/>
      <c r="H613" s="1473"/>
      <c r="I613" s="1473"/>
      <c r="J613" s="1473"/>
      <c r="K613" s="1473"/>
      <c r="L613" s="1473"/>
      <c r="O613" s="33" t="s">
        <v>207</v>
      </c>
      <c r="P613" s="1384"/>
      <c r="Q613" s="1384"/>
      <c r="R613" s="1384"/>
      <c r="U613" t="s">
        <v>317</v>
      </c>
      <c r="Z613" s="1473"/>
      <c r="AA613" s="1473"/>
      <c r="AB613" s="1473"/>
      <c r="AC613" s="1473"/>
      <c r="AD613" s="1473"/>
      <c r="AE613" s="1473"/>
      <c r="AH613" s="33" t="s">
        <v>207</v>
      </c>
      <c r="AI613" s="1384"/>
      <c r="AJ613" s="1384"/>
      <c r="AK613" s="1384"/>
      <c r="AZ613" s="3"/>
      <c r="BA613" s="3"/>
      <c r="BB613" s="3"/>
      <c r="BC613" s="3"/>
      <c r="BD613" s="3"/>
      <c r="BE613" s="1386">
        <f t="shared" si="1"/>
        <v>0</v>
      </c>
      <c r="BF613" s="1388"/>
      <c r="BG613" s="1395">
        <f t="shared" si="2"/>
        <v>0</v>
      </c>
      <c r="BH613" s="1396"/>
      <c r="BI613" s="1386">
        <f t="shared" si="3"/>
        <v>0</v>
      </c>
      <c r="BJ613" s="1388"/>
      <c r="BK613" s="1395">
        <f t="shared" si="4"/>
        <v>0</v>
      </c>
      <c r="BL613" s="1396"/>
      <c r="BM613" s="3"/>
      <c r="BN613" s="1391">
        <f t="shared" si="5"/>
        <v>0</v>
      </c>
      <c r="BO613" s="1392"/>
      <c r="BP613" s="1392"/>
      <c r="BQ613" s="1392"/>
      <c r="BR613" s="1393"/>
      <c r="BS613" s="1394">
        <f t="shared" si="6"/>
        <v>0</v>
      </c>
      <c r="BT613" s="1394"/>
      <c r="BU613" s="1394"/>
      <c r="BV613" s="1394"/>
      <c r="BW613" s="1394"/>
      <c r="BX613" s="1394">
        <f t="shared" si="7"/>
        <v>4</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6" t="str">
        <f t="shared" si="17"/>
        <v/>
      </c>
      <c r="DY613" s="1387"/>
      <c r="DZ613" s="1387"/>
      <c r="EA613" s="1387"/>
      <c r="EB613" s="1388"/>
      <c r="EC613" s="1386" t="str">
        <f t="shared" si="18"/>
        <v/>
      </c>
      <c r="ED613" s="1387"/>
      <c r="EE613" s="1387"/>
      <c r="EF613" s="1387"/>
      <c r="EG613" s="1388"/>
      <c r="EH613" s="1386">
        <f t="shared" si="19"/>
        <v>2369</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2.95" customHeight="1">
      <c r="B614" t="s">
        <v>18</v>
      </c>
      <c r="H614" s="1471"/>
      <c r="I614" s="1471"/>
      <c r="J614" s="1471"/>
      <c r="K614" s="1471"/>
      <c r="L614" s="1471"/>
      <c r="M614" s="1471"/>
      <c r="N614" s="1471"/>
      <c r="O614" s="1471"/>
      <c r="P614" s="1471"/>
      <c r="Q614" s="1471"/>
      <c r="R614" s="1471"/>
      <c r="U614" t="s">
        <v>18</v>
      </c>
      <c r="AA614" s="1471"/>
      <c r="AB614" s="1471"/>
      <c r="AC614" s="1471"/>
      <c r="AD614" s="1471"/>
      <c r="AE614" s="1471"/>
      <c r="AF614" s="1471"/>
      <c r="AG614" s="1471"/>
      <c r="AH614" s="1471"/>
      <c r="AI614" s="1471"/>
      <c r="AJ614" s="1471"/>
      <c r="AK614" s="1471"/>
      <c r="AU614" s="934"/>
      <c r="AV614" s="934"/>
      <c r="AW614" s="934"/>
      <c r="AX614" s="934"/>
      <c r="AY614" s="934"/>
      <c r="AZ614" s="3"/>
      <c r="BA614" s="3"/>
      <c r="BB614" s="3"/>
      <c r="BC614" s="3"/>
      <c r="BD614" s="3"/>
      <c r="BE614" s="1386">
        <f t="shared" si="1"/>
        <v>0</v>
      </c>
      <c r="BF614" s="1388"/>
      <c r="BG614" s="1395">
        <f t="shared" si="2"/>
        <v>0</v>
      </c>
      <c r="BH614" s="1396"/>
      <c r="BI614" s="1386">
        <f t="shared" si="3"/>
        <v>0</v>
      </c>
      <c r="BJ614" s="1388"/>
      <c r="BK614" s="1395">
        <f t="shared" si="4"/>
        <v>0</v>
      </c>
      <c r="BL614" s="1396"/>
      <c r="BM614" s="3"/>
      <c r="BN614" s="1391">
        <f t="shared" si="5"/>
        <v>0</v>
      </c>
      <c r="BO614" s="1392"/>
      <c r="BP614" s="1392"/>
      <c r="BQ614" s="1392"/>
      <c r="BR614" s="1393"/>
      <c r="BS614" s="1394">
        <f t="shared" si="6"/>
        <v>0</v>
      </c>
      <c r="BT614" s="1394"/>
      <c r="BU614" s="1394"/>
      <c r="BV614" s="1394"/>
      <c r="BW614" s="1394"/>
      <c r="BX614" s="1394">
        <f t="shared" si="7"/>
        <v>0</v>
      </c>
      <c r="BY614" s="1394"/>
      <c r="BZ614" s="1394"/>
      <c r="CA614" s="1394"/>
      <c r="CB614" s="1394"/>
      <c r="CC614" s="1394">
        <f t="shared" si="8"/>
        <v>6</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f t="shared" si="20"/>
        <v>2727</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2.95" customHeight="1">
      <c r="B615" t="s">
        <v>20</v>
      </c>
      <c r="N615" s="1380" t="s">
        <v>676</v>
      </c>
      <c r="O615" s="1380"/>
      <c r="U615" t="s">
        <v>20</v>
      </c>
      <c r="AG615" s="1380" t="s">
        <v>676</v>
      </c>
      <c r="AH615" s="1380"/>
      <c r="AU615" s="934"/>
      <c r="AV615" s="934"/>
      <c r="AW615" s="934"/>
      <c r="AX615" s="934"/>
      <c r="AY615" s="934"/>
      <c r="AZ615" s="3"/>
      <c r="BA615" s="3"/>
      <c r="BB615" s="3"/>
      <c r="BC615" s="3"/>
      <c r="BD615" s="3"/>
      <c r="BE615" s="1386">
        <f t="shared" si="1"/>
        <v>0</v>
      </c>
      <c r="BF615" s="1388"/>
      <c r="BG615" s="1395">
        <f t="shared" si="2"/>
        <v>0</v>
      </c>
      <c r="BH615" s="1396"/>
      <c r="BI615" s="1386">
        <f t="shared" si="3"/>
        <v>0</v>
      </c>
      <c r="BJ615" s="1388"/>
      <c r="BK615" s="1395">
        <f t="shared" si="4"/>
        <v>0</v>
      </c>
      <c r="BL615" s="1396"/>
      <c r="BM615" s="3"/>
      <c r="BN615" s="1391">
        <f t="shared" si="5"/>
        <v>0</v>
      </c>
      <c r="BO615" s="1392"/>
      <c r="BP615" s="1392"/>
      <c r="BQ615" s="1392"/>
      <c r="BR615" s="1393"/>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2.95" customHeight="1">
      <c r="AZ616" s="3"/>
      <c r="BA616" s="3"/>
      <c r="BB616" s="3"/>
      <c r="BC616" s="3"/>
      <c r="BD616" s="3"/>
      <c r="BE616" s="1386">
        <f t="shared" si="1"/>
        <v>0</v>
      </c>
      <c r="BF616" s="1388"/>
      <c r="BG616" s="1395">
        <f t="shared" si="2"/>
        <v>0</v>
      </c>
      <c r="BH616" s="1396"/>
      <c r="BI616" s="1386">
        <f t="shared" si="3"/>
        <v>0</v>
      </c>
      <c r="BJ616" s="1388"/>
      <c r="BK616" s="1395">
        <f t="shared" si="4"/>
        <v>0</v>
      </c>
      <c r="BL616" s="1396"/>
      <c r="BM616" s="3"/>
      <c r="BN616" s="1391">
        <f t="shared" si="5"/>
        <v>0</v>
      </c>
      <c r="BO616" s="1392"/>
      <c r="BP616" s="1392"/>
      <c r="BQ616" s="1392"/>
      <c r="BR616" s="1393"/>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2.95"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6">
        <f t="shared" si="1"/>
        <v>0</v>
      </c>
      <c r="BF617" s="1388"/>
      <c r="BG617" s="1395">
        <f t="shared" si="2"/>
        <v>0</v>
      </c>
      <c r="BH617" s="1396"/>
      <c r="BI617" s="1386">
        <f t="shared" si="3"/>
        <v>0</v>
      </c>
      <c r="BJ617" s="1388"/>
      <c r="BK617" s="1395">
        <f t="shared" si="4"/>
        <v>0</v>
      </c>
      <c r="BL617" s="1396"/>
      <c r="BM617" s="3"/>
      <c r="BN617" s="1391">
        <f t="shared" si="5"/>
        <v>0</v>
      </c>
      <c r="BO617" s="1392"/>
      <c r="BP617" s="1392"/>
      <c r="BQ617" s="1392"/>
      <c r="BR617" s="1393"/>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6">
        <f t="shared" si="1"/>
        <v>0</v>
      </c>
      <c r="BF618" s="1388"/>
      <c r="BG618" s="1395">
        <f t="shared" si="2"/>
        <v>0</v>
      </c>
      <c r="BH618" s="1396"/>
      <c r="BI618" s="1386">
        <f t="shared" si="3"/>
        <v>0</v>
      </c>
      <c r="BJ618" s="1388"/>
      <c r="BK618" s="1395">
        <f t="shared" si="4"/>
        <v>0</v>
      </c>
      <c r="BL618" s="1396"/>
      <c r="BM618" s="3"/>
      <c r="BN618" s="1391">
        <f t="shared" si="5"/>
        <v>0</v>
      </c>
      <c r="BO618" s="1392"/>
      <c r="BP618" s="1392"/>
      <c r="BQ618" s="1392"/>
      <c r="BR618" s="1393"/>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2.95" customHeight="1">
      <c r="AZ619" s="3"/>
      <c r="BA619" s="3"/>
      <c r="BB619" s="3"/>
      <c r="BC619" s="3"/>
      <c r="BD619" s="3"/>
      <c r="BE619" s="1386">
        <f t="shared" si="1"/>
        <v>0</v>
      </c>
      <c r="BF619" s="1388"/>
      <c r="BG619" s="1395">
        <f t="shared" si="2"/>
        <v>0</v>
      </c>
      <c r="BH619" s="1396"/>
      <c r="BI619" s="1386">
        <f t="shared" si="3"/>
        <v>0</v>
      </c>
      <c r="BJ619" s="1388"/>
      <c r="BK619" s="1395">
        <f t="shared" si="4"/>
        <v>0</v>
      </c>
      <c r="BL619" s="1396"/>
      <c r="BM619" s="3"/>
      <c r="BN619" s="1391">
        <f t="shared" si="5"/>
        <v>0</v>
      </c>
      <c r="BO619" s="1392"/>
      <c r="BP619" s="1392"/>
      <c r="BQ619" s="1392"/>
      <c r="BR619" s="1393"/>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2.95" customHeight="1">
      <c r="A620" s="2" t="s">
        <v>320</v>
      </c>
      <c r="B620" s="2"/>
      <c r="C620" s="2" t="s">
        <v>21</v>
      </c>
      <c r="AZ620" s="3"/>
      <c r="BA620" s="3"/>
      <c r="BB620" s="3"/>
      <c r="BC620" s="3"/>
      <c r="BD620" s="3"/>
      <c r="BE620" s="1386">
        <f t="shared" si="1"/>
        <v>0</v>
      </c>
      <c r="BF620" s="1388"/>
      <c r="BG620" s="1395">
        <f t="shared" si="2"/>
        <v>0</v>
      </c>
      <c r="BH620" s="1396"/>
      <c r="BI620" s="1386">
        <f t="shared" si="3"/>
        <v>0</v>
      </c>
      <c r="BJ620" s="1388"/>
      <c r="BK620" s="1395">
        <f t="shared" si="4"/>
        <v>0</v>
      </c>
      <c r="BL620" s="1396"/>
      <c r="BM620" s="3"/>
      <c r="BN620" s="1391">
        <f t="shared" si="5"/>
        <v>0</v>
      </c>
      <c r="BO620" s="1392"/>
      <c r="BP620" s="1392"/>
      <c r="BQ620" s="1392"/>
      <c r="BR620" s="1393"/>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2.95" customHeight="1">
      <c r="A621" s="2"/>
      <c r="B621" s="2"/>
      <c r="C621" s="2"/>
      <c r="AZ621" s="3"/>
      <c r="BA621" s="3"/>
      <c r="BB621" s="3"/>
      <c r="BC621" s="3"/>
      <c r="BD621" s="3"/>
      <c r="BE621" s="1386">
        <f t="shared" si="1"/>
        <v>0</v>
      </c>
      <c r="BF621" s="1388"/>
      <c r="BG621" s="1395">
        <f t="shared" si="2"/>
        <v>0</v>
      </c>
      <c r="BH621" s="1396"/>
      <c r="BI621" s="1386">
        <f t="shared" si="3"/>
        <v>0</v>
      </c>
      <c r="BJ621" s="1388"/>
      <c r="BK621" s="1395">
        <f t="shared" si="4"/>
        <v>0</v>
      </c>
      <c r="BL621" s="1396"/>
      <c r="BM621" s="3"/>
      <c r="BN621" s="1391">
        <f t="shared" si="5"/>
        <v>0</v>
      </c>
      <c r="BO621" s="1392"/>
      <c r="BP621" s="1392"/>
      <c r="BQ621" s="1392"/>
      <c r="BR621" s="1393"/>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2.95" customHeight="1">
      <c r="C622" s="2" t="s">
        <v>2418</v>
      </c>
      <c r="AZ622" s="3"/>
      <c r="BA622" s="3"/>
      <c r="BB622" s="3"/>
      <c r="BC622" s="3"/>
      <c r="BD622" s="3"/>
      <c r="BE622" s="1386">
        <f t="shared" si="1"/>
        <v>0</v>
      </c>
      <c r="BF622" s="1388"/>
      <c r="BG622" s="1395">
        <f t="shared" si="2"/>
        <v>0</v>
      </c>
      <c r="BH622" s="1396"/>
      <c r="BI622" s="1386">
        <f t="shared" si="3"/>
        <v>0</v>
      </c>
      <c r="BJ622" s="1388"/>
      <c r="BK622" s="1395">
        <f t="shared" si="4"/>
        <v>0</v>
      </c>
      <c r="BL622" s="1396"/>
      <c r="BM622" s="3"/>
      <c r="BN622" s="1391">
        <f t="shared" si="5"/>
        <v>0</v>
      </c>
      <c r="BO622" s="1392"/>
      <c r="BP622" s="1392"/>
      <c r="BQ622" s="1392"/>
      <c r="BR622" s="1393"/>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2.95" customHeight="1">
      <c r="B623" s="546"/>
      <c r="C623" s="2"/>
      <c r="AU623" s="3"/>
      <c r="AZ623" s="3"/>
      <c r="BA623" s="3"/>
      <c r="BB623" s="3"/>
      <c r="BC623" s="3"/>
      <c r="BD623" s="3"/>
      <c r="BE623" s="1386">
        <f t="shared" si="1"/>
        <v>0</v>
      </c>
      <c r="BF623" s="1388"/>
      <c r="BG623" s="1395">
        <f t="shared" si="2"/>
        <v>0</v>
      </c>
      <c r="BH623" s="1396"/>
      <c r="BI623" s="1386">
        <f t="shared" si="3"/>
        <v>0</v>
      </c>
      <c r="BJ623" s="1388"/>
      <c r="BK623" s="1395">
        <f t="shared" si="4"/>
        <v>0</v>
      </c>
      <c r="BL623" s="1396"/>
      <c r="BM623" s="3"/>
      <c r="BN623" s="1391">
        <f t="shared" si="5"/>
        <v>0</v>
      </c>
      <c r="BO623" s="1392"/>
      <c r="BP623" s="1392"/>
      <c r="BQ623" s="1392"/>
      <c r="BR623" s="1393"/>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2.95" customHeight="1">
      <c r="B624" s="1727" t="s">
        <v>2420</v>
      </c>
      <c r="C624" s="1727"/>
      <c r="D624" s="1727"/>
      <c r="E624" s="1727"/>
      <c r="F624" s="1727"/>
      <c r="G624" s="1727"/>
      <c r="H624" s="1727"/>
      <c r="I624" s="1727"/>
      <c r="J624" s="1727"/>
      <c r="K624" s="1727"/>
      <c r="L624" s="1727"/>
      <c r="M624" s="1706" t="s">
        <v>2421</v>
      </c>
      <c r="N624" s="1706"/>
      <c r="O624" s="1706"/>
      <c r="P624" s="1706"/>
      <c r="Q624" s="1706" t="s">
        <v>2042</v>
      </c>
      <c r="R624" s="1706"/>
      <c r="S624" s="1706"/>
      <c r="T624" s="1706" t="s">
        <v>2040</v>
      </c>
      <c r="U624" s="1706"/>
      <c r="V624" s="1706"/>
      <c r="W624" s="1852" t="s">
        <v>460</v>
      </c>
      <c r="X624" s="1852"/>
      <c r="Y624" s="1852"/>
      <c r="Z624" s="1418" t="s">
        <v>2450</v>
      </c>
      <c r="AA624" s="1418"/>
      <c r="AB624" s="1419"/>
      <c r="AC624" s="1712" t="s">
        <v>1863</v>
      </c>
      <c r="AD624" s="1713"/>
      <c r="AE624" s="1714"/>
      <c r="AF624" s="1417" t="s">
        <v>2229</v>
      </c>
      <c r="AG624" s="1418"/>
      <c r="AH624" s="1418"/>
      <c r="AI624" s="1418"/>
      <c r="AJ624" s="1419"/>
      <c r="AK624" s="1767" t="s">
        <v>2230</v>
      </c>
      <c r="AL624" s="1768"/>
      <c r="AM624" s="1768"/>
      <c r="AN624" s="1769"/>
      <c r="AO624" s="1706" t="s">
        <v>461</v>
      </c>
      <c r="AP624" s="1706"/>
      <c r="AQ624" s="1706"/>
      <c r="AR624" s="1706"/>
      <c r="AS624" s="1706"/>
      <c r="AU624" s="3"/>
      <c r="AZ624" s="3"/>
      <c r="BA624" s="3"/>
      <c r="BB624" s="3"/>
      <c r="BC624" s="3"/>
      <c r="BD624" s="3"/>
      <c r="BE624" s="1386">
        <f t="shared" si="1"/>
        <v>0</v>
      </c>
      <c r="BF624" s="1388"/>
      <c r="BG624" s="1395">
        <f t="shared" si="2"/>
        <v>0</v>
      </c>
      <c r="BH624" s="1396"/>
      <c r="BI624" s="1386">
        <f t="shared" si="3"/>
        <v>0</v>
      </c>
      <c r="BJ624" s="1388"/>
      <c r="BK624" s="1395">
        <f t="shared" si="4"/>
        <v>0</v>
      </c>
      <c r="BL624" s="1396"/>
      <c r="BM624" s="3"/>
      <c r="BN624" s="1391">
        <f t="shared" si="5"/>
        <v>0</v>
      </c>
      <c r="BO624" s="1392"/>
      <c r="BP624" s="1392"/>
      <c r="BQ624" s="1392"/>
      <c r="BR624" s="1393"/>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2.95" customHeight="1">
      <c r="B625" s="1727"/>
      <c r="C625" s="1727"/>
      <c r="D625" s="1727"/>
      <c r="E625" s="1727"/>
      <c r="F625" s="1727"/>
      <c r="G625" s="1727"/>
      <c r="H625" s="1727"/>
      <c r="I625" s="1727"/>
      <c r="J625" s="1727"/>
      <c r="K625" s="1727"/>
      <c r="L625" s="1727"/>
      <c r="M625" s="1706"/>
      <c r="N625" s="1706"/>
      <c r="O625" s="1706"/>
      <c r="P625" s="1706"/>
      <c r="Q625" s="1706"/>
      <c r="R625" s="1706"/>
      <c r="S625" s="1706"/>
      <c r="T625" s="1706"/>
      <c r="U625" s="1706"/>
      <c r="V625" s="1706"/>
      <c r="W625" s="1852"/>
      <c r="X625" s="1852"/>
      <c r="Y625" s="1852"/>
      <c r="Z625" s="1421"/>
      <c r="AA625" s="1421"/>
      <c r="AB625" s="1422"/>
      <c r="AC625" s="1715"/>
      <c r="AD625" s="1716"/>
      <c r="AE625" s="1717"/>
      <c r="AF625" s="1420"/>
      <c r="AG625" s="1421"/>
      <c r="AH625" s="1421"/>
      <c r="AI625" s="1421"/>
      <c r="AJ625" s="1422"/>
      <c r="AK625" s="1770"/>
      <c r="AL625" s="1771"/>
      <c r="AM625" s="1771"/>
      <c r="AN625" s="1772"/>
      <c r="AO625" s="1706"/>
      <c r="AP625" s="1706"/>
      <c r="AQ625" s="1706"/>
      <c r="AR625" s="1706"/>
      <c r="AS625" s="1706"/>
      <c r="AU625" s="3"/>
      <c r="AZ625" s="3"/>
      <c r="BA625" s="3"/>
      <c r="BB625" s="3"/>
      <c r="BC625" s="3"/>
      <c r="BD625" s="3"/>
      <c r="BE625" s="1386">
        <f t="shared" si="1"/>
        <v>0</v>
      </c>
      <c r="BF625" s="1388"/>
      <c r="BG625" s="1395">
        <f t="shared" si="2"/>
        <v>0</v>
      </c>
      <c r="BH625" s="1396"/>
      <c r="BI625" s="1386">
        <f t="shared" si="3"/>
        <v>0</v>
      </c>
      <c r="BJ625" s="1388"/>
      <c r="BK625" s="1395">
        <f t="shared" si="4"/>
        <v>0</v>
      </c>
      <c r="BL625" s="1396"/>
      <c r="BM625" s="3"/>
      <c r="BN625" s="1391">
        <f t="shared" si="5"/>
        <v>0</v>
      </c>
      <c r="BO625" s="1392"/>
      <c r="BP625" s="1392"/>
      <c r="BQ625" s="1392"/>
      <c r="BR625" s="1393"/>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2.95" customHeight="1">
      <c r="B626" s="1727"/>
      <c r="C626" s="1727"/>
      <c r="D626" s="1727"/>
      <c r="E626" s="1727"/>
      <c r="F626" s="1727"/>
      <c r="G626" s="1727"/>
      <c r="H626" s="1727"/>
      <c r="I626" s="1727"/>
      <c r="J626" s="1727"/>
      <c r="K626" s="1727"/>
      <c r="L626" s="1727"/>
      <c r="M626" s="1706"/>
      <c r="N626" s="1706"/>
      <c r="O626" s="1706"/>
      <c r="P626" s="1706"/>
      <c r="Q626" s="1706"/>
      <c r="R626" s="1706"/>
      <c r="S626" s="1706"/>
      <c r="T626" s="1706"/>
      <c r="U626" s="1706"/>
      <c r="V626" s="1706"/>
      <c r="W626" s="1852"/>
      <c r="X626" s="1852"/>
      <c r="Y626" s="1852"/>
      <c r="Z626" s="1424"/>
      <c r="AA626" s="1424"/>
      <c r="AB626" s="1425"/>
      <c r="AC626" s="1718"/>
      <c r="AD626" s="1719"/>
      <c r="AE626" s="1720"/>
      <c r="AF626" s="1423"/>
      <c r="AG626" s="1424"/>
      <c r="AH626" s="1424"/>
      <c r="AI626" s="1424"/>
      <c r="AJ626" s="1425"/>
      <c r="AK626" s="1773"/>
      <c r="AL626" s="1774"/>
      <c r="AM626" s="1774"/>
      <c r="AN626" s="1775"/>
      <c r="AO626" s="1706"/>
      <c r="AP626" s="1706"/>
      <c r="AQ626" s="1706"/>
      <c r="AR626" s="1706"/>
      <c r="AS626" s="1706"/>
      <c r="AT626" s="3"/>
      <c r="AU626" s="3"/>
      <c r="AZ626" s="3"/>
      <c r="BA626" s="3"/>
      <c r="BB626" s="3"/>
      <c r="BC626" s="3"/>
      <c r="BD626" s="3"/>
      <c r="BE626" s="1386">
        <f t="shared" si="1"/>
        <v>0</v>
      </c>
      <c r="BF626" s="1388"/>
      <c r="BG626" s="1395">
        <f t="shared" si="2"/>
        <v>0</v>
      </c>
      <c r="BH626" s="1396"/>
      <c r="BI626" s="1386">
        <f t="shared" si="3"/>
        <v>0</v>
      </c>
      <c r="BJ626" s="1388"/>
      <c r="BK626" s="1395">
        <f t="shared" si="4"/>
        <v>0</v>
      </c>
      <c r="BL626" s="1396"/>
      <c r="BM626" s="3"/>
      <c r="BN626" s="1391">
        <f t="shared" si="5"/>
        <v>0</v>
      </c>
      <c r="BO626" s="1392"/>
      <c r="BP626" s="1392"/>
      <c r="BQ626" s="1392"/>
      <c r="BR626" s="1393"/>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2.95" customHeight="1">
      <c r="B627" s="51" t="s">
        <v>112</v>
      </c>
      <c r="C627" s="1707" t="s">
        <v>2730</v>
      </c>
      <c r="D627" s="1707"/>
      <c r="E627" s="1707"/>
      <c r="F627" s="1707"/>
      <c r="G627" s="1707"/>
      <c r="H627" s="1707"/>
      <c r="I627" s="1707"/>
      <c r="J627" s="1707"/>
      <c r="K627" s="1707"/>
      <c r="L627" s="1707"/>
      <c r="M627" s="1709" t="s">
        <v>2431</v>
      </c>
      <c r="N627" s="1709"/>
      <c r="O627" s="1709"/>
      <c r="P627" s="1709"/>
      <c r="Q627" s="1561">
        <f>17*12</f>
        <v>204</v>
      </c>
      <c r="R627" s="1561"/>
      <c r="S627" s="1711"/>
      <c r="T627" s="1710">
        <f>30*12</f>
        <v>360</v>
      </c>
      <c r="U627" s="1561"/>
      <c r="V627" s="1711"/>
      <c r="W627" s="1588">
        <v>6.0600000000000001E-2</v>
      </c>
      <c r="X627" s="1589"/>
      <c r="Y627" s="1590"/>
      <c r="Z627" s="1510" t="s">
        <v>2449</v>
      </c>
      <c r="AA627" s="1511"/>
      <c r="AB627" s="1512"/>
      <c r="AC627" s="1404">
        <v>1</v>
      </c>
      <c r="AD627" s="1405"/>
      <c r="AE627" s="1406"/>
      <c r="AF627" s="1585">
        <f>(PMT((W627/12),T627,-AO627))*12</f>
        <v>372909.52582811832</v>
      </c>
      <c r="AG627" s="1586"/>
      <c r="AH627" s="1586"/>
      <c r="AI627" s="1586"/>
      <c r="AJ627" s="1587"/>
      <c r="AK627" s="1721"/>
      <c r="AL627" s="1722"/>
      <c r="AM627" s="1722"/>
      <c r="AN627" s="1723"/>
      <c r="AO627" s="1629">
        <v>5150000</v>
      </c>
      <c r="AP627" s="1629"/>
      <c r="AQ627" s="1629"/>
      <c r="AR627" s="1629"/>
      <c r="AS627" s="1629"/>
      <c r="AT627" s="3"/>
      <c r="AU627" s="3"/>
      <c r="AZ627" s="3"/>
      <c r="BA627" s="3"/>
      <c r="BB627" s="3"/>
      <c r="BC627" s="3"/>
      <c r="BD627" s="3"/>
      <c r="BE627" s="1386">
        <f t="shared" si="1"/>
        <v>0</v>
      </c>
      <c r="BF627" s="1388"/>
      <c r="BG627" s="1395">
        <f t="shared" si="2"/>
        <v>0</v>
      </c>
      <c r="BH627" s="1396"/>
      <c r="BI627" s="1386">
        <f t="shared" si="3"/>
        <v>0</v>
      </c>
      <c r="BJ627" s="1388"/>
      <c r="BK627" s="1395">
        <f t="shared" si="4"/>
        <v>0</v>
      </c>
      <c r="BL627" s="1396"/>
      <c r="BM627" s="3"/>
      <c r="BN627" s="1391">
        <f t="shared" si="5"/>
        <v>0</v>
      </c>
      <c r="BO627" s="1392"/>
      <c r="BP627" s="1392"/>
      <c r="BQ627" s="1392"/>
      <c r="BR627" s="1393"/>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2.95" customHeight="1">
      <c r="B628" s="52" t="s">
        <v>113</v>
      </c>
      <c r="C628" s="1707" t="s">
        <v>2559</v>
      </c>
      <c r="D628" s="1707"/>
      <c r="E628" s="1707"/>
      <c r="F628" s="1707"/>
      <c r="G628" s="1707"/>
      <c r="H628" s="1707"/>
      <c r="I628" s="1707"/>
      <c r="J628" s="1707"/>
      <c r="K628" s="1707"/>
      <c r="L628" s="1707"/>
      <c r="M628" s="1709" t="s">
        <v>2433</v>
      </c>
      <c r="N628" s="1709"/>
      <c r="O628" s="1709"/>
      <c r="P628" s="1709"/>
      <c r="Q628" s="1710">
        <v>660</v>
      </c>
      <c r="R628" s="1561"/>
      <c r="S628" s="1711"/>
      <c r="T628" s="1710">
        <v>660</v>
      </c>
      <c r="U628" s="1561"/>
      <c r="V628" s="1711"/>
      <c r="W628" s="1588">
        <v>0.03</v>
      </c>
      <c r="X628" s="1589"/>
      <c r="Y628" s="1590"/>
      <c r="Z628" s="1510" t="s">
        <v>464</v>
      </c>
      <c r="AA628" s="1511"/>
      <c r="AB628" s="1512"/>
      <c r="AC628" s="1404">
        <v>2</v>
      </c>
      <c r="AD628" s="1405"/>
      <c r="AE628" s="1406"/>
      <c r="AF628" s="1585"/>
      <c r="AG628" s="1586"/>
      <c r="AH628" s="1586"/>
      <c r="AI628" s="1586"/>
      <c r="AJ628" s="1587"/>
      <c r="AK628" s="1721"/>
      <c r="AL628" s="1722"/>
      <c r="AM628" s="1722"/>
      <c r="AN628" s="1723"/>
      <c r="AO628" s="1581">
        <v>22000000</v>
      </c>
      <c r="AP628" s="1582"/>
      <c r="AQ628" s="1582"/>
      <c r="AR628" s="1582"/>
      <c r="AS628" s="1583"/>
      <c r="AT628" s="1192" t="str">
        <f>IF(AND(NOT(C627=""),C628="",NOT(C629="")),"!","")</f>
        <v/>
      </c>
      <c r="AU628" s="3"/>
      <c r="AZ628" s="3"/>
      <c r="BA628" s="3"/>
      <c r="BB628" s="3"/>
      <c r="BC628" s="3"/>
      <c r="BD628" s="3"/>
      <c r="BE628" s="1386">
        <f t="shared" si="1"/>
        <v>0</v>
      </c>
      <c r="BF628" s="1388"/>
      <c r="BG628" s="1395">
        <f t="shared" si="2"/>
        <v>0</v>
      </c>
      <c r="BH628" s="1396"/>
      <c r="BI628" s="1386">
        <f t="shared" si="3"/>
        <v>0</v>
      </c>
      <c r="BJ628" s="1388"/>
      <c r="BK628" s="1395">
        <f t="shared" si="4"/>
        <v>0</v>
      </c>
      <c r="BL628" s="1396"/>
      <c r="BM628" s="3"/>
      <c r="BN628" s="1391">
        <f t="shared" si="5"/>
        <v>0</v>
      </c>
      <c r="BO628" s="1392"/>
      <c r="BP628" s="1392"/>
      <c r="BQ628" s="1392"/>
      <c r="BR628" s="1393"/>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2.95" customHeight="1">
      <c r="B629" s="52" t="s">
        <v>119</v>
      </c>
      <c r="C629" s="1707" t="s">
        <v>2720</v>
      </c>
      <c r="D629" s="1707"/>
      <c r="E629" s="1707"/>
      <c r="F629" s="1707"/>
      <c r="G629" s="1707"/>
      <c r="H629" s="1707"/>
      <c r="I629" s="1707"/>
      <c r="J629" s="1707"/>
      <c r="K629" s="1707"/>
      <c r="L629" s="1707"/>
      <c r="M629" s="1709" t="s">
        <v>2430</v>
      </c>
      <c r="N629" s="1709"/>
      <c r="O629" s="1709"/>
      <c r="P629" s="1709"/>
      <c r="Q629" s="1710">
        <v>660</v>
      </c>
      <c r="R629" s="1561"/>
      <c r="S629" s="1711"/>
      <c r="T629" s="1710">
        <v>660</v>
      </c>
      <c r="U629" s="1561"/>
      <c r="V629" s="1711"/>
      <c r="W629" s="1588">
        <v>0</v>
      </c>
      <c r="X629" s="1589"/>
      <c r="Y629" s="1590"/>
      <c r="Z629" s="1510" t="s">
        <v>464</v>
      </c>
      <c r="AA629" s="1511"/>
      <c r="AB629" s="1512"/>
      <c r="AC629" s="1404">
        <v>3</v>
      </c>
      <c r="AD629" s="1405"/>
      <c r="AE629" s="1406"/>
      <c r="AF629" s="1585"/>
      <c r="AG629" s="1586"/>
      <c r="AH629" s="1586"/>
      <c r="AI629" s="1586"/>
      <c r="AJ629" s="1587"/>
      <c r="AK629" s="1721"/>
      <c r="AL629" s="1722"/>
      <c r="AM629" s="1722"/>
      <c r="AN629" s="1723"/>
      <c r="AO629" s="1581">
        <f>AM556</f>
        <v>1317000</v>
      </c>
      <c r="AP629" s="1582"/>
      <c r="AQ629" s="1582"/>
      <c r="AR629" s="1582"/>
      <c r="AS629" s="1583"/>
      <c r="AT629" s="1192" t="str">
        <f t="shared" ref="AT629:AT638" si="23">IF(AND(NOT(C628=""),C629="",NOT(C630="")),"!","")</f>
        <v/>
      </c>
      <c r="AU629" s="3"/>
      <c r="AZ629" s="3"/>
      <c r="BA629" s="3"/>
      <c r="BB629" s="3"/>
      <c r="BC629" s="3"/>
      <c r="BD629" s="3"/>
      <c r="BE629" s="1386">
        <f t="shared" si="1"/>
        <v>0</v>
      </c>
      <c r="BF629" s="1388"/>
      <c r="BG629" s="1395">
        <f t="shared" si="2"/>
        <v>0</v>
      </c>
      <c r="BH629" s="1396"/>
      <c r="BI629" s="1386">
        <f t="shared" si="3"/>
        <v>0</v>
      </c>
      <c r="BJ629" s="1388"/>
      <c r="BK629" s="1395">
        <f t="shared" si="4"/>
        <v>0</v>
      </c>
      <c r="BL629" s="1396"/>
      <c r="BM629" s="3"/>
      <c r="BN629" s="1391">
        <f t="shared" si="5"/>
        <v>0</v>
      </c>
      <c r="BO629" s="1392"/>
      <c r="BP629" s="1392"/>
      <c r="BQ629" s="1392"/>
      <c r="BR629" s="1393"/>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2.95" customHeight="1">
      <c r="B630" s="52" t="s">
        <v>588</v>
      </c>
      <c r="C630" s="1707" t="s">
        <v>2721</v>
      </c>
      <c r="D630" s="1708"/>
      <c r="E630" s="1708"/>
      <c r="F630" s="1708"/>
      <c r="G630" s="1708"/>
      <c r="H630" s="1708"/>
      <c r="I630" s="1708"/>
      <c r="J630" s="1708"/>
      <c r="K630" s="1708"/>
      <c r="L630" s="1708"/>
      <c r="M630" s="1709" t="s">
        <v>2430</v>
      </c>
      <c r="N630" s="1709"/>
      <c r="O630" s="1709"/>
      <c r="P630" s="1709"/>
      <c r="Q630" s="1710">
        <v>660</v>
      </c>
      <c r="R630" s="1561"/>
      <c r="S630" s="1711"/>
      <c r="T630" s="1710">
        <v>660</v>
      </c>
      <c r="U630" s="1561"/>
      <c r="V630" s="1711"/>
      <c r="W630" s="1588">
        <v>0</v>
      </c>
      <c r="X630" s="1589"/>
      <c r="Y630" s="1590"/>
      <c r="Z630" s="1510" t="s">
        <v>301</v>
      </c>
      <c r="AA630" s="1511"/>
      <c r="AB630" s="1512"/>
      <c r="AC630" s="1404">
        <v>4</v>
      </c>
      <c r="AD630" s="1405"/>
      <c r="AE630" s="1406"/>
      <c r="AF630" s="1585"/>
      <c r="AG630" s="1586"/>
      <c r="AH630" s="1586"/>
      <c r="AI630" s="1586"/>
      <c r="AJ630" s="1587"/>
      <c r="AK630" s="1721"/>
      <c r="AL630" s="1722"/>
      <c r="AM630" s="1722"/>
      <c r="AN630" s="1723"/>
      <c r="AO630" s="1581">
        <f>AM557</f>
        <v>7760753</v>
      </c>
      <c r="AP630" s="1582"/>
      <c r="AQ630" s="1582"/>
      <c r="AR630" s="1582"/>
      <c r="AS630" s="1583"/>
      <c r="AT630" s="1192" t="str">
        <f t="shared" si="23"/>
        <v/>
      </c>
      <c r="AU630" s="3"/>
      <c r="AZ630" s="3"/>
      <c r="BA630" s="3"/>
      <c r="BB630" s="3"/>
      <c r="BC630" s="3"/>
      <c r="BD630" s="3"/>
      <c r="BE630" s="1386">
        <f t="shared" si="1"/>
        <v>0</v>
      </c>
      <c r="BF630" s="1388"/>
      <c r="BG630" s="1395">
        <f t="shared" si="2"/>
        <v>0</v>
      </c>
      <c r="BH630" s="1396"/>
      <c r="BI630" s="1386">
        <f t="shared" si="3"/>
        <v>0</v>
      </c>
      <c r="BJ630" s="1388"/>
      <c r="BK630" s="1395">
        <f t="shared" si="4"/>
        <v>0</v>
      </c>
      <c r="BL630" s="1396"/>
      <c r="BM630" s="3"/>
      <c r="BN630" s="1391">
        <f t="shared" si="5"/>
        <v>0</v>
      </c>
      <c r="BO630" s="1392"/>
      <c r="BP630" s="1392"/>
      <c r="BQ630" s="1392"/>
      <c r="BR630" s="1393"/>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2.95" customHeight="1">
      <c r="B631" s="52" t="s">
        <v>771</v>
      </c>
      <c r="C631" s="1707" t="s">
        <v>1849</v>
      </c>
      <c r="D631" s="1708"/>
      <c r="E631" s="1708"/>
      <c r="F631" s="1708"/>
      <c r="G631" s="1708"/>
      <c r="H631" s="1708"/>
      <c r="I631" s="1708"/>
      <c r="J631" s="1708"/>
      <c r="K631" s="1708"/>
      <c r="L631" s="1708"/>
      <c r="M631" s="1709" t="s">
        <v>2424</v>
      </c>
      <c r="N631" s="1709"/>
      <c r="O631" s="1709"/>
      <c r="P631" s="1709"/>
      <c r="Q631" s="1710"/>
      <c r="R631" s="1561"/>
      <c r="S631" s="1711"/>
      <c r="T631" s="1710"/>
      <c r="U631" s="1561"/>
      <c r="V631" s="1711"/>
      <c r="W631" s="1588"/>
      <c r="X631" s="1589"/>
      <c r="Y631" s="1590"/>
      <c r="Z631" s="1510" t="s">
        <v>301</v>
      </c>
      <c r="AA631" s="1511"/>
      <c r="AB631" s="1512"/>
      <c r="AC631" s="1404"/>
      <c r="AD631" s="1405"/>
      <c r="AE631" s="1406"/>
      <c r="AF631" s="1585"/>
      <c r="AG631" s="1586"/>
      <c r="AH631" s="1586"/>
      <c r="AI631" s="1586"/>
      <c r="AJ631" s="1587"/>
      <c r="AK631" s="1721"/>
      <c r="AL631" s="1722"/>
      <c r="AM631" s="1722"/>
      <c r="AN631" s="1723"/>
      <c r="AO631" s="1581">
        <f>AM559</f>
        <v>8892342</v>
      </c>
      <c r="AP631" s="1582"/>
      <c r="AQ631" s="1582"/>
      <c r="AR631" s="1582"/>
      <c r="AS631" s="1583"/>
      <c r="AT631" s="1192" t="str">
        <f t="shared" si="23"/>
        <v/>
      </c>
      <c r="AU631" s="3"/>
      <c r="AZ631" s="3"/>
      <c r="BA631" s="3"/>
      <c r="BB631" s="3"/>
      <c r="BC631" s="3"/>
      <c r="BD631" s="3"/>
      <c r="BE631" s="1386">
        <f t="shared" si="1"/>
        <v>0</v>
      </c>
      <c r="BF631" s="1388"/>
      <c r="BG631" s="1395">
        <f t="shared" si="2"/>
        <v>0</v>
      </c>
      <c r="BH631" s="1396"/>
      <c r="BI631" s="1386">
        <f t="shared" si="3"/>
        <v>0</v>
      </c>
      <c r="BJ631" s="1388"/>
      <c r="BK631" s="1395">
        <f t="shared" si="4"/>
        <v>0</v>
      </c>
      <c r="BL631" s="1396"/>
      <c r="BM631" s="3"/>
      <c r="BN631" s="1391">
        <f t="shared" si="5"/>
        <v>0</v>
      </c>
      <c r="BO631" s="1392"/>
      <c r="BP631" s="1392"/>
      <c r="BQ631" s="1392"/>
      <c r="BR631" s="1393"/>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2.95" customHeight="1">
      <c r="B632" s="52" t="s">
        <v>591</v>
      </c>
      <c r="C632" s="1707" t="s">
        <v>2759</v>
      </c>
      <c r="D632" s="1708"/>
      <c r="E632" s="1708"/>
      <c r="F632" s="1708"/>
      <c r="G632" s="1708"/>
      <c r="H632" s="1708"/>
      <c r="I632" s="1708"/>
      <c r="J632" s="1708"/>
      <c r="K632" s="1708"/>
      <c r="L632" s="1708"/>
      <c r="M632" s="1709" t="s">
        <v>2427</v>
      </c>
      <c r="N632" s="1709"/>
      <c r="O632" s="1709"/>
      <c r="P632" s="1709"/>
      <c r="Q632" s="1710"/>
      <c r="R632" s="1561"/>
      <c r="S632" s="1711"/>
      <c r="T632" s="1710"/>
      <c r="U632" s="1561"/>
      <c r="V632" s="1711"/>
      <c r="W632" s="1588"/>
      <c r="X632" s="1589"/>
      <c r="Y632" s="1590"/>
      <c r="Z632" s="1510" t="s">
        <v>301</v>
      </c>
      <c r="AA632" s="1511"/>
      <c r="AB632" s="1512"/>
      <c r="AC632" s="1404"/>
      <c r="AD632" s="1405"/>
      <c r="AE632" s="1406"/>
      <c r="AF632" s="1585"/>
      <c r="AG632" s="1586"/>
      <c r="AH632" s="1586"/>
      <c r="AI632" s="1586"/>
      <c r="AJ632" s="1587"/>
      <c r="AK632" s="1721"/>
      <c r="AL632" s="1722"/>
      <c r="AM632" s="1722"/>
      <c r="AN632" s="1723"/>
      <c r="AO632" s="1581">
        <f>AM560</f>
        <v>100</v>
      </c>
      <c r="AP632" s="1582"/>
      <c r="AQ632" s="1582"/>
      <c r="AR632" s="1582"/>
      <c r="AS632" s="1583"/>
      <c r="AT632" s="1192" t="str">
        <f t="shared" si="23"/>
        <v/>
      </c>
      <c r="AU632" s="3"/>
      <c r="AZ632" s="3"/>
      <c r="BA632" s="3"/>
      <c r="BB632" s="3"/>
      <c r="BC632" s="3"/>
      <c r="BD632" s="3"/>
      <c r="BE632" s="3"/>
      <c r="BF632" s="3"/>
      <c r="BG632" s="1386">
        <f>SUM(BG597:BH631)</f>
        <v>53</v>
      </c>
      <c r="BH632" s="1388"/>
      <c r="BI632" s="3"/>
      <c r="BJ632" s="3"/>
      <c r="BK632" s="1386">
        <f>SUM(BK597:BL631)</f>
        <v>25</v>
      </c>
      <c r="BL632" s="1388"/>
      <c r="BM632" s="3"/>
      <c r="BN632" s="1386">
        <f>SUM(BN597:BR631)</f>
        <v>28</v>
      </c>
      <c r="BO632" s="1387"/>
      <c r="BP632" s="1387"/>
      <c r="BQ632" s="1387"/>
      <c r="BR632" s="1388"/>
      <c r="BS632" s="1389">
        <f>SUM(BS597:BW631)</f>
        <v>16</v>
      </c>
      <c r="BT632" s="1389"/>
      <c r="BU632" s="1389"/>
      <c r="BV632" s="1389"/>
      <c r="BW632" s="1389"/>
      <c r="BX632" s="1389">
        <f>SUM(BX597:CB631)</f>
        <v>20</v>
      </c>
      <c r="BY632" s="1389"/>
      <c r="BZ632" s="1389"/>
      <c r="CA632" s="1389"/>
      <c r="CB632" s="1389"/>
      <c r="CC632" s="1389">
        <f>SUM(CC597:CG631)</f>
        <v>27</v>
      </c>
      <c r="CD632" s="1389"/>
      <c r="CE632" s="1389"/>
      <c r="CF632" s="1389"/>
      <c r="CG632" s="1389"/>
      <c r="CH632" s="1389">
        <f>SUM(CH597:CL631)</f>
        <v>0</v>
      </c>
      <c r="CI632" s="1389"/>
      <c r="CJ632" s="1389"/>
      <c r="CK632" s="1389"/>
      <c r="CL632" s="1389"/>
      <c r="CM632" s="1389">
        <f>SUM(CM597:CQ631)</f>
        <v>0</v>
      </c>
      <c r="CN632" s="1389"/>
      <c r="CO632" s="1389"/>
      <c r="CP632" s="1389"/>
      <c r="CQ632" s="1389"/>
      <c r="CR632" s="385"/>
      <c r="CS632" s="1389">
        <f>SUM(CS597:CW631)</f>
        <v>8</v>
      </c>
      <c r="CT632" s="1389"/>
      <c r="CU632" s="1389"/>
      <c r="CV632" s="1389"/>
      <c r="CW632" s="1389"/>
      <c r="CX632" s="1389">
        <f>SUM(CX597:DB631)</f>
        <v>5</v>
      </c>
      <c r="CY632" s="1389"/>
      <c r="CZ632" s="1389"/>
      <c r="DA632" s="1389"/>
      <c r="DB632" s="1389"/>
      <c r="DC632" s="1389">
        <f>SUM(DC597:DG631)</f>
        <v>6</v>
      </c>
      <c r="DD632" s="1389"/>
      <c r="DE632" s="1389"/>
      <c r="DF632" s="1389"/>
      <c r="DG632" s="1389"/>
      <c r="DH632" s="1389">
        <f>SUM(DH597:DL631)</f>
        <v>6</v>
      </c>
      <c r="DI632" s="1389"/>
      <c r="DJ632" s="1389"/>
      <c r="DK632" s="1389"/>
      <c r="DL632" s="1389"/>
      <c r="DM632" s="1389">
        <f>SUM(DM597:DQ631)</f>
        <v>0</v>
      </c>
      <c r="DN632" s="1389"/>
      <c r="DO632" s="1389"/>
      <c r="DP632" s="1389"/>
      <c r="DQ632" s="1389"/>
      <c r="DR632" s="1389">
        <f>SUM(DR597:DV631)</f>
        <v>0</v>
      </c>
      <c r="DS632" s="1389"/>
      <c r="DT632" s="1389"/>
      <c r="DU632" s="1389"/>
      <c r="DV632" s="1389"/>
      <c r="DX632" s="1389">
        <f>SUM(DX597:EB631)</f>
        <v>3671</v>
      </c>
      <c r="DY632" s="1389"/>
      <c r="DZ632" s="1389"/>
      <c r="EA632" s="1389"/>
      <c r="EB632" s="1389"/>
      <c r="EC632" s="1389">
        <f>SUM(EC597:EG631)</f>
        <v>5840</v>
      </c>
      <c r="ED632" s="1389"/>
      <c r="EE632" s="1389"/>
      <c r="EF632" s="1389"/>
      <c r="EG632" s="1389"/>
      <c r="EH632" s="1389">
        <f>SUM(EH597:EL631)</f>
        <v>6968</v>
      </c>
      <c r="EI632" s="1389"/>
      <c r="EJ632" s="1389"/>
      <c r="EK632" s="1389"/>
      <c r="EL632" s="1389"/>
      <c r="EM632" s="1389">
        <f>SUM(EM597:EQ631)</f>
        <v>8010</v>
      </c>
      <c r="EN632" s="1389"/>
      <c r="EO632" s="1389"/>
      <c r="EP632" s="1389"/>
      <c r="EQ632" s="1389"/>
      <c r="ER632" s="1389">
        <f>SUM(ER597:EV631)</f>
        <v>0</v>
      </c>
      <c r="ES632" s="1389"/>
      <c r="ET632" s="1389"/>
      <c r="EU632" s="1389"/>
      <c r="EV632" s="1389"/>
      <c r="EW632" s="1389">
        <f>SUM(EW597:FA631)</f>
        <v>0</v>
      </c>
      <c r="EX632" s="1389"/>
      <c r="EY632" s="1389"/>
      <c r="EZ632" s="1389"/>
      <c r="FA632" s="1389"/>
    </row>
    <row r="633" spans="2:157" ht="12.95" customHeight="1">
      <c r="B633" s="52" t="s">
        <v>462</v>
      </c>
      <c r="C633" s="1708"/>
      <c r="D633" s="1708"/>
      <c r="E633" s="1708"/>
      <c r="F633" s="1708"/>
      <c r="G633" s="1708"/>
      <c r="H633" s="1708"/>
      <c r="I633" s="1708"/>
      <c r="J633" s="1708"/>
      <c r="K633" s="1708"/>
      <c r="L633" s="1708"/>
      <c r="M633" s="1709" t="s">
        <v>1288</v>
      </c>
      <c r="N633" s="1709"/>
      <c r="O633" s="1709"/>
      <c r="P633" s="1709"/>
      <c r="Q633" s="1710"/>
      <c r="R633" s="1561"/>
      <c r="S633" s="1711"/>
      <c r="T633" s="1710"/>
      <c r="U633" s="1561"/>
      <c r="V633" s="1711"/>
      <c r="W633" s="1588"/>
      <c r="X633" s="1589"/>
      <c r="Y633" s="1590"/>
      <c r="Z633" s="1510" t="s">
        <v>1288</v>
      </c>
      <c r="AA633" s="1511"/>
      <c r="AB633" s="1512"/>
      <c r="AC633" s="1404"/>
      <c r="AD633" s="1405"/>
      <c r="AE633" s="1406"/>
      <c r="AF633" s="1585"/>
      <c r="AG633" s="1586"/>
      <c r="AH633" s="1586"/>
      <c r="AI633" s="1586"/>
      <c r="AJ633" s="1587"/>
      <c r="AK633" s="1721"/>
      <c r="AL633" s="1722"/>
      <c r="AM633" s="1722"/>
      <c r="AN633" s="1723"/>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6">
        <f>BN632+BS632+BX632+CC632+CH632+CM632</f>
        <v>91</v>
      </c>
      <c r="CN633" s="1387"/>
      <c r="CO633" s="1387"/>
      <c r="CP633" s="1387"/>
      <c r="CQ633" s="1388"/>
      <c r="CR633" s="385"/>
      <c r="CS633" s="3"/>
      <c r="CT633" s="3"/>
      <c r="CU633" s="3"/>
      <c r="CV633" s="3"/>
      <c r="CW633" s="3"/>
      <c r="CX633" s="3"/>
      <c r="CY633" s="3"/>
      <c r="CZ633" s="3"/>
      <c r="DA633" s="3"/>
      <c r="DB633" s="3"/>
      <c r="DC633" s="3"/>
      <c r="DD633" s="3"/>
      <c r="DE633" s="3"/>
      <c r="DF633" s="3"/>
    </row>
    <row r="634" spans="2:157" ht="12.95" customHeight="1">
      <c r="B634" s="52" t="s">
        <v>463</v>
      </c>
      <c r="C634" s="1708"/>
      <c r="D634" s="1708"/>
      <c r="E634" s="1708"/>
      <c r="F634" s="1708"/>
      <c r="G634" s="1708"/>
      <c r="H634" s="1708"/>
      <c r="I634" s="1708"/>
      <c r="J634" s="1708"/>
      <c r="K634" s="1708"/>
      <c r="L634" s="1708"/>
      <c r="M634" s="1709" t="s">
        <v>1288</v>
      </c>
      <c r="N634" s="1709"/>
      <c r="O634" s="1709"/>
      <c r="P634" s="1709"/>
      <c r="Q634" s="1710"/>
      <c r="R634" s="1561"/>
      <c r="S634" s="1711"/>
      <c r="T634" s="1710"/>
      <c r="U634" s="1561"/>
      <c r="V634" s="1711"/>
      <c r="W634" s="1588"/>
      <c r="X634" s="1589"/>
      <c r="Y634" s="1590"/>
      <c r="Z634" s="1510" t="s">
        <v>1288</v>
      </c>
      <c r="AA634" s="1511"/>
      <c r="AB634" s="1512"/>
      <c r="AC634" s="1404"/>
      <c r="AD634" s="1405"/>
      <c r="AE634" s="1406"/>
      <c r="AF634" s="1585"/>
      <c r="AG634" s="1586"/>
      <c r="AH634" s="1586"/>
      <c r="AI634" s="1586"/>
      <c r="AJ634" s="1587"/>
      <c r="AK634" s="1721"/>
      <c r="AL634" s="1722"/>
      <c r="AM634" s="1722"/>
      <c r="AN634" s="1723"/>
      <c r="AO634" s="1581"/>
      <c r="AP634" s="1582"/>
      <c r="AQ634" s="1582"/>
      <c r="AR634" s="1582"/>
      <c r="AS634" s="1583"/>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28</v>
      </c>
      <c r="BS634" s="3"/>
      <c r="BT634" s="3"/>
      <c r="BU634" s="3"/>
      <c r="BV634" s="3"/>
      <c r="BW634" s="895">
        <f>BS632*1</f>
        <v>16</v>
      </c>
      <c r="BX634" s="3"/>
      <c r="BY634" s="3"/>
      <c r="BZ634" s="3"/>
      <c r="CA634" s="3"/>
      <c r="CB634" s="895">
        <f>BX632*2</f>
        <v>40</v>
      </c>
      <c r="CC634" s="3"/>
      <c r="CD634" s="3"/>
      <c r="CE634" s="3"/>
      <c r="CF634" s="3"/>
      <c r="CG634" s="895">
        <f>CC632*3</f>
        <v>81</v>
      </c>
      <c r="CH634" s="3"/>
      <c r="CI634" s="3"/>
      <c r="CJ634" s="3"/>
      <c r="CK634" s="3"/>
      <c r="CL634" s="895">
        <f>CH632*4</f>
        <v>0</v>
      </c>
      <c r="CM634" s="3"/>
      <c r="CN634" s="3"/>
      <c r="CO634" s="3"/>
      <c r="CP634" s="3"/>
      <c r="CQ634" s="895">
        <f>CM632*5</f>
        <v>0</v>
      </c>
      <c r="CS634" s="895">
        <f>BR634+BW634+CB634+CG634+CL634+CQ634</f>
        <v>165</v>
      </c>
      <c r="CT634" s="57" t="s">
        <v>2052</v>
      </c>
      <c r="CU634" s="3"/>
      <c r="CV634" s="3"/>
      <c r="CW634" s="3"/>
      <c r="CX634" s="3"/>
      <c r="CY634" s="3"/>
      <c r="CZ634" s="3"/>
      <c r="DA634" s="3"/>
      <c r="DB634" s="3"/>
      <c r="DC634" s="3"/>
      <c r="DD634" s="3"/>
      <c r="DE634" s="3"/>
      <c r="DF634" s="3"/>
    </row>
    <row r="635" spans="2:157" ht="12.95" customHeight="1">
      <c r="B635" s="52" t="s">
        <v>468</v>
      </c>
      <c r="C635" s="1708"/>
      <c r="D635" s="1708"/>
      <c r="E635" s="1708"/>
      <c r="F635" s="1708"/>
      <c r="G635" s="1708"/>
      <c r="H635" s="1708"/>
      <c r="I635" s="1708"/>
      <c r="J635" s="1708"/>
      <c r="K635" s="1708"/>
      <c r="L635" s="1708"/>
      <c r="M635" s="1709" t="s">
        <v>1288</v>
      </c>
      <c r="N635" s="1709"/>
      <c r="O635" s="1709"/>
      <c r="P635" s="1709"/>
      <c r="Q635" s="1710"/>
      <c r="R635" s="1561"/>
      <c r="S635" s="1711"/>
      <c r="T635" s="1710"/>
      <c r="U635" s="1561"/>
      <c r="V635" s="1711"/>
      <c r="W635" s="1588"/>
      <c r="X635" s="1589"/>
      <c r="Y635" s="1590"/>
      <c r="Z635" s="1510" t="s">
        <v>1288</v>
      </c>
      <c r="AA635" s="1511"/>
      <c r="AB635" s="1512"/>
      <c r="AC635" s="1404"/>
      <c r="AD635" s="1405"/>
      <c r="AE635" s="1406"/>
      <c r="AF635" s="1585"/>
      <c r="AG635" s="1586"/>
      <c r="AH635" s="1586"/>
      <c r="AI635" s="1586"/>
      <c r="AJ635" s="1587"/>
      <c r="AK635" s="1721"/>
      <c r="AL635" s="1722"/>
      <c r="AM635" s="1722"/>
      <c r="AN635" s="1723"/>
      <c r="AO635" s="1581"/>
      <c r="AP635" s="1582"/>
      <c r="AQ635" s="1582"/>
      <c r="AR635" s="1582"/>
      <c r="AS635" s="158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f>DX597*(BN597/$BN$632)</f>
        <v>256.57142857142856</v>
      </c>
      <c r="DY635" s="1361"/>
      <c r="DZ635" s="1361"/>
      <c r="EA635" s="1361"/>
      <c r="EB635" s="1361"/>
      <c r="EC635" s="1361" t="e">
        <f t="shared" ref="EC635:EC657" si="24">EC597*(BS597/$BS$632)</f>
        <v>#VALUE!</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2.95" customHeight="1">
      <c r="B636" s="52" t="s">
        <v>653</v>
      </c>
      <c r="C636" s="1708"/>
      <c r="D636" s="1708"/>
      <c r="E636" s="1708"/>
      <c r="F636" s="1708"/>
      <c r="G636" s="1708"/>
      <c r="H636" s="1708"/>
      <c r="I636" s="1708"/>
      <c r="J636" s="1708"/>
      <c r="K636" s="1708"/>
      <c r="L636" s="1708"/>
      <c r="M636" s="1709" t="s">
        <v>1288</v>
      </c>
      <c r="N636" s="1709"/>
      <c r="O636" s="1709"/>
      <c r="P636" s="1709"/>
      <c r="Q636" s="1710"/>
      <c r="R636" s="1561"/>
      <c r="S636" s="1711"/>
      <c r="T636" s="1710"/>
      <c r="U636" s="1561"/>
      <c r="V636" s="1711"/>
      <c r="W636" s="1588"/>
      <c r="X636" s="1589"/>
      <c r="Y636" s="1590"/>
      <c r="Z636" s="1510" t="s">
        <v>1288</v>
      </c>
      <c r="AA636" s="1511"/>
      <c r="AB636" s="1512"/>
      <c r="AC636" s="1404"/>
      <c r="AD636" s="1405"/>
      <c r="AE636" s="1406"/>
      <c r="AF636" s="1585"/>
      <c r="AG636" s="1586"/>
      <c r="AH636" s="1586"/>
      <c r="AI636" s="1586"/>
      <c r="AJ636" s="1587"/>
      <c r="AK636" s="1721"/>
      <c r="AL636" s="1722"/>
      <c r="AM636" s="1722"/>
      <c r="AN636" s="1723"/>
      <c r="AO636" s="1581"/>
      <c r="AP636" s="1582"/>
      <c r="AQ636" s="1582"/>
      <c r="AR636" s="1582"/>
      <c r="AS636" s="158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f t="shared" si="24"/>
        <v>292.8125</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2.95" customHeight="1">
      <c r="B637" s="52" t="s">
        <v>363</v>
      </c>
      <c r="C637" s="1708"/>
      <c r="D637" s="1708"/>
      <c r="E637" s="1708"/>
      <c r="F637" s="1708"/>
      <c r="G637" s="1708"/>
      <c r="H637" s="1708"/>
      <c r="I637" s="1708"/>
      <c r="J637" s="1708"/>
      <c r="K637" s="1708"/>
      <c r="L637" s="1708"/>
      <c r="M637" s="1709" t="s">
        <v>1288</v>
      </c>
      <c r="N637" s="1709"/>
      <c r="O637" s="1709"/>
      <c r="P637" s="1709"/>
      <c r="Q637" s="1710"/>
      <c r="R637" s="1561"/>
      <c r="S637" s="1711"/>
      <c r="T637" s="1710"/>
      <c r="U637" s="1561"/>
      <c r="V637" s="1711"/>
      <c r="W637" s="1588"/>
      <c r="X637" s="1589"/>
      <c r="Y637" s="1590"/>
      <c r="Z637" s="1510" t="s">
        <v>1288</v>
      </c>
      <c r="AA637" s="1511"/>
      <c r="AB637" s="1512"/>
      <c r="AC637" s="1404"/>
      <c r="AD637" s="1405"/>
      <c r="AE637" s="1406"/>
      <c r="AF637" s="1585"/>
      <c r="AG637" s="1586"/>
      <c r="AH637" s="1586"/>
      <c r="AI637" s="1586"/>
      <c r="AJ637" s="1587"/>
      <c r="AK637" s="1721"/>
      <c r="AL637" s="1722"/>
      <c r="AM637" s="1722"/>
      <c r="AN637" s="1723"/>
      <c r="AO637" s="1581"/>
      <c r="AP637" s="1582"/>
      <c r="AQ637" s="1582"/>
      <c r="AR637" s="1582"/>
      <c r="AS637" s="158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1">
        <f>IF(J773="SRO/Studio",O773,0)</f>
        <v>0</v>
      </c>
      <c r="BO637" s="1392"/>
      <c r="BP637" s="1392"/>
      <c r="BQ637" s="1392"/>
      <c r="BR637" s="1393"/>
      <c r="BS637" s="1394">
        <f>IF(J773="1 Bedroom",O773,0)</f>
        <v>0</v>
      </c>
      <c r="BT637" s="1394"/>
      <c r="BU637" s="1394"/>
      <c r="BV637" s="1394"/>
      <c r="BW637" s="1394"/>
      <c r="BX637" s="1394">
        <f>IF(J773="2 Bedrooms",O773,0)</f>
        <v>1</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t="e">
        <f t="shared" si="24"/>
        <v>#VALUE!</v>
      </c>
      <c r="ED637" s="1361"/>
      <c r="EE637" s="1361"/>
      <c r="EF637" s="1361"/>
      <c r="EG637" s="1361"/>
      <c r="EH637" s="1361">
        <f t="shared" si="25"/>
        <v>334.5</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2.95" customHeight="1">
      <c r="B638" s="52" t="s">
        <v>364</v>
      </c>
      <c r="C638" s="1708"/>
      <c r="D638" s="1708"/>
      <c r="E638" s="1708"/>
      <c r="F638" s="1708"/>
      <c r="G638" s="1708"/>
      <c r="H638" s="1708"/>
      <c r="I638" s="1708"/>
      <c r="J638" s="1708"/>
      <c r="K638" s="1708"/>
      <c r="L638" s="1708"/>
      <c r="M638" s="1709" t="s">
        <v>1288</v>
      </c>
      <c r="N638" s="1709"/>
      <c r="O638" s="1709"/>
      <c r="P638" s="1709"/>
      <c r="Q638" s="1710"/>
      <c r="R638" s="1561"/>
      <c r="S638" s="1711"/>
      <c r="T638" s="1710"/>
      <c r="U638" s="1561"/>
      <c r="V638" s="1711"/>
      <c r="W638" s="1588"/>
      <c r="X638" s="1589"/>
      <c r="Y638" s="1590"/>
      <c r="Z638" s="1510" t="s">
        <v>1288</v>
      </c>
      <c r="AA638" s="1511"/>
      <c r="AB638" s="1512"/>
      <c r="AC638" s="1404"/>
      <c r="AD638" s="1405"/>
      <c r="AE638" s="1406"/>
      <c r="AF638" s="1585"/>
      <c r="AG638" s="1586"/>
      <c r="AH638" s="1586"/>
      <c r="AI638" s="1586"/>
      <c r="AJ638" s="1587"/>
      <c r="AK638" s="1721"/>
      <c r="AL638" s="1722"/>
      <c r="AM638" s="1722"/>
      <c r="AN638" s="1723"/>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t="e">
        <f t="shared" si="24"/>
        <v>#VALUE!</v>
      </c>
      <c r="ED638" s="1361"/>
      <c r="EE638" s="1361"/>
      <c r="EF638" s="1361"/>
      <c r="EG638" s="1361"/>
      <c r="EH638" s="1361" t="e">
        <f t="shared" si="25"/>
        <v>#VALUE!</v>
      </c>
      <c r="EI638" s="1361"/>
      <c r="EJ638" s="1361"/>
      <c r="EK638" s="1361"/>
      <c r="EL638" s="1361"/>
      <c r="EM638" s="1361">
        <f t="shared" si="26"/>
        <v>284</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2.95" customHeight="1">
      <c r="B639" s="1591" t="s">
        <v>128</v>
      </c>
      <c r="C639" s="1592"/>
      <c r="D639" s="1592"/>
      <c r="E639" s="1592"/>
      <c r="F639" s="1592"/>
      <c r="G639" s="1592"/>
      <c r="H639" s="1592"/>
      <c r="I639" s="1592"/>
      <c r="J639" s="1592"/>
      <c r="K639" s="1592"/>
      <c r="L639" s="1592"/>
      <c r="M639" s="1592"/>
      <c r="N639" s="1592"/>
      <c r="O639" s="1592"/>
      <c r="P639" s="1592"/>
      <c r="Q639" s="1592"/>
      <c r="R639" s="1592"/>
      <c r="S639" s="1592"/>
      <c r="T639" s="1592"/>
      <c r="U639" s="1592"/>
      <c r="V639" s="1592"/>
      <c r="W639" s="1592"/>
      <c r="X639" s="1592"/>
      <c r="Y639" s="1592"/>
      <c r="Z639" s="1592"/>
      <c r="AA639" s="1592"/>
      <c r="AB639" s="1592"/>
      <c r="AC639" s="1592"/>
      <c r="AD639" s="1592"/>
      <c r="AE639" s="1592"/>
      <c r="AF639" s="1592"/>
      <c r="AG639" s="1592"/>
      <c r="AH639" s="1592"/>
      <c r="AI639" s="1592"/>
      <c r="AJ639" s="1592"/>
      <c r="AK639" s="1592"/>
      <c r="AL639" s="1592"/>
      <c r="AM639" s="1592"/>
      <c r="AN639" s="1593"/>
      <c r="AO639" s="1625">
        <f>SUM(AO627:AR638)</f>
        <v>45120195</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t="e">
        <f t="shared" si="25"/>
        <v>#VALUE!</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2.95" customHeight="1">
      <c r="B640" s="1591" t="s">
        <v>268</v>
      </c>
      <c r="C640" s="1592"/>
      <c r="D640" s="1592"/>
      <c r="E640" s="1592"/>
      <c r="F640" s="1592"/>
      <c r="G640" s="1592"/>
      <c r="H640" s="1592"/>
      <c r="I640" s="1592"/>
      <c r="J640" s="1592"/>
      <c r="K640" s="1592"/>
      <c r="L640" s="1592"/>
      <c r="M640" s="1592"/>
      <c r="N640" s="1592"/>
      <c r="O640" s="1592"/>
      <c r="P640" s="1592"/>
      <c r="Q640" s="1592"/>
      <c r="R640" s="1592"/>
      <c r="S640" s="1592"/>
      <c r="T640" s="1592"/>
      <c r="U640" s="1592"/>
      <c r="V640" s="1592"/>
      <c r="W640" s="1592"/>
      <c r="X640" s="1592"/>
      <c r="Y640" s="1592"/>
      <c r="Z640" s="1592"/>
      <c r="AA640" s="1592"/>
      <c r="AB640" s="1592"/>
      <c r="AC640" s="1592"/>
      <c r="AD640" s="1592"/>
      <c r="AE640" s="1592"/>
      <c r="AF640" s="1592"/>
      <c r="AG640" s="1592"/>
      <c r="AH640" s="1592"/>
      <c r="AI640" s="1592"/>
      <c r="AJ640" s="1592"/>
      <c r="AK640" s="1592"/>
      <c r="AL640" s="1592"/>
      <c r="AM640" s="1592"/>
      <c r="AN640" s="1593"/>
      <c r="AO640" s="1581">
        <f>48425659-260000</f>
        <v>48165659</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61">
        <f t="shared" si="29"/>
        <v>524.57142857142856</v>
      </c>
      <c r="DY640" s="1361"/>
      <c r="DZ640" s="1361"/>
      <c r="EA640" s="1361"/>
      <c r="EB640" s="1361"/>
      <c r="EC640" s="1361" t="e">
        <f t="shared" si="24"/>
        <v>#VALUE!</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2.95" customHeight="1">
      <c r="B641" s="1594" t="s">
        <v>269</v>
      </c>
      <c r="C641" s="1595"/>
      <c r="D641" s="1595"/>
      <c r="E641" s="1595"/>
      <c r="F641" s="1595"/>
      <c r="G641" s="1595"/>
      <c r="H641" s="1595"/>
      <c r="I641" s="1595"/>
      <c r="J641" s="1595"/>
      <c r="K641" s="1595"/>
      <c r="L641" s="1595"/>
      <c r="M641" s="1595"/>
      <c r="N641" s="1595"/>
      <c r="O641" s="1595"/>
      <c r="P641" s="1595"/>
      <c r="Q641" s="1595"/>
      <c r="R641" s="1595"/>
      <c r="S641" s="1595"/>
      <c r="T641" s="1595"/>
      <c r="U641" s="1595"/>
      <c r="V641" s="1595"/>
      <c r="W641" s="1595"/>
      <c r="X641" s="1595"/>
      <c r="Y641" s="1595"/>
      <c r="Z641" s="1595"/>
      <c r="AA641" s="1595"/>
      <c r="AB641" s="1595"/>
      <c r="AC641" s="1595"/>
      <c r="AD641" s="1595"/>
      <c r="AE641" s="1595"/>
      <c r="AF641" s="1595"/>
      <c r="AG641" s="1595"/>
      <c r="AH641" s="1595"/>
      <c r="AI641" s="1595"/>
      <c r="AJ641" s="1595"/>
      <c r="AK641" s="1595"/>
      <c r="AL641" s="1595"/>
      <c r="AM641" s="1595"/>
      <c r="AN641" s="1596"/>
      <c r="AO641" s="1625">
        <f>AO639+AO640</f>
        <v>93285854</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395">
        <f>SUM(BN637:BR640)</f>
        <v>0</v>
      </c>
      <c r="BO641" s="1509"/>
      <c r="BP641" s="1509"/>
      <c r="BQ641" s="1509"/>
      <c r="BR641" s="1396"/>
      <c r="BS641" s="1724">
        <f>SUM(BS637:BW640)</f>
        <v>0</v>
      </c>
      <c r="BT641" s="1725"/>
      <c r="BU641" s="1725"/>
      <c r="BV641" s="1725"/>
      <c r="BW641" s="1726"/>
      <c r="BX641" s="1724">
        <f>SUM(BX637:CB640)</f>
        <v>1</v>
      </c>
      <c r="BY641" s="1725"/>
      <c r="BZ641" s="1725"/>
      <c r="CA641" s="1725"/>
      <c r="CB641" s="1726"/>
      <c r="CC641" s="1724">
        <f>SUM(CC637:CG640)</f>
        <v>0</v>
      </c>
      <c r="CD641" s="1725"/>
      <c r="CE641" s="1725"/>
      <c r="CF641" s="1725"/>
      <c r="CG641" s="1726"/>
      <c r="CH641" s="1724">
        <f>SUM(CH637:CL640)</f>
        <v>0</v>
      </c>
      <c r="CI641" s="1725"/>
      <c r="CJ641" s="1725"/>
      <c r="CK641" s="1725"/>
      <c r="CL641" s="1726"/>
      <c r="CM641" s="1724">
        <f>SUM(CM637:CQ640)</f>
        <v>0</v>
      </c>
      <c r="CN641" s="1725"/>
      <c r="CO641" s="1725"/>
      <c r="CP641" s="1725"/>
      <c r="CQ641" s="1726"/>
      <c r="CS641" s="895">
        <f>BN641+BS641+BX641+CC641+CH641+CM641</f>
        <v>1</v>
      </c>
      <c r="CT641" s="57" t="s">
        <v>2049</v>
      </c>
      <c r="CU641" s="3"/>
      <c r="CV641" s="3"/>
      <c r="CW641" s="3"/>
      <c r="CX641" s="3"/>
      <c r="CY641" s="3"/>
      <c r="CZ641" s="3"/>
      <c r="DA641" s="3"/>
      <c r="DB641" s="3"/>
      <c r="DC641" s="3"/>
      <c r="DD641" s="3"/>
      <c r="DE641" s="3"/>
      <c r="DF641" s="3"/>
      <c r="DX641" s="1361" t="e">
        <f t="shared" si="29"/>
        <v>#VALUE!</v>
      </c>
      <c r="DY641" s="1361"/>
      <c r="DZ641" s="1361"/>
      <c r="EA641" s="1361"/>
      <c r="EB641" s="1361"/>
      <c r="EC641" s="1361">
        <f t="shared" si="24"/>
        <v>401.875</v>
      </c>
      <c r="ED641" s="1361"/>
      <c r="EE641" s="1361"/>
      <c r="EF641" s="1361"/>
      <c r="EG641" s="1361"/>
      <c r="EH641" s="1361" t="e">
        <f t="shared" si="25"/>
        <v>#VALUE!</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f t="shared" si="25"/>
        <v>459.9</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2.95" customHeight="1">
      <c r="A643" s="55" t="s">
        <v>112</v>
      </c>
      <c r="B643" t="s">
        <v>470</v>
      </c>
      <c r="G643" s="1508" t="str">
        <f>C627</f>
        <v>Tax-Exempt Permanent Loan - CCRC</v>
      </c>
      <c r="H643" s="1508"/>
      <c r="I643" s="1508"/>
      <c r="J643" s="1508"/>
      <c r="K643" s="1508"/>
      <c r="L643" s="1508"/>
      <c r="M643" s="1508"/>
      <c r="N643" s="1508"/>
      <c r="O643" s="1508"/>
      <c r="P643" s="1508"/>
      <c r="Q643" s="1508"/>
      <c r="R643" s="1508"/>
      <c r="S643" s="8"/>
      <c r="T643" s="55" t="s">
        <v>113</v>
      </c>
      <c r="U643" t="s">
        <v>470</v>
      </c>
      <c r="Z643" s="1508" t="str">
        <f>C628</f>
        <v>HCD AHSC</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f t="shared" si="26"/>
        <v>587</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2.95" customHeight="1">
      <c r="A644" s="22"/>
      <c r="B644" t="s">
        <v>85</v>
      </c>
      <c r="G644" s="1471" t="s">
        <v>2760</v>
      </c>
      <c r="H644" s="1471"/>
      <c r="I644" s="1471"/>
      <c r="J644" s="1471"/>
      <c r="K644" s="1471"/>
      <c r="L644" s="1471"/>
      <c r="M644" s="1471"/>
      <c r="N644" s="1471"/>
      <c r="O644" s="1471"/>
      <c r="P644" s="1471"/>
      <c r="Q644" s="1471"/>
      <c r="R644" s="1471"/>
      <c r="S644" s="8"/>
      <c r="T644" s="22"/>
      <c r="U644" t="s">
        <v>85</v>
      </c>
      <c r="Z644" s="1482" t="s">
        <v>2725</v>
      </c>
      <c r="AA644" s="1471"/>
      <c r="AB644" s="1471"/>
      <c r="AC644" s="1471"/>
      <c r="AD644" s="1471"/>
      <c r="AE644" s="1471"/>
      <c r="AF644" s="1471"/>
      <c r="AG644" s="1471"/>
      <c r="AH644" s="1471"/>
      <c r="AI644" s="1471"/>
      <c r="AJ644" s="1471"/>
      <c r="AK644" s="147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2.95" customHeight="1">
      <c r="A645" s="22"/>
      <c r="B645" t="s">
        <v>587</v>
      </c>
      <c r="G645" s="1471" t="s">
        <v>2761</v>
      </c>
      <c r="H645" s="1471"/>
      <c r="I645" s="1471"/>
      <c r="J645" s="1471"/>
      <c r="K645" s="1471"/>
      <c r="L645" s="1471"/>
      <c r="M645" s="1471"/>
      <c r="N645" s="1471"/>
      <c r="O645" s="1471"/>
      <c r="P645" s="1471"/>
      <c r="Q645" s="1471"/>
      <c r="R645" s="1471"/>
      <c r="T645" s="22"/>
      <c r="U645" t="s">
        <v>587</v>
      </c>
      <c r="Z645" s="1481" t="s">
        <v>68</v>
      </c>
      <c r="AA645" s="1452"/>
      <c r="AB645" s="1452"/>
      <c r="AC645" s="1452"/>
      <c r="AD645" s="1452"/>
      <c r="AE645" s="1452"/>
      <c r="AF645" s="1452"/>
      <c r="AG645" s="1452"/>
      <c r="AH645" s="1452"/>
      <c r="AI645" s="1452"/>
      <c r="AJ645" s="1452"/>
      <c r="AK645" s="1452"/>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61">
        <f t="shared" si="29"/>
        <v>442.57142857142856</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2.95" customHeight="1">
      <c r="A646" s="22"/>
      <c r="B646" t="s">
        <v>17</v>
      </c>
      <c r="G646" s="1471" t="s">
        <v>2762</v>
      </c>
      <c r="H646" s="1471"/>
      <c r="I646" s="1471"/>
      <c r="J646" s="1471"/>
      <c r="K646" s="1471"/>
      <c r="L646" s="1471"/>
      <c r="M646" s="1471"/>
      <c r="N646" s="1471"/>
      <c r="O646" s="1471"/>
      <c r="P646" s="1471"/>
      <c r="Q646" s="1471"/>
      <c r="R646" s="1471"/>
      <c r="S646" s="8"/>
      <c r="T646" s="22"/>
      <c r="U646" t="s">
        <v>17</v>
      </c>
      <c r="Z646" s="1481" t="s">
        <v>2727</v>
      </c>
      <c r="AA646" s="1452"/>
      <c r="AB646" s="1452"/>
      <c r="AC646" s="1452"/>
      <c r="AD646" s="1452"/>
      <c r="AE646" s="1452"/>
      <c r="AF646" s="1452"/>
      <c r="AG646" s="1452"/>
      <c r="AH646" s="1452"/>
      <c r="AI646" s="1452"/>
      <c r="AJ646" s="1452"/>
      <c r="AK646" s="1452"/>
      <c r="AZ646" s="3"/>
      <c r="BA646" s="3"/>
      <c r="BB646" s="3"/>
      <c r="BC646" s="3"/>
      <c r="BD646" s="3"/>
      <c r="BE646" s="3"/>
      <c r="BF646" s="3"/>
      <c r="BG646" s="3"/>
      <c r="BH646" s="3"/>
      <c r="BI646" s="3"/>
      <c r="BJ646" s="3"/>
      <c r="BK646" s="3"/>
      <c r="BL646" s="3"/>
      <c r="BM646" s="3"/>
      <c r="BN646" s="1391">
        <f t="shared" si="30"/>
        <v>0</v>
      </c>
      <c r="BO646" s="1392"/>
      <c r="BP646" s="1392"/>
      <c r="BQ646" s="1392"/>
      <c r="BR646" s="1393"/>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61" t="e">
        <f t="shared" si="29"/>
        <v>#VALUE!</v>
      </c>
      <c r="DY646" s="1361"/>
      <c r="DZ646" s="1361"/>
      <c r="EA646" s="1361"/>
      <c r="EB646" s="1361"/>
      <c r="EC646" s="1361">
        <f t="shared" si="24"/>
        <v>306.375</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2.95" customHeight="1">
      <c r="A647" s="22"/>
      <c r="B647" t="s">
        <v>317</v>
      </c>
      <c r="G647" s="1489" t="s">
        <v>2763</v>
      </c>
      <c r="H647" s="1473"/>
      <c r="I647" s="1473"/>
      <c r="J647" s="1473"/>
      <c r="K647" s="1473"/>
      <c r="L647" s="1473"/>
      <c r="O647" s="33" t="s">
        <v>207</v>
      </c>
      <c r="P647" s="1384"/>
      <c r="Q647" s="1384"/>
      <c r="R647" s="1384"/>
      <c r="S647" s="10"/>
      <c r="T647" s="22"/>
      <c r="U647" t="s">
        <v>317</v>
      </c>
      <c r="Z647" s="1489" t="s">
        <v>2729</v>
      </c>
      <c r="AA647" s="1473"/>
      <c r="AB647" s="1473"/>
      <c r="AC647" s="1473"/>
      <c r="AD647" s="1473"/>
      <c r="AE647" s="1473"/>
      <c r="AH647" s="33" t="s">
        <v>207</v>
      </c>
      <c r="AI647" s="1384"/>
      <c r="AJ647" s="1384"/>
      <c r="AK647" s="1384"/>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61" t="e">
        <f t="shared" si="29"/>
        <v>#VALUE!</v>
      </c>
      <c r="DY647" s="1361"/>
      <c r="DZ647" s="1361"/>
      <c r="EA647" s="1361"/>
      <c r="EB647" s="1361"/>
      <c r="EC647" s="1361" t="e">
        <f t="shared" si="24"/>
        <v>#VALUE!</v>
      </c>
      <c r="ED647" s="1361"/>
      <c r="EE647" s="1361"/>
      <c r="EF647" s="1361"/>
      <c r="EG647" s="1361"/>
      <c r="EH647" s="1361">
        <f t="shared" si="25"/>
        <v>390.20000000000005</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2.95" customHeight="1">
      <c r="A648" s="22"/>
      <c r="B648" t="s">
        <v>18</v>
      </c>
      <c r="H648" s="1471" t="s">
        <v>2784</v>
      </c>
      <c r="I648" s="1471"/>
      <c r="J648" s="1471"/>
      <c r="K648" s="1471"/>
      <c r="L648" s="1471"/>
      <c r="M648" s="1471"/>
      <c r="N648" s="1471"/>
      <c r="O648" s="1471"/>
      <c r="P648" s="1471"/>
      <c r="Q648" s="1471"/>
      <c r="R648" s="1471"/>
      <c r="S648" s="8"/>
      <c r="T648" s="22"/>
      <c r="U648" t="s">
        <v>18</v>
      </c>
      <c r="AA648" s="1482" t="s">
        <v>2731</v>
      </c>
      <c r="AB648" s="1471"/>
      <c r="AC648" s="1471"/>
      <c r="AD648" s="1471"/>
      <c r="AE648" s="1471"/>
      <c r="AF648" s="1471"/>
      <c r="AG648" s="1471"/>
      <c r="AH648" s="1471"/>
      <c r="AI648" s="1471"/>
      <c r="AJ648" s="1471"/>
      <c r="AK648" s="1471"/>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f t="shared" si="26"/>
        <v>498.66666666666663</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2.95" customHeight="1">
      <c r="A649" s="22"/>
      <c r="B649" t="s">
        <v>20</v>
      </c>
      <c r="N649" s="1380" t="s">
        <v>552</v>
      </c>
      <c r="O649" s="1380"/>
      <c r="T649" s="22"/>
      <c r="U649" t="s">
        <v>20</v>
      </c>
      <c r="AG649" s="1380" t="s">
        <v>552</v>
      </c>
      <c r="AH649" s="1380"/>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61" t="e">
        <f t="shared" si="29"/>
        <v>#VALUE!</v>
      </c>
      <c r="DY650" s="1361"/>
      <c r="DZ650" s="1361"/>
      <c r="EA650" s="1361"/>
      <c r="EB650" s="1361"/>
      <c r="EC650" s="1361">
        <f t="shared" si="24"/>
        <v>371.8125</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2.95" customHeight="1">
      <c r="A651" s="55" t="s">
        <v>119</v>
      </c>
      <c r="B651" t="s">
        <v>470</v>
      </c>
      <c r="G651" s="1508" t="str">
        <f>C629</f>
        <v>HCD IIG</v>
      </c>
      <c r="H651" s="1508"/>
      <c r="I651" s="1508"/>
      <c r="J651" s="1508"/>
      <c r="K651" s="1508"/>
      <c r="L651" s="1508"/>
      <c r="M651" s="1508"/>
      <c r="N651" s="1508"/>
      <c r="O651" s="1508"/>
      <c r="P651" s="1508"/>
      <c r="Q651" s="1508"/>
      <c r="R651" s="1508"/>
      <c r="T651" s="55" t="s">
        <v>588</v>
      </c>
      <c r="U651" t="s">
        <v>470</v>
      </c>
      <c r="Z651" s="1508" t="str">
        <f>C630</f>
        <v>HCD LGMG</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61" t="e">
        <f t="shared" si="29"/>
        <v>#VALUE!</v>
      </c>
      <c r="DY651" s="1361"/>
      <c r="DZ651" s="1361"/>
      <c r="EA651" s="1361"/>
      <c r="EB651" s="1361"/>
      <c r="EC651" s="1361" t="e">
        <f t="shared" si="24"/>
        <v>#VALUE!</v>
      </c>
      <c r="ED651" s="1361"/>
      <c r="EE651" s="1361"/>
      <c r="EF651" s="1361"/>
      <c r="EG651" s="1361"/>
      <c r="EH651" s="1361">
        <f t="shared" si="25"/>
        <v>473.8</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2.95" customHeight="1">
      <c r="A652" s="22"/>
      <c r="B652" t="s">
        <v>85</v>
      </c>
      <c r="G652" s="1482" t="s">
        <v>2725</v>
      </c>
      <c r="H652" s="1471"/>
      <c r="I652" s="1471"/>
      <c r="J652" s="1471"/>
      <c r="K652" s="1471"/>
      <c r="L652" s="1471"/>
      <c r="M652" s="1471"/>
      <c r="N652" s="1471"/>
      <c r="O652" s="1471"/>
      <c r="P652" s="1471"/>
      <c r="Q652" s="1471"/>
      <c r="R652" s="1471"/>
      <c r="T652" s="22"/>
      <c r="U652" t="s">
        <v>85</v>
      </c>
      <c r="Z652" s="1482" t="s">
        <v>2725</v>
      </c>
      <c r="AA652" s="1471"/>
      <c r="AB652" s="1471"/>
      <c r="AC652" s="1471"/>
      <c r="AD652" s="1471"/>
      <c r="AE652" s="1471"/>
      <c r="AF652" s="1471"/>
      <c r="AG652" s="1471"/>
      <c r="AH652" s="1471"/>
      <c r="AI652" s="1471"/>
      <c r="AJ652" s="1471"/>
      <c r="AK652" s="1471"/>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f t="shared" si="26"/>
        <v>606</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2.95" customHeight="1">
      <c r="A653" s="22"/>
      <c r="B653" t="s">
        <v>587</v>
      </c>
      <c r="G653" s="1481" t="s">
        <v>68</v>
      </c>
      <c r="H653" s="1452"/>
      <c r="I653" s="1452"/>
      <c r="J653" s="1452"/>
      <c r="K653" s="1452"/>
      <c r="L653" s="1452"/>
      <c r="M653" s="1452"/>
      <c r="N653" s="1452"/>
      <c r="O653" s="1452"/>
      <c r="P653" s="1452"/>
      <c r="Q653" s="1452"/>
      <c r="R653" s="1452"/>
      <c r="T653" s="22"/>
      <c r="U653" t="s">
        <v>587</v>
      </c>
      <c r="Z653" s="1481" t="s">
        <v>68</v>
      </c>
      <c r="AA653" s="1452"/>
      <c r="AB653" s="1452"/>
      <c r="AC653" s="1452"/>
      <c r="AD653" s="1452"/>
      <c r="AE653" s="1452"/>
      <c r="AF653" s="1452"/>
      <c r="AG653" s="1452"/>
      <c r="AH653" s="1452"/>
      <c r="AI653" s="1452"/>
      <c r="AJ653" s="1452"/>
      <c r="AK653" s="1452"/>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2.95" customHeight="1">
      <c r="A654" s="22"/>
      <c r="B654" t="s">
        <v>17</v>
      </c>
      <c r="G654" s="1481" t="s">
        <v>2727</v>
      </c>
      <c r="H654" s="1452"/>
      <c r="I654" s="1452"/>
      <c r="J654" s="1452"/>
      <c r="K654" s="1452"/>
      <c r="L654" s="1452"/>
      <c r="M654" s="1452"/>
      <c r="N654" s="1452"/>
      <c r="O654" s="1452"/>
      <c r="P654" s="1452"/>
      <c r="Q654" s="1452"/>
      <c r="R654" s="1452"/>
      <c r="T654" s="22"/>
      <c r="U654" t="s">
        <v>17</v>
      </c>
      <c r="Z654" s="1481" t="s">
        <v>2726</v>
      </c>
      <c r="AA654" s="1452"/>
      <c r="AB654" s="1452"/>
      <c r="AC654" s="1452"/>
      <c r="AD654" s="1452"/>
      <c r="AE654" s="1452"/>
      <c r="AF654" s="1452"/>
      <c r="AG654" s="1452"/>
      <c r="AH654" s="1452"/>
      <c r="AI654" s="1452"/>
      <c r="AJ654" s="1452"/>
      <c r="AK654" s="1452"/>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2.95" customHeight="1">
      <c r="A655" s="22"/>
      <c r="B655" t="s">
        <v>317</v>
      </c>
      <c r="G655" s="1489" t="s">
        <v>2729</v>
      </c>
      <c r="H655" s="1473"/>
      <c r="I655" s="1473"/>
      <c r="J655" s="1473"/>
      <c r="K655" s="1473"/>
      <c r="L655" s="1473"/>
      <c r="O655" s="33" t="s">
        <v>207</v>
      </c>
      <c r="P655" s="1384"/>
      <c r="Q655" s="1384"/>
      <c r="R655" s="1384"/>
      <c r="T655" s="22"/>
      <c r="U655" t="s">
        <v>317</v>
      </c>
      <c r="Z655" s="1489" t="s">
        <v>2728</v>
      </c>
      <c r="AA655" s="1473"/>
      <c r="AB655" s="1473"/>
      <c r="AC655" s="1473"/>
      <c r="AD655" s="1473"/>
      <c r="AE655" s="1473"/>
      <c r="AH655" s="33" t="s">
        <v>207</v>
      </c>
      <c r="AI655" s="1384"/>
      <c r="AJ655" s="1384"/>
      <c r="AK655" s="1384"/>
      <c r="AZ655" s="34"/>
      <c r="BA655" s="34"/>
      <c r="BB655" s="34"/>
      <c r="BC655" s="34"/>
      <c r="BD655" s="34"/>
      <c r="BE655" s="34"/>
      <c r="BF655" s="34"/>
      <c r="BG655" s="34"/>
      <c r="BH655" s="34"/>
      <c r="BI655" s="34"/>
      <c r="BJ655" s="34"/>
      <c r="BK655" s="34"/>
      <c r="BL655" s="34"/>
      <c r="BM655" s="34"/>
      <c r="BN655" s="1395">
        <f>SUM(BN645:BR654)</f>
        <v>0</v>
      </c>
      <c r="BO655" s="1509"/>
      <c r="BP655" s="1509"/>
      <c r="BQ655" s="1509"/>
      <c r="BR655" s="1396"/>
      <c r="BS655" s="1724">
        <f>SUM(BS645:BW654)</f>
        <v>0</v>
      </c>
      <c r="BT655" s="1725"/>
      <c r="BU655" s="1725"/>
      <c r="BV655" s="1725"/>
      <c r="BW655" s="1726"/>
      <c r="BX655" s="1724">
        <f>SUM(BX645:CB654)</f>
        <v>0</v>
      </c>
      <c r="BY655" s="1725"/>
      <c r="BZ655" s="1725"/>
      <c r="CA655" s="1725"/>
      <c r="CB655" s="1726"/>
      <c r="CC655" s="1724">
        <f>SUM(CC645:CG654)</f>
        <v>0</v>
      </c>
      <c r="CD655" s="1725"/>
      <c r="CE655" s="1725"/>
      <c r="CF655" s="1725"/>
      <c r="CG655" s="1726"/>
      <c r="CH655" s="1724">
        <f>SUM(CH645:CL654)</f>
        <v>0</v>
      </c>
      <c r="CI655" s="1725"/>
      <c r="CJ655" s="1725"/>
      <c r="CK655" s="1725"/>
      <c r="CL655" s="1726"/>
      <c r="CM655" s="1724">
        <f>SUM(CM645:CQ654)</f>
        <v>0</v>
      </c>
      <c r="CN655" s="1725"/>
      <c r="CO655" s="1725"/>
      <c r="CP655" s="1725"/>
      <c r="CQ655" s="1726"/>
      <c r="CR655" s="1047"/>
      <c r="CS655" s="1761">
        <f>SUM(CS645:CW654)</f>
        <v>0</v>
      </c>
      <c r="CT655" s="1761"/>
      <c r="CU655" s="1761"/>
      <c r="CV655" s="1761"/>
      <c r="CW655" s="1761"/>
      <c r="CX655" s="1761">
        <f>SUM(CX645:DB654)</f>
        <v>0</v>
      </c>
      <c r="CY655" s="1761"/>
      <c r="CZ655" s="1761"/>
      <c r="DA655" s="1761"/>
      <c r="DB655" s="1761"/>
      <c r="DC655" s="1761">
        <f>SUM(DC645:DG654)</f>
        <v>0</v>
      </c>
      <c r="DD655" s="1761"/>
      <c r="DE655" s="1761"/>
      <c r="DF655" s="1761"/>
      <c r="DG655" s="1761"/>
      <c r="DH655" s="1761">
        <f>SUM(DH645:DL654)</f>
        <v>0</v>
      </c>
      <c r="DI655" s="1761"/>
      <c r="DJ655" s="1761"/>
      <c r="DK655" s="1761"/>
      <c r="DL655" s="1761"/>
      <c r="DM655" s="1761">
        <f>SUM(DM645:DQ654)</f>
        <v>0</v>
      </c>
      <c r="DN655" s="1761"/>
      <c r="DO655" s="1761"/>
      <c r="DP655" s="1761"/>
      <c r="DQ655" s="1761"/>
      <c r="DR655" s="1761">
        <f>SUM(DR645:DV654)</f>
        <v>0</v>
      </c>
      <c r="DS655" s="1761"/>
      <c r="DT655" s="1761"/>
      <c r="DU655" s="1761"/>
      <c r="DV655" s="1761"/>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2.95" customHeight="1">
      <c r="A656" s="22"/>
      <c r="B656" t="s">
        <v>18</v>
      </c>
      <c r="H656" s="1482" t="s">
        <v>2430</v>
      </c>
      <c r="I656" s="1471"/>
      <c r="J656" s="1471"/>
      <c r="K656" s="1471"/>
      <c r="L656" s="1471"/>
      <c r="M656" s="1471"/>
      <c r="N656" s="1471"/>
      <c r="O656" s="1471"/>
      <c r="P656" s="1471"/>
      <c r="Q656" s="1471"/>
      <c r="R656" s="1471"/>
      <c r="T656" s="22"/>
      <c r="U656" t="s">
        <v>18</v>
      </c>
      <c r="AA656" s="1482" t="s">
        <v>2430</v>
      </c>
      <c r="AB656" s="1471"/>
      <c r="AC656" s="1471"/>
      <c r="AD656" s="1471"/>
      <c r="AE656" s="1471"/>
      <c r="AF656" s="1471"/>
      <c r="AG656" s="1471"/>
      <c r="AH656" s="1471"/>
      <c r="AI656" s="1471"/>
      <c r="AJ656" s="1471"/>
      <c r="AK656" s="147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2.95" customHeight="1">
      <c r="A657" s="22"/>
      <c r="B657" t="s">
        <v>20</v>
      </c>
      <c r="N657" s="1380" t="s">
        <v>552</v>
      </c>
      <c r="O657" s="1380"/>
      <c r="T657" s="22"/>
      <c r="U657" t="s">
        <v>20</v>
      </c>
      <c r="AG657" s="1380" t="s">
        <v>552</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2.95" customHeight="1">
      <c r="A659" s="55" t="s">
        <v>771</v>
      </c>
      <c r="B659" t="s">
        <v>470</v>
      </c>
      <c r="G659" s="1508" t="str">
        <f>C631</f>
        <v>Deferred Developer Fee</v>
      </c>
      <c r="H659" s="1508"/>
      <c r="I659" s="1508"/>
      <c r="J659" s="1508"/>
      <c r="K659" s="1508"/>
      <c r="L659" s="1508"/>
      <c r="M659" s="1508"/>
      <c r="N659" s="1508"/>
      <c r="O659" s="1508"/>
      <c r="P659" s="1508"/>
      <c r="Q659" s="1508"/>
      <c r="R659" s="1508"/>
      <c r="T659" s="55" t="s">
        <v>591</v>
      </c>
      <c r="U659" t="s">
        <v>470</v>
      </c>
      <c r="Z659" s="1508" t="str">
        <f>C632</f>
        <v>GP Capital Contribution</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2.95" customHeight="1">
      <c r="A660" s="22"/>
      <c r="B660" t="s">
        <v>85</v>
      </c>
      <c r="G660" s="1482" t="s">
        <v>2645</v>
      </c>
      <c r="H660" s="1471"/>
      <c r="I660" s="1471"/>
      <c r="J660" s="1471"/>
      <c r="K660" s="1471"/>
      <c r="L660" s="1471"/>
      <c r="M660" s="1471"/>
      <c r="N660" s="1471"/>
      <c r="O660" s="1471"/>
      <c r="P660" s="1471"/>
      <c r="Q660" s="1471"/>
      <c r="R660" s="1471"/>
      <c r="T660" s="22"/>
      <c r="U660" t="s">
        <v>85</v>
      </c>
      <c r="Z660" s="1482" t="s">
        <v>2645</v>
      </c>
      <c r="AA660" s="1471"/>
      <c r="AB660" s="1471"/>
      <c r="AC660" s="1471"/>
      <c r="AD660" s="1471"/>
      <c r="AE660" s="1471"/>
      <c r="AF660" s="1471"/>
      <c r="AG660" s="1471"/>
      <c r="AH660" s="1471"/>
      <c r="AI660" s="1471"/>
      <c r="AJ660" s="1471"/>
      <c r="AK660" s="1471"/>
      <c r="AZ660" s="34"/>
      <c r="BA660" s="34"/>
      <c r="BB660" s="34"/>
      <c r="BC660" s="34"/>
      <c r="BD660" s="34"/>
      <c r="BE660" s="34"/>
      <c r="BF660" s="34"/>
      <c r="BG660" s="34"/>
      <c r="BH660" s="34"/>
      <c r="BI660" s="34"/>
      <c r="BJ660" s="34"/>
      <c r="BK660" s="34"/>
      <c r="BL660" s="34"/>
      <c r="BM660" s="34"/>
      <c r="BN660" s="1724">
        <f>BN632+BN641+BN655</f>
        <v>28</v>
      </c>
      <c r="BO660" s="1725"/>
      <c r="BP660" s="1725"/>
      <c r="BQ660" s="1725"/>
      <c r="BR660" s="1726"/>
      <c r="BS660" s="1724">
        <f>BS632+BS641+BS655</f>
        <v>16</v>
      </c>
      <c r="BT660" s="1725"/>
      <c r="BU660" s="1725"/>
      <c r="BV660" s="1725"/>
      <c r="BW660" s="1726"/>
      <c r="BX660" s="1724">
        <f>BX632+BX641+BX655</f>
        <v>21</v>
      </c>
      <c r="BY660" s="1725"/>
      <c r="BZ660" s="1725"/>
      <c r="CA660" s="1725"/>
      <c r="CB660" s="1726"/>
      <c r="CC660" s="1724">
        <f>CC632+CC641+CC655</f>
        <v>27</v>
      </c>
      <c r="CD660" s="1725"/>
      <c r="CE660" s="1725"/>
      <c r="CF660" s="1725"/>
      <c r="CG660" s="1726"/>
      <c r="CH660" s="1724">
        <f>CH632+CH641+CH655</f>
        <v>0</v>
      </c>
      <c r="CI660" s="1725"/>
      <c r="CJ660" s="1725"/>
      <c r="CK660" s="1725"/>
      <c r="CL660" s="1726"/>
      <c r="CM660" s="1386">
        <f>CM655+CM641+CM632</f>
        <v>0</v>
      </c>
      <c r="CN660" s="1387"/>
      <c r="CO660" s="1387"/>
      <c r="CP660" s="1387"/>
      <c r="CQ660" s="1388"/>
      <c r="CR660" s="3"/>
      <c r="CS660" s="895">
        <f>CS634+CS658</f>
        <v>165</v>
      </c>
      <c r="CT660" s="57" t="s">
        <v>2053</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2.95" customHeight="1">
      <c r="A661" s="22"/>
      <c r="B661" t="s">
        <v>587</v>
      </c>
      <c r="G661" s="1482" t="s">
        <v>2646</v>
      </c>
      <c r="H661" s="1471"/>
      <c r="I661" s="1471"/>
      <c r="J661" s="1471"/>
      <c r="K661" s="1471"/>
      <c r="L661" s="1471"/>
      <c r="M661" s="1471"/>
      <c r="N661" s="1471"/>
      <c r="O661" s="1471"/>
      <c r="P661" s="1471"/>
      <c r="Q661" s="1471"/>
      <c r="R661" s="1471"/>
      <c r="T661" s="22"/>
      <c r="U661" t="s">
        <v>587</v>
      </c>
      <c r="Z661" s="1481" t="s">
        <v>2646</v>
      </c>
      <c r="AA661" s="1452"/>
      <c r="AB661" s="1452"/>
      <c r="AC661" s="1452"/>
      <c r="AD661" s="1452"/>
      <c r="AE661" s="1452"/>
      <c r="AF661" s="1452"/>
      <c r="AG661" s="1452"/>
      <c r="AH661" s="1452"/>
      <c r="AI661" s="1452"/>
      <c r="AJ661" s="1452"/>
      <c r="AK661" s="145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2.95" customHeight="1">
      <c r="A662" s="22"/>
      <c r="B662" t="s">
        <v>17</v>
      </c>
      <c r="G662" s="1482" t="s">
        <v>2656</v>
      </c>
      <c r="H662" s="1471"/>
      <c r="I662" s="1471"/>
      <c r="J662" s="1471"/>
      <c r="K662" s="1471"/>
      <c r="L662" s="1471"/>
      <c r="M662" s="1471"/>
      <c r="N662" s="1471"/>
      <c r="O662" s="1471"/>
      <c r="P662" s="1471"/>
      <c r="Q662" s="1471"/>
      <c r="R662" s="1471"/>
      <c r="T662" s="22"/>
      <c r="U662" t="s">
        <v>17</v>
      </c>
      <c r="Z662" s="1481" t="s">
        <v>2656</v>
      </c>
      <c r="AA662" s="1452"/>
      <c r="AB662" s="1452"/>
      <c r="AC662" s="1452"/>
      <c r="AD662" s="1452"/>
      <c r="AE662" s="1452"/>
      <c r="AF662" s="1452"/>
      <c r="AG662" s="1452"/>
      <c r="AH662" s="1452"/>
      <c r="AI662" s="1452"/>
      <c r="AJ662" s="1452"/>
      <c r="AK662" s="145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2.95" customHeight="1">
      <c r="A663" s="22"/>
      <c r="B663" t="s">
        <v>317</v>
      </c>
      <c r="G663" s="1473" t="s">
        <v>2657</v>
      </c>
      <c r="H663" s="1473"/>
      <c r="I663" s="1473"/>
      <c r="J663" s="1473"/>
      <c r="K663" s="1473"/>
      <c r="L663" s="1473"/>
      <c r="O663" s="33" t="s">
        <v>207</v>
      </c>
      <c r="P663" s="1384"/>
      <c r="Q663" s="1384"/>
      <c r="R663" s="1384"/>
      <c r="T663" s="22"/>
      <c r="U663" t="s">
        <v>317</v>
      </c>
      <c r="Z663" s="1489" t="s">
        <v>2657</v>
      </c>
      <c r="AA663" s="1473"/>
      <c r="AB663" s="1473"/>
      <c r="AC663" s="1473"/>
      <c r="AD663" s="1473"/>
      <c r="AE663" s="1473"/>
      <c r="AH663" s="33" t="s">
        <v>207</v>
      </c>
      <c r="AI663" s="1384"/>
      <c r="AJ663" s="1384"/>
      <c r="AK663" s="13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2.95" customHeight="1">
      <c r="A664" s="22"/>
      <c r="B664" t="s">
        <v>18</v>
      </c>
      <c r="H664" s="1482" t="s">
        <v>2747</v>
      </c>
      <c r="I664" s="1471"/>
      <c r="J664" s="1471"/>
      <c r="K664" s="1471"/>
      <c r="L664" s="1471"/>
      <c r="M664" s="1471"/>
      <c r="N664" s="1471"/>
      <c r="O664" s="1471"/>
      <c r="P664" s="1471"/>
      <c r="Q664" s="1471"/>
      <c r="R664" s="1471"/>
      <c r="T664" s="22"/>
      <c r="U664" t="s">
        <v>18</v>
      </c>
      <c r="AA664" s="1482" t="s">
        <v>2749</v>
      </c>
      <c r="AB664" s="1471"/>
      <c r="AC664" s="1471"/>
      <c r="AD664" s="1471"/>
      <c r="AE664" s="1471"/>
      <c r="AF664" s="1471"/>
      <c r="AG664" s="1471"/>
      <c r="AH664" s="1471"/>
      <c r="AI664" s="1471"/>
      <c r="AJ664" s="1471"/>
      <c r="AK664" s="14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2.95" customHeight="1">
      <c r="A665" s="22"/>
      <c r="B665" t="s">
        <v>20</v>
      </c>
      <c r="N665" s="1380" t="s">
        <v>552</v>
      </c>
      <c r="O665" s="1380"/>
      <c r="T665" s="22"/>
      <c r="U665" t="s">
        <v>20</v>
      </c>
      <c r="AG665" s="1380" t="s">
        <v>552</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2.95" customHeight="1">
      <c r="A667" s="55" t="s">
        <v>462</v>
      </c>
      <c r="B667" t="s">
        <v>470</v>
      </c>
      <c r="G667" s="1508">
        <f>C633</f>
        <v>0</v>
      </c>
      <c r="H667" s="1508"/>
      <c r="I667" s="1508"/>
      <c r="J667" s="1508"/>
      <c r="K667" s="1508"/>
      <c r="L667" s="1508"/>
      <c r="M667" s="1508"/>
      <c r="N667" s="1508"/>
      <c r="O667" s="1508"/>
      <c r="P667" s="1508"/>
      <c r="Q667" s="1508"/>
      <c r="R667" s="1508"/>
      <c r="T667" s="55" t="s">
        <v>463</v>
      </c>
      <c r="U667" t="s">
        <v>470</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3252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2.95" customHeight="1">
      <c r="A668" s="22"/>
      <c r="B668" t="s">
        <v>85</v>
      </c>
      <c r="G668" s="1471"/>
      <c r="H668" s="1471"/>
      <c r="I668" s="1471"/>
      <c r="J668" s="1471"/>
      <c r="K668" s="1471"/>
      <c r="L668" s="1471"/>
      <c r="M668" s="1471"/>
      <c r="N668" s="1471"/>
      <c r="O668" s="1471"/>
      <c r="P668" s="1471"/>
      <c r="Q668" s="1471"/>
      <c r="R668" s="1471"/>
      <c r="T668" s="22"/>
      <c r="U668" t="s">
        <v>85</v>
      </c>
      <c r="Z668" s="1471"/>
      <c r="AA668" s="1471"/>
      <c r="AB668" s="1471"/>
      <c r="AC668" s="1471"/>
      <c r="AD668" s="1471"/>
      <c r="AE668" s="1471"/>
      <c r="AF668" s="1471"/>
      <c r="AG668" s="1471"/>
      <c r="AH668" s="1471"/>
      <c r="AI668" s="1471"/>
      <c r="AJ668" s="1471"/>
      <c r="AK668" s="1471"/>
      <c r="AZ668" s="3"/>
      <c r="BA668" s="118">
        <f t="shared" si="48"/>
        <v>3484</v>
      </c>
      <c r="BB668" s="3"/>
      <c r="BC668" s="3"/>
      <c r="BD668" s="3"/>
      <c r="BE668" s="3"/>
      <c r="BF668" s="218"/>
      <c r="BG668" s="315">
        <f t="shared" ref="BG668:BG700" si="49">G718</f>
        <v>8</v>
      </c>
      <c r="BH668" s="319">
        <f t="shared" ref="BH668:BH702" si="50">IF($BG$703=0,0,BG668/$BG$703)</f>
        <v>8.7912087912087919E-2</v>
      </c>
      <c r="BI668" s="320">
        <f t="shared" ref="BI668:BI691" si="51">IF(BH668=0,"",BH668*AC718)</f>
        <v>2.6373626373626374E-2</v>
      </c>
      <c r="BJ668" s="3"/>
      <c r="BK668" s="3"/>
      <c r="BL668" s="3"/>
      <c r="BM668" s="3"/>
      <c r="BN668" s="3"/>
      <c r="BO668" s="3"/>
      <c r="BT668" s="315">
        <f t="shared" ref="BT668:BT700" si="52">G718</f>
        <v>8</v>
      </c>
      <c r="BU668" s="319">
        <f t="shared" ref="BU668:BU702" si="53">IF($BT$703=0,0,BT668/$BT$703)</f>
        <v>8.7912087912087919E-2</v>
      </c>
      <c r="BV668" s="320">
        <f t="shared" ref="BV668:BV700" si="54">IF(BU668=0,"",BU668*AH718)</f>
        <v>2.6357406431207171E-2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2.95" customHeight="1">
      <c r="A669" s="22"/>
      <c r="B669" t="s">
        <v>587</v>
      </c>
      <c r="G669" s="1471"/>
      <c r="H669" s="1471"/>
      <c r="I669" s="1471"/>
      <c r="J669" s="1471"/>
      <c r="K669" s="1471"/>
      <c r="L669" s="1471"/>
      <c r="M669" s="1471"/>
      <c r="N669" s="1471"/>
      <c r="O669" s="1471"/>
      <c r="P669" s="1471"/>
      <c r="Q669" s="1471"/>
      <c r="R669" s="1471"/>
      <c r="T669" s="22"/>
      <c r="U669" t="s">
        <v>587</v>
      </c>
      <c r="Z669" s="1452"/>
      <c r="AA669" s="1452"/>
      <c r="AB669" s="1452"/>
      <c r="AC669" s="1452"/>
      <c r="AD669" s="1452"/>
      <c r="AE669" s="1452"/>
      <c r="AF669" s="1452"/>
      <c r="AG669" s="1452"/>
      <c r="AH669" s="1452"/>
      <c r="AI669" s="1452"/>
      <c r="AJ669" s="1452"/>
      <c r="AK669" s="1452"/>
      <c r="AZ669" s="3"/>
      <c r="BA669" s="118">
        <f t="shared" si="48"/>
        <v>4182</v>
      </c>
      <c r="BB669" s="3"/>
      <c r="BC669" s="3"/>
      <c r="BD669" s="3"/>
      <c r="BE669" s="3"/>
      <c r="BF669" s="218"/>
      <c r="BG669" s="316">
        <f t="shared" si="49"/>
        <v>5</v>
      </c>
      <c r="BH669" s="319">
        <f t="shared" si="50"/>
        <v>5.4945054945054944E-2</v>
      </c>
      <c r="BI669" s="320">
        <f t="shared" si="51"/>
        <v>1.6483516483516484E-2</v>
      </c>
      <c r="BJ669" s="3"/>
      <c r="BK669" s="3"/>
      <c r="BL669" s="3"/>
      <c r="BM669" s="3"/>
      <c r="BN669" s="3"/>
      <c r="BO669" s="3"/>
      <c r="BT669" s="316">
        <f t="shared" si="52"/>
        <v>5</v>
      </c>
      <c r="BU669" s="319">
        <f t="shared" si="53"/>
        <v>5.4945054945054944E-2</v>
      </c>
      <c r="BV669" s="320">
        <f t="shared" si="54"/>
        <v>1.6480362347182094E-2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2.95" customHeight="1">
      <c r="A670" s="22"/>
      <c r="B670" t="s">
        <v>17</v>
      </c>
      <c r="G670" s="1471"/>
      <c r="H670" s="1471"/>
      <c r="I670" s="1471"/>
      <c r="J670" s="1471"/>
      <c r="K670" s="1471"/>
      <c r="L670" s="1471"/>
      <c r="M670" s="1471"/>
      <c r="N670" s="1471"/>
      <c r="O670" s="1471"/>
      <c r="P670" s="1471"/>
      <c r="Q670" s="1471"/>
      <c r="R670" s="1471"/>
      <c r="T670" s="22"/>
      <c r="U670" t="s">
        <v>17</v>
      </c>
      <c r="Z670" s="1452"/>
      <c r="AA670" s="1452"/>
      <c r="AB670" s="1452"/>
      <c r="AC670" s="1452"/>
      <c r="AD670" s="1452"/>
      <c r="AE670" s="1452"/>
      <c r="AF670" s="1452"/>
      <c r="AG670" s="1452"/>
      <c r="AH670" s="1452"/>
      <c r="AI670" s="1452"/>
      <c r="AJ670" s="1452"/>
      <c r="AK670" s="1452"/>
      <c r="AZ670" s="3"/>
      <c r="BA670" s="118">
        <f t="shared" si="48"/>
        <v>4830</v>
      </c>
      <c r="BB670" s="3"/>
      <c r="BC670" s="3"/>
      <c r="BD670" s="3"/>
      <c r="BE670" s="3"/>
      <c r="BF670" s="218"/>
      <c r="BG670" s="316">
        <f t="shared" si="49"/>
        <v>6</v>
      </c>
      <c r="BH670" s="319">
        <f t="shared" si="50"/>
        <v>6.5934065934065936E-2</v>
      </c>
      <c r="BI670" s="320">
        <f t="shared" si="51"/>
        <v>1.9780219780219779E-2</v>
      </c>
      <c r="BJ670" s="3"/>
      <c r="BK670" s="3"/>
      <c r="BL670" s="3"/>
      <c r="BM670" s="3"/>
      <c r="BN670" s="3"/>
      <c r="BO670" s="3"/>
      <c r="BT670" s="316">
        <f t="shared" si="52"/>
        <v>6</v>
      </c>
      <c r="BU670" s="319">
        <f t="shared" si="53"/>
        <v>6.5934065934065936E-2</v>
      </c>
      <c r="BV670" s="320">
        <f t="shared" si="54"/>
        <v>1.9786526242767277E-2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1223.7142857142858</v>
      </c>
      <c r="DY670" s="1361"/>
      <c r="DZ670" s="1361"/>
      <c r="EA670" s="1361"/>
      <c r="EB670" s="1361"/>
      <c r="EC670" s="1361">
        <f>SUMIF(EC635:EG669,"&gt;0")</f>
        <v>1372.875</v>
      </c>
      <c r="ED670" s="1361"/>
      <c r="EE670" s="1361"/>
      <c r="EF670" s="1361"/>
      <c r="EG670" s="1361"/>
      <c r="EH670" s="1361">
        <f>SUMIF(EH635:EL669,"&gt;0")</f>
        <v>1658.3999999999999</v>
      </c>
      <c r="EI670" s="1361"/>
      <c r="EJ670" s="1361"/>
      <c r="EK670" s="1361"/>
      <c r="EL670" s="1361"/>
      <c r="EM670" s="1361">
        <f>SUMIF(EM635:EQ669,"&gt;0")</f>
        <v>1975.6666666666665</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2.95" customHeight="1">
      <c r="A671" s="22"/>
      <c r="B671" t="s">
        <v>317</v>
      </c>
      <c r="G671" s="1473"/>
      <c r="H671" s="1473"/>
      <c r="I671" s="1473"/>
      <c r="J671" s="1473"/>
      <c r="K671" s="1473"/>
      <c r="L671" s="1473"/>
      <c r="O671" s="33" t="s">
        <v>207</v>
      </c>
      <c r="P671" s="1384"/>
      <c r="Q671" s="1384"/>
      <c r="R671" s="1384"/>
      <c r="T671" s="22"/>
      <c r="U671" t="s">
        <v>317</v>
      </c>
      <c r="Z671" s="1473"/>
      <c r="AA671" s="1473"/>
      <c r="AB671" s="1473"/>
      <c r="AC671" s="1473"/>
      <c r="AD671" s="1473"/>
      <c r="AE671" s="1473"/>
      <c r="AH671" s="33" t="s">
        <v>207</v>
      </c>
      <c r="AI671" s="1384"/>
      <c r="AJ671" s="1384"/>
      <c r="AK671" s="1384"/>
      <c r="AZ671" s="3"/>
      <c r="BA671" s="118" t="str">
        <f t="shared" si="48"/>
        <v>N/A</v>
      </c>
      <c r="BB671" s="3"/>
      <c r="BC671" s="3"/>
      <c r="BD671" s="3"/>
      <c r="BE671" s="3"/>
      <c r="BF671" s="218"/>
      <c r="BG671" s="316">
        <f t="shared" si="49"/>
        <v>6</v>
      </c>
      <c r="BH671" s="319">
        <f t="shared" si="50"/>
        <v>6.5934065934065936E-2</v>
      </c>
      <c r="BI671" s="320">
        <f t="shared" si="51"/>
        <v>1.9780219780219779E-2</v>
      </c>
      <c r="BJ671" s="3"/>
      <c r="BK671" s="3"/>
      <c r="BL671" s="3"/>
      <c r="BM671" s="3"/>
      <c r="BN671" s="3"/>
      <c r="BO671" s="3"/>
      <c r="BT671" s="316">
        <f t="shared" si="52"/>
        <v>6</v>
      </c>
      <c r="BU671" s="319">
        <f t="shared" si="53"/>
        <v>6.5934065934065936E-2</v>
      </c>
      <c r="BV671" s="320">
        <f t="shared" si="54"/>
        <v>1.9780219780219779E-2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1"/>
      <c r="I672" s="1471"/>
      <c r="J672" s="1471"/>
      <c r="K672" s="1471"/>
      <c r="L672" s="1471"/>
      <c r="M672" s="1471"/>
      <c r="N672" s="1471"/>
      <c r="O672" s="1471"/>
      <c r="P672" s="1471"/>
      <c r="Q672" s="1471"/>
      <c r="R672" s="1471"/>
      <c r="T672" s="22"/>
      <c r="U672" t="s">
        <v>18</v>
      </c>
      <c r="AA672" s="1471"/>
      <c r="AB672" s="1471"/>
      <c r="AC672" s="1471"/>
      <c r="AD672" s="1471"/>
      <c r="AE672" s="1471"/>
      <c r="AF672" s="1471"/>
      <c r="AG672" s="1471"/>
      <c r="AH672" s="1471"/>
      <c r="AI672" s="1471"/>
      <c r="AJ672" s="1471"/>
      <c r="AK672" s="1471"/>
      <c r="AZ672" s="3"/>
      <c r="BA672" s="118">
        <f t="shared" si="48"/>
        <v>3252</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676</v>
      </c>
      <c r="O673" s="1380"/>
      <c r="T673" s="22"/>
      <c r="U673" t="s">
        <v>20</v>
      </c>
      <c r="AG673" s="1380" t="s">
        <v>676</v>
      </c>
      <c r="AH673" s="1380"/>
      <c r="AZ673" s="3"/>
      <c r="BA673" s="118">
        <f t="shared" si="48"/>
        <v>3484</v>
      </c>
      <c r="BB673" s="3"/>
      <c r="BC673" s="3"/>
      <c r="BD673" s="3"/>
      <c r="BE673" s="3"/>
      <c r="BF673" s="218"/>
      <c r="BG673" s="316">
        <f t="shared" si="49"/>
        <v>12</v>
      </c>
      <c r="BH673" s="319">
        <f t="shared" si="50"/>
        <v>0.13186813186813187</v>
      </c>
      <c r="BI673" s="320">
        <f t="shared" si="51"/>
        <v>5.2747252747252754E-2</v>
      </c>
      <c r="BJ673" s="3"/>
      <c r="BK673" s="3"/>
      <c r="BL673" s="3"/>
      <c r="BM673" s="3"/>
      <c r="BN673" s="3"/>
      <c r="BO673" s="3"/>
      <c r="BT673" s="316">
        <f t="shared" si="52"/>
        <v>12</v>
      </c>
      <c r="BU673" s="319">
        <f t="shared" si="53"/>
        <v>0.13186813186813187</v>
      </c>
      <c r="BV673" s="320">
        <f t="shared" si="54"/>
        <v>5.2755362718462352E-2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4182</v>
      </c>
      <c r="BB674" s="3"/>
      <c r="BC674" s="3"/>
      <c r="BD674" s="3"/>
      <c r="BE674" s="3"/>
      <c r="BF674" s="218"/>
      <c r="BG674" s="316">
        <f t="shared" si="49"/>
        <v>5</v>
      </c>
      <c r="BH674" s="319">
        <f t="shared" si="50"/>
        <v>5.4945054945054944E-2</v>
      </c>
      <c r="BI674" s="320">
        <f t="shared" si="51"/>
        <v>2.197802197802198E-2</v>
      </c>
      <c r="BJ674" s="3"/>
      <c r="BK674" s="3"/>
      <c r="BL674" s="3"/>
      <c r="BM674" s="3"/>
      <c r="BN674" s="3"/>
      <c r="BO674" s="3"/>
      <c r="BT674" s="316">
        <f t="shared" si="52"/>
        <v>5</v>
      </c>
      <c r="BU674" s="319">
        <f t="shared" si="53"/>
        <v>5.4945054945054944E-2</v>
      </c>
      <c r="BV674" s="320">
        <f t="shared" si="54"/>
        <v>2.1984330250690756E-2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08">
        <f>C635</f>
        <v>0</v>
      </c>
      <c r="H675" s="1508"/>
      <c r="I675" s="1508"/>
      <c r="J675" s="1508"/>
      <c r="K675" s="1508"/>
      <c r="L675" s="1508"/>
      <c r="M675" s="1508"/>
      <c r="N675" s="1508"/>
      <c r="O675" s="1508"/>
      <c r="P675" s="1508"/>
      <c r="Q675" s="1508"/>
      <c r="R675" s="1508"/>
      <c r="T675" s="55" t="s">
        <v>653</v>
      </c>
      <c r="U675" t="s">
        <v>470</v>
      </c>
      <c r="Z675" s="1508">
        <f>C636</f>
        <v>0</v>
      </c>
      <c r="AA675" s="1508"/>
      <c r="AB675" s="1508"/>
      <c r="AC675" s="1508"/>
      <c r="AD675" s="1508"/>
      <c r="AE675" s="1508"/>
      <c r="AF675" s="1508"/>
      <c r="AG675" s="1508"/>
      <c r="AH675" s="1508"/>
      <c r="AI675" s="1508"/>
      <c r="AJ675" s="1508"/>
      <c r="AK675" s="1508"/>
      <c r="AZ675" s="3"/>
      <c r="BA675" s="118">
        <f t="shared" si="48"/>
        <v>4830</v>
      </c>
      <c r="BB675" s="3"/>
      <c r="BC675" s="3"/>
      <c r="BD675" s="3"/>
      <c r="BE675" s="3"/>
      <c r="BF675" s="218"/>
      <c r="BG675" s="316">
        <f t="shared" si="49"/>
        <v>6</v>
      </c>
      <c r="BH675" s="319">
        <f t="shared" si="50"/>
        <v>6.5934065934065936E-2</v>
      </c>
      <c r="BI675" s="320">
        <f t="shared" si="51"/>
        <v>2.6373626373626377E-2</v>
      </c>
      <c r="BJ675" s="3"/>
      <c r="BK675" s="3"/>
      <c r="BL675" s="3"/>
      <c r="BM675" s="3"/>
      <c r="BN675" s="3"/>
      <c r="BO675" s="3"/>
      <c r="BT675" s="316">
        <f t="shared" si="52"/>
        <v>6</v>
      </c>
      <c r="BU675" s="319">
        <f t="shared" si="53"/>
        <v>6.5934065934065936E-2</v>
      </c>
      <c r="BV675" s="320">
        <f t="shared" si="54"/>
        <v>2.6376779604900119E-2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71"/>
      <c r="H676" s="1471"/>
      <c r="I676" s="1471"/>
      <c r="J676" s="1471"/>
      <c r="K676" s="1471"/>
      <c r="L676" s="1471"/>
      <c r="M676" s="1471"/>
      <c r="N676" s="1471"/>
      <c r="O676" s="1471"/>
      <c r="P676" s="1471"/>
      <c r="Q676" s="1471"/>
      <c r="R676" s="1471"/>
      <c r="T676" s="22"/>
      <c r="U676" t="s">
        <v>85</v>
      </c>
      <c r="Z676" s="1471"/>
      <c r="AA676" s="1471"/>
      <c r="AB676" s="1471"/>
      <c r="AC676" s="1471"/>
      <c r="AD676" s="1471"/>
      <c r="AE676" s="1471"/>
      <c r="AF676" s="1471"/>
      <c r="AG676" s="1471"/>
      <c r="AH676" s="1471"/>
      <c r="AI676" s="1471"/>
      <c r="AJ676" s="1471"/>
      <c r="AK676" s="1471"/>
      <c r="AZ676" s="3"/>
      <c r="BA676" s="118" t="str">
        <f t="shared" si="48"/>
        <v>N/A</v>
      </c>
      <c r="BB676" s="3"/>
      <c r="BC676" s="3"/>
      <c r="BD676" s="3"/>
      <c r="BE676" s="3"/>
      <c r="BF676" s="218"/>
      <c r="BG676" s="316">
        <f t="shared" si="49"/>
        <v>9</v>
      </c>
      <c r="BH676" s="319">
        <f t="shared" si="50"/>
        <v>9.8901098901098897E-2</v>
      </c>
      <c r="BI676" s="320">
        <f t="shared" si="51"/>
        <v>3.9560439560439559E-2</v>
      </c>
      <c r="BJ676" s="3"/>
      <c r="BK676" s="3"/>
      <c r="BL676" s="3"/>
      <c r="BM676" s="3"/>
      <c r="BN676" s="3"/>
      <c r="BO676" s="3"/>
      <c r="BT676" s="316">
        <f t="shared" si="52"/>
        <v>9</v>
      </c>
      <c r="BU676" s="319">
        <f t="shared" si="53"/>
        <v>9.8901098901098897E-2</v>
      </c>
      <c r="BV676" s="320">
        <f t="shared" si="54"/>
        <v>3.9560439560439559E-2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71"/>
      <c r="H677" s="1471"/>
      <c r="I677" s="1471"/>
      <c r="J677" s="1471"/>
      <c r="K677" s="1471"/>
      <c r="L677" s="1471"/>
      <c r="M677" s="1471"/>
      <c r="N677" s="1471"/>
      <c r="O677" s="1471"/>
      <c r="P677" s="1471"/>
      <c r="Q677" s="1471"/>
      <c r="R677" s="1471"/>
      <c r="T677" s="22"/>
      <c r="U677" t="s">
        <v>587</v>
      </c>
      <c r="Z677" s="1452"/>
      <c r="AA677" s="1452"/>
      <c r="AB677" s="1452"/>
      <c r="AC677" s="1452"/>
      <c r="AD677" s="1452"/>
      <c r="AE677" s="1452"/>
      <c r="AF677" s="1452"/>
      <c r="AG677" s="1452"/>
      <c r="AH677" s="1452"/>
      <c r="AI677" s="1452"/>
      <c r="AJ677" s="1452"/>
      <c r="AK677" s="1452"/>
      <c r="AZ677" s="3"/>
      <c r="BA677" s="118">
        <f t="shared" si="48"/>
        <v>3252</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71"/>
      <c r="H678" s="1471"/>
      <c r="I678" s="1471"/>
      <c r="J678" s="1471"/>
      <c r="K678" s="1471"/>
      <c r="L678" s="1471"/>
      <c r="M678" s="1471"/>
      <c r="N678" s="1471"/>
      <c r="O678" s="1471"/>
      <c r="P678" s="1471"/>
      <c r="Q678" s="1471"/>
      <c r="R678" s="1471"/>
      <c r="T678" s="22"/>
      <c r="U678" t="s">
        <v>17</v>
      </c>
      <c r="Z678" s="1452"/>
      <c r="AA678" s="1452"/>
      <c r="AB678" s="1452"/>
      <c r="AC678" s="1452"/>
      <c r="AD678" s="1452"/>
      <c r="AE678" s="1452"/>
      <c r="AF678" s="1452"/>
      <c r="AG678" s="1452"/>
      <c r="AH678" s="1452"/>
      <c r="AI678" s="1452"/>
      <c r="AJ678" s="1452"/>
      <c r="AK678" s="1452"/>
      <c r="AZ678" s="3"/>
      <c r="BA678" s="118">
        <f t="shared" si="48"/>
        <v>3484</v>
      </c>
      <c r="BB678" s="3"/>
      <c r="BC678" s="3"/>
      <c r="BD678" s="3"/>
      <c r="BE678" s="3"/>
      <c r="BF678" s="218"/>
      <c r="BG678" s="316">
        <f t="shared" si="49"/>
        <v>8</v>
      </c>
      <c r="BH678" s="319">
        <f t="shared" si="50"/>
        <v>8.7912087912087919E-2</v>
      </c>
      <c r="BI678" s="320">
        <f t="shared" si="51"/>
        <v>4.3956043956043959E-2</v>
      </c>
      <c r="BJ678" s="3"/>
      <c r="BK678" s="3"/>
      <c r="BL678" s="3"/>
      <c r="BM678" s="3"/>
      <c r="BN678" s="3"/>
      <c r="BO678" s="3"/>
      <c r="BT678" s="316">
        <f t="shared" si="52"/>
        <v>8</v>
      </c>
      <c r="BU678" s="319">
        <f t="shared" si="53"/>
        <v>8.7912087912087919E-2</v>
      </c>
      <c r="BV678" s="320">
        <f t="shared" si="54"/>
        <v>4.3956043956043959E-2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3"/>
      <c r="H679" s="1473"/>
      <c r="I679" s="1473"/>
      <c r="J679" s="1473"/>
      <c r="K679" s="1473"/>
      <c r="L679" s="1473"/>
      <c r="O679" s="33" t="s">
        <v>207</v>
      </c>
      <c r="P679" s="1384"/>
      <c r="Q679" s="1384"/>
      <c r="R679" s="1384"/>
      <c r="T679" s="22"/>
      <c r="U679" t="s">
        <v>317</v>
      </c>
      <c r="Z679" s="1473"/>
      <c r="AA679" s="1473"/>
      <c r="AB679" s="1473"/>
      <c r="AC679" s="1473"/>
      <c r="AD679" s="1473"/>
      <c r="AE679" s="1473"/>
      <c r="AH679" s="33" t="s">
        <v>207</v>
      </c>
      <c r="AI679" s="1384"/>
      <c r="AJ679" s="1384"/>
      <c r="AK679" s="1384"/>
      <c r="AZ679" s="3"/>
      <c r="BA679" s="118">
        <f t="shared" si="48"/>
        <v>4182</v>
      </c>
      <c r="BB679" s="3"/>
      <c r="BC679" s="3"/>
      <c r="BD679" s="3"/>
      <c r="BE679" s="3"/>
      <c r="BF679" s="218"/>
      <c r="BG679" s="316">
        <f t="shared" si="49"/>
        <v>3</v>
      </c>
      <c r="BH679" s="319">
        <f t="shared" si="50"/>
        <v>3.2967032967032968E-2</v>
      </c>
      <c r="BI679" s="320">
        <f t="shared" si="51"/>
        <v>1.6483516483516484E-2</v>
      </c>
      <c r="BJ679" s="3"/>
      <c r="BK679" s="3"/>
      <c r="BL679" s="3"/>
      <c r="BM679" s="3"/>
      <c r="BN679" s="3"/>
      <c r="BO679" s="3"/>
      <c r="BT679" s="316">
        <f t="shared" si="52"/>
        <v>3</v>
      </c>
      <c r="BU679" s="319">
        <f t="shared" si="53"/>
        <v>3.2967032967032968E-2</v>
      </c>
      <c r="BV679" s="320">
        <f t="shared" si="54"/>
        <v>1.6483516483516484E-2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71"/>
      <c r="I680" s="1471"/>
      <c r="J680" s="1471"/>
      <c r="K680" s="1471"/>
      <c r="L680" s="1471"/>
      <c r="M680" s="1471"/>
      <c r="N680" s="1471"/>
      <c r="O680" s="1471"/>
      <c r="P680" s="1471"/>
      <c r="Q680" s="1471"/>
      <c r="R680" s="1471"/>
      <c r="T680" s="22"/>
      <c r="U680" t="s">
        <v>18</v>
      </c>
      <c r="AA680" s="1471"/>
      <c r="AB680" s="1471"/>
      <c r="AC680" s="1471"/>
      <c r="AD680" s="1471"/>
      <c r="AE680" s="1471"/>
      <c r="AF680" s="1471"/>
      <c r="AG680" s="1471"/>
      <c r="AH680" s="1471"/>
      <c r="AI680" s="1471"/>
      <c r="AJ680" s="1471"/>
      <c r="AK680" s="1471"/>
      <c r="AZ680" s="3"/>
      <c r="BA680" s="118">
        <f t="shared" si="48"/>
        <v>4830</v>
      </c>
      <c r="BB680" s="3"/>
      <c r="BC680" s="3"/>
      <c r="BD680" s="3"/>
      <c r="BE680" s="3"/>
      <c r="BF680" s="218"/>
      <c r="BG680" s="316">
        <f t="shared" si="49"/>
        <v>4</v>
      </c>
      <c r="BH680" s="319">
        <f t="shared" si="50"/>
        <v>4.3956043956043959E-2</v>
      </c>
      <c r="BI680" s="320">
        <f t="shared" si="51"/>
        <v>2.197802197802198E-2</v>
      </c>
      <c r="BJ680" s="3"/>
      <c r="BK680" s="3"/>
      <c r="BL680" s="3"/>
      <c r="BM680" s="3"/>
      <c r="BN680" s="3"/>
      <c r="BO680" s="3"/>
      <c r="BT680" s="316">
        <f t="shared" si="52"/>
        <v>4</v>
      </c>
      <c r="BU680" s="319">
        <f t="shared" si="53"/>
        <v>4.3956043956043959E-2</v>
      </c>
      <c r="BV680" s="320">
        <f t="shared" si="54"/>
        <v>2.197802197802198E-2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676</v>
      </c>
      <c r="O681" s="1380"/>
      <c r="T681" s="22"/>
      <c r="U681" t="s">
        <v>20</v>
      </c>
      <c r="AG681" s="1380" t="s">
        <v>676</v>
      </c>
      <c r="AH681" s="1380"/>
      <c r="AZ681" s="3"/>
      <c r="BA681" s="118" t="str">
        <f t="shared" si="48"/>
        <v>N/A</v>
      </c>
      <c r="BB681" s="3"/>
      <c r="BC681" s="3"/>
      <c r="BD681" s="3"/>
      <c r="BE681" s="3"/>
      <c r="BF681" s="218"/>
      <c r="BG681" s="316">
        <f t="shared" si="49"/>
        <v>6</v>
      </c>
      <c r="BH681" s="319">
        <f t="shared" si="50"/>
        <v>6.5934065934065936E-2</v>
      </c>
      <c r="BI681" s="320">
        <f t="shared" si="51"/>
        <v>3.2967032967032968E-2</v>
      </c>
      <c r="BJ681" s="3"/>
      <c r="BK681" s="3"/>
      <c r="BL681" s="3"/>
      <c r="BM681" s="3"/>
      <c r="BN681" s="3"/>
      <c r="BO681" s="3"/>
      <c r="BT681" s="316">
        <f t="shared" si="52"/>
        <v>6</v>
      </c>
      <c r="BU681" s="319">
        <f t="shared" si="53"/>
        <v>6.5934065934065936E-2</v>
      </c>
      <c r="BV681" s="320">
        <f t="shared" si="54"/>
        <v>3.2967032967032968E-2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3484</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08">
        <f>C637</f>
        <v>0</v>
      </c>
      <c r="H683" s="1508"/>
      <c r="I683" s="1508"/>
      <c r="J683" s="1508"/>
      <c r="K683" s="1508"/>
      <c r="L683" s="1508"/>
      <c r="M683" s="1508"/>
      <c r="N683" s="1508"/>
      <c r="O683" s="1508"/>
      <c r="P683" s="1508"/>
      <c r="Q683" s="1508"/>
      <c r="R683" s="1508"/>
      <c r="T683" s="55" t="s">
        <v>364</v>
      </c>
      <c r="U683" t="s">
        <v>470</v>
      </c>
      <c r="Z683" s="1508">
        <f>C638</f>
        <v>0</v>
      </c>
      <c r="AA683" s="1508"/>
      <c r="AB683" s="1508"/>
      <c r="AC683" s="1508"/>
      <c r="AD683" s="1508"/>
      <c r="AE683" s="1508"/>
      <c r="AF683" s="1508"/>
      <c r="AG683" s="1508"/>
      <c r="AH683" s="1508"/>
      <c r="AI683" s="1508"/>
      <c r="AJ683" s="1508"/>
      <c r="AK683" s="1508"/>
      <c r="AZ683" s="3"/>
      <c r="BA683" s="118">
        <f t="shared" si="48"/>
        <v>4182</v>
      </c>
      <c r="BB683" s="3"/>
      <c r="BC683" s="3"/>
      <c r="BD683" s="3"/>
      <c r="BE683" s="3"/>
      <c r="BF683" s="218"/>
      <c r="BG683" s="316">
        <f t="shared" si="49"/>
        <v>3</v>
      </c>
      <c r="BH683" s="319">
        <f t="shared" si="50"/>
        <v>3.2967032967032968E-2</v>
      </c>
      <c r="BI683" s="320">
        <f t="shared" si="51"/>
        <v>1.9780219780219779E-2</v>
      </c>
      <c r="BJ683" s="3"/>
      <c r="BK683" s="3"/>
      <c r="BL683" s="3"/>
      <c r="BM683" s="3"/>
      <c r="BN683" s="3"/>
      <c r="BO683" s="3"/>
      <c r="BT683" s="316">
        <f t="shared" si="52"/>
        <v>3</v>
      </c>
      <c r="BU683" s="319">
        <f t="shared" si="53"/>
        <v>3.2967032967032968E-2</v>
      </c>
      <c r="BV683" s="320">
        <f t="shared" si="54"/>
        <v>1.9785897225621681E-2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71"/>
      <c r="H684" s="1471"/>
      <c r="I684" s="1471"/>
      <c r="J684" s="1471"/>
      <c r="K684" s="1471"/>
      <c r="L684" s="1471"/>
      <c r="M684" s="1471"/>
      <c r="N684" s="1471"/>
      <c r="O684" s="1471"/>
      <c r="P684" s="1471"/>
      <c r="Q684" s="1471"/>
      <c r="R684" s="1471"/>
      <c r="T684" s="22"/>
      <c r="U684" t="s">
        <v>85</v>
      </c>
      <c r="Z684" s="1471"/>
      <c r="AA684" s="1471"/>
      <c r="AB684" s="1471"/>
      <c r="AC684" s="1471"/>
      <c r="AD684" s="1471"/>
      <c r="AE684" s="1471"/>
      <c r="AF684" s="1471"/>
      <c r="AG684" s="1471"/>
      <c r="AH684" s="1471"/>
      <c r="AI684" s="1471"/>
      <c r="AJ684" s="1471"/>
      <c r="AK684" s="1471"/>
      <c r="AZ684" s="3"/>
      <c r="BA684" s="118">
        <f t="shared" si="48"/>
        <v>4830</v>
      </c>
      <c r="BB684" s="3"/>
      <c r="BC684" s="3"/>
      <c r="BD684" s="3"/>
      <c r="BE684" s="3"/>
      <c r="BF684" s="218"/>
      <c r="BG684" s="316">
        <f t="shared" si="49"/>
        <v>4</v>
      </c>
      <c r="BH684" s="319">
        <f t="shared" si="50"/>
        <v>4.3956043956043959E-2</v>
      </c>
      <c r="BI684" s="320">
        <f t="shared" si="51"/>
        <v>2.6373626373626374E-2</v>
      </c>
      <c r="BJ684" s="3"/>
      <c r="BK684" s="3"/>
      <c r="BL684" s="3"/>
      <c r="BM684" s="3"/>
      <c r="BN684" s="3"/>
      <c r="BO684" s="3"/>
      <c r="BT684" s="316">
        <f t="shared" si="52"/>
        <v>4</v>
      </c>
      <c r="BU684" s="319">
        <f t="shared" si="53"/>
        <v>4.3956043956043959E-2</v>
      </c>
      <c r="BV684" s="320">
        <f t="shared" si="54"/>
        <v>2.6371524219443877E-2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71"/>
      <c r="H685" s="1471"/>
      <c r="I685" s="1471"/>
      <c r="J685" s="1471"/>
      <c r="K685" s="1471"/>
      <c r="L685" s="1471"/>
      <c r="M685" s="1471"/>
      <c r="N685" s="1471"/>
      <c r="O685" s="1471"/>
      <c r="P685" s="1471"/>
      <c r="Q685" s="1471"/>
      <c r="R685" s="1471"/>
      <c r="U685" t="s">
        <v>587</v>
      </c>
      <c r="Z685" s="1452"/>
      <c r="AA685" s="1452"/>
      <c r="AB685" s="1452"/>
      <c r="AC685" s="1452"/>
      <c r="AD685" s="1452"/>
      <c r="AE685" s="1452"/>
      <c r="AF685" s="1452"/>
      <c r="AG685" s="1452"/>
      <c r="AH685" s="1452"/>
      <c r="AI685" s="1452"/>
      <c r="AJ685" s="1452"/>
      <c r="AK685" s="1452"/>
      <c r="AZ685" s="3"/>
      <c r="BA685" s="118" t="str">
        <f t="shared" si="48"/>
        <v>N/A</v>
      </c>
      <c r="BB685" s="3"/>
      <c r="BC685" s="3"/>
      <c r="BD685" s="3"/>
      <c r="BE685" s="3"/>
      <c r="BF685" s="218"/>
      <c r="BG685" s="316">
        <f t="shared" si="49"/>
        <v>6</v>
      </c>
      <c r="BH685" s="319">
        <f t="shared" si="50"/>
        <v>6.5934065934065936E-2</v>
      </c>
      <c r="BI685" s="320">
        <f t="shared" si="51"/>
        <v>3.9560439560439559E-2</v>
      </c>
      <c r="BJ685" s="3"/>
      <c r="BK685" s="3"/>
      <c r="BL685" s="3"/>
      <c r="BM685" s="3"/>
      <c r="BN685" s="3"/>
      <c r="BO685" s="3"/>
      <c r="BT685" s="316">
        <f t="shared" si="52"/>
        <v>6</v>
      </c>
      <c r="BU685" s="319">
        <f t="shared" si="53"/>
        <v>6.5934065934065936E-2</v>
      </c>
      <c r="BV685" s="320">
        <f t="shared" si="54"/>
        <v>3.9560439560439559E-2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71"/>
      <c r="H686" s="1471"/>
      <c r="I686" s="1471"/>
      <c r="J686" s="1471"/>
      <c r="K686" s="1471"/>
      <c r="L686" s="1471"/>
      <c r="M686" s="1471"/>
      <c r="N686" s="1471"/>
      <c r="O686" s="1471"/>
      <c r="P686" s="1471"/>
      <c r="Q686" s="1471"/>
      <c r="R686" s="1471"/>
      <c r="U686" t="s">
        <v>17</v>
      </c>
      <c r="Z686" s="1452"/>
      <c r="AA686" s="1452"/>
      <c r="AB686" s="1452"/>
      <c r="AC686" s="1452"/>
      <c r="AD686" s="1452"/>
      <c r="AE686" s="1452"/>
      <c r="AF686" s="1452"/>
      <c r="AG686" s="1452"/>
      <c r="AH686" s="1452"/>
      <c r="AI686" s="1452"/>
      <c r="AJ686" s="1452"/>
      <c r="AK686" s="145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3"/>
      <c r="H687" s="1473"/>
      <c r="I687" s="1473"/>
      <c r="J687" s="1473"/>
      <c r="K687" s="1473"/>
      <c r="L687" s="1473"/>
      <c r="O687" s="33" t="s">
        <v>207</v>
      </c>
      <c r="P687" s="1384"/>
      <c r="Q687" s="1384"/>
      <c r="R687" s="1384"/>
      <c r="U687" t="s">
        <v>317</v>
      </c>
      <c r="Z687" s="1473"/>
      <c r="AA687" s="1473"/>
      <c r="AB687" s="1473"/>
      <c r="AC687" s="1473"/>
      <c r="AD687" s="1473"/>
      <c r="AE687" s="1473"/>
      <c r="AH687" s="33" t="s">
        <v>207</v>
      </c>
      <c r="AI687" s="1384"/>
      <c r="AJ687" s="1384"/>
      <c r="AK687" s="138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71"/>
      <c r="I688" s="1471"/>
      <c r="J688" s="1471"/>
      <c r="K688" s="1471"/>
      <c r="L688" s="1471"/>
      <c r="M688" s="1471"/>
      <c r="N688" s="1471"/>
      <c r="O688" s="1471"/>
      <c r="P688" s="1471"/>
      <c r="Q688" s="1471"/>
      <c r="R688" s="1471"/>
      <c r="U688" t="s">
        <v>18</v>
      </c>
      <c r="AA688" s="1471"/>
      <c r="AB688" s="1471"/>
      <c r="AC688" s="1471"/>
      <c r="AD688" s="1471"/>
      <c r="AE688" s="1471"/>
      <c r="AF688" s="1471"/>
      <c r="AG688" s="1471"/>
      <c r="AH688" s="1471"/>
      <c r="AI688" s="1471"/>
      <c r="AJ688" s="1471"/>
      <c r="AK688" s="147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676</v>
      </c>
      <c r="O689" s="1380"/>
      <c r="U689" t="s">
        <v>20</v>
      </c>
      <c r="AG689" s="1380" t="s">
        <v>676</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552</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676</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40"/>
      <c r="AF695" s="1540"/>
      <c r="AG695" s="1540"/>
      <c r="AH695" s="1540"/>
      <c r="AI695" s="154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385"/>
      <c r="AF696" s="1385"/>
      <c r="AG696" s="1385"/>
      <c r="AH696" s="1385"/>
      <c r="AI696" s="138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40">
        <v>45627</v>
      </c>
      <c r="AF698" s="1540"/>
      <c r="AG698" s="1540"/>
      <c r="AH698" s="1540"/>
      <c r="AI698" s="154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4">
        <v>0.52</v>
      </c>
      <c r="AF699" s="1584"/>
      <c r="AG699" s="1584"/>
      <c r="AH699" s="1584"/>
      <c r="AI699" s="158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8" t="str">
        <f>H335</f>
        <v>Mayor's Office of Housing and Community Development</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676</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71"/>
      <c r="X703" s="1471"/>
      <c r="Y703" s="1471"/>
      <c r="Z703" s="1471"/>
      <c r="AA703" s="1471"/>
      <c r="AB703" s="1471"/>
      <c r="AC703" s="1471"/>
      <c r="AD703" s="1471"/>
      <c r="AE703" s="1471"/>
      <c r="AF703" s="1471"/>
      <c r="AG703" s="1471"/>
      <c r="AH703" s="1471"/>
      <c r="AI703" s="1471"/>
      <c r="AJ703" s="1471"/>
      <c r="AK703" s="1471"/>
      <c r="AZ703" s="34"/>
      <c r="BA703" s="34"/>
      <c r="BB703" s="34"/>
      <c r="BC703" s="34"/>
      <c r="BD703" s="34"/>
      <c r="BE703" s="3"/>
      <c r="BF703" s="312" t="s">
        <v>913</v>
      </c>
      <c r="BG703" s="321">
        <f>SUM(BG668:BG702)</f>
        <v>91</v>
      </c>
      <c r="BH703" s="322">
        <f>SUM(BH668:BH702)</f>
        <v>0.99999999999999989</v>
      </c>
      <c r="BI703" s="322">
        <f>SUM(BI668:BI702)</f>
        <v>0.42417582417582411</v>
      </c>
      <c r="BN703" s="3"/>
      <c r="BO703" s="3"/>
      <c r="BT703" s="893">
        <f>SUM(BT668:BT702)</f>
        <v>91</v>
      </c>
      <c r="BU703" s="322">
        <f>SUM(BU668:BU702)</f>
        <v>0.99999999999999989</v>
      </c>
      <c r="BV703" s="322">
        <f>SUM(BV668:BV702)</f>
        <v>0.42418390332598965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1"/>
      <c r="K704" s="1471"/>
      <c r="L704" s="1471"/>
      <c r="M704" s="1471"/>
      <c r="N704" s="1471"/>
      <c r="O704" s="1471"/>
      <c r="P704" s="1471"/>
      <c r="Q704" s="1471"/>
      <c r="R704" s="1471"/>
      <c r="S704" s="1471"/>
      <c r="T704" s="1471"/>
      <c r="U704" s="1471"/>
      <c r="V704" s="1471"/>
      <c r="W704" s="1471"/>
      <c r="X704" s="147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3"/>
      <c r="K705" s="1473"/>
      <c r="L705" s="1473"/>
      <c r="M705" s="1473"/>
      <c r="N705" s="1473"/>
      <c r="O705" s="1473"/>
      <c r="P705" s="4" t="s">
        <v>207</v>
      </c>
      <c r="Q705" s="4"/>
      <c r="R705" s="1384"/>
      <c r="S705" s="1384"/>
      <c r="T705" s="138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71" t="s">
        <v>308</v>
      </c>
      <c r="X706" s="1471"/>
      <c r="Y706" s="1471"/>
      <c r="Z706" s="1471"/>
      <c r="AA706" s="1471"/>
      <c r="AB706" s="1471"/>
      <c r="AC706" s="1471"/>
      <c r="AD706" s="1471"/>
      <c r="AE706" s="1471"/>
      <c r="AF706" s="1471"/>
      <c r="AG706" s="1471"/>
      <c r="AH706" s="1471"/>
      <c r="AI706" s="1471"/>
      <c r="AJ706" s="1471"/>
      <c r="AK706" s="147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71" t="s">
        <v>335</v>
      </c>
      <c r="F707" s="1471"/>
      <c r="G707" s="1471"/>
      <c r="H707" s="1471"/>
      <c r="I707" s="1471"/>
      <c r="J707" s="1471"/>
      <c r="K707" s="1471"/>
      <c r="L707" s="1471"/>
      <c r="M707" s="1471"/>
      <c r="N707" s="1471"/>
      <c r="O707" s="1471"/>
      <c r="P707" s="1471"/>
      <c r="Q707" s="1471"/>
      <c r="R707" s="1471"/>
      <c r="S707" s="1471"/>
      <c r="T707" s="1471"/>
      <c r="U707" s="1471"/>
      <c r="V707" s="1471"/>
      <c r="W707" s="1471"/>
      <c r="X707" s="1471"/>
      <c r="Y707" s="1471"/>
      <c r="Z707" s="1471"/>
      <c r="AA707" s="1471"/>
      <c r="AB707" s="1471"/>
      <c r="AC707" s="1471"/>
      <c r="AD707" s="1471"/>
      <c r="AE707" s="1471"/>
      <c r="AF707" s="1471"/>
      <c r="AG707" s="1471"/>
      <c r="AH707" s="1471"/>
      <c r="AI707" s="1471"/>
      <c r="AJ707" s="1471"/>
      <c r="AK707" s="147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13" t="s">
        <v>390</v>
      </c>
      <c r="C714" s="1369"/>
      <c r="D714" s="1369"/>
      <c r="E714" s="1369"/>
      <c r="F714" s="1370"/>
      <c r="G714" s="1513" t="s">
        <v>286</v>
      </c>
      <c r="H714" s="1369"/>
      <c r="I714" s="1369"/>
      <c r="J714" s="1370"/>
      <c r="K714" s="1411" t="s">
        <v>1866</v>
      </c>
      <c r="L714" s="1412"/>
      <c r="M714" s="1412"/>
      <c r="N714" s="1413"/>
      <c r="O714" s="1513" t="s">
        <v>454</v>
      </c>
      <c r="P714" s="1369"/>
      <c r="Q714" s="1369"/>
      <c r="R714" s="1369"/>
      <c r="S714" s="1370"/>
      <c r="T714" s="1368" t="s">
        <v>2250</v>
      </c>
      <c r="U714" s="1369"/>
      <c r="V714" s="1369"/>
      <c r="W714" s="1370"/>
      <c r="X714" s="1368" t="s">
        <v>2252</v>
      </c>
      <c r="Y714" s="1369"/>
      <c r="Z714" s="1369"/>
      <c r="AA714" s="1369"/>
      <c r="AB714" s="1370"/>
      <c r="AC714" s="1368" t="s">
        <v>2251</v>
      </c>
      <c r="AD714" s="1369"/>
      <c r="AE714" s="1369"/>
      <c r="AF714" s="1369"/>
      <c r="AG714" s="1370"/>
      <c r="AH714" s="1368" t="s">
        <v>2253</v>
      </c>
      <c r="AI714" s="1369"/>
      <c r="AJ714" s="1370"/>
      <c r="AK714" s="1368" t="s">
        <v>2287</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4"/>
      <c r="L715" s="1415"/>
      <c r="M715" s="1415"/>
      <c r="N715" s="1416"/>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4"/>
      <c r="L716" s="1415"/>
      <c r="M716" s="1415"/>
      <c r="N716" s="1416"/>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4"/>
      <c r="L717" s="1415"/>
      <c r="M717" s="1415"/>
      <c r="N717" s="1416"/>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5">
        <v>8</v>
      </c>
      <c r="H718" s="1366"/>
      <c r="I718" s="1366"/>
      <c r="J718" s="1367"/>
      <c r="K718" s="1381">
        <v>319</v>
      </c>
      <c r="L718" s="1382"/>
      <c r="M718" s="1382"/>
      <c r="N718" s="1383"/>
      <c r="O718" s="1377">
        <v>898</v>
      </c>
      <c r="P718" s="1378"/>
      <c r="Q718" s="1378"/>
      <c r="R718" s="1378"/>
      <c r="S718" s="1379"/>
      <c r="T718" s="1377">
        <v>77</v>
      </c>
      <c r="U718" s="1378"/>
      <c r="V718" s="1378"/>
      <c r="W718" s="1379"/>
      <c r="X718" s="1358">
        <f t="shared" ref="X718:X741" si="59">O718+T718</f>
        <v>975</v>
      </c>
      <c r="Y718" s="1359"/>
      <c r="Z718" s="1359"/>
      <c r="AA718" s="1359"/>
      <c r="AB718" s="1360"/>
      <c r="AC718" s="1613">
        <v>0.3</v>
      </c>
      <c r="AD718" s="1614"/>
      <c r="AE718" s="1614"/>
      <c r="AF718" s="1614"/>
      <c r="AG718" s="1615"/>
      <c r="AH718" s="1362">
        <f t="shared" ref="AH718:AH751" si="60">IF($AC718&gt;0,($X718/$BA667), "")</f>
        <v>0.29981549815498154</v>
      </c>
      <c r="AI718" s="1363"/>
      <c r="AJ718" s="1364"/>
      <c r="AK718" s="1355" t="s">
        <v>598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5">
        <v>5</v>
      </c>
      <c r="H719" s="1366"/>
      <c r="I719" s="1366"/>
      <c r="J719" s="1367"/>
      <c r="K719" s="1381">
        <v>513</v>
      </c>
      <c r="L719" s="1382"/>
      <c r="M719" s="1382"/>
      <c r="N719" s="1383"/>
      <c r="O719" s="1377">
        <v>937</v>
      </c>
      <c r="P719" s="1378"/>
      <c r="Q719" s="1378"/>
      <c r="R719" s="1378"/>
      <c r="S719" s="1379"/>
      <c r="T719" s="1377">
        <v>108</v>
      </c>
      <c r="U719" s="1378"/>
      <c r="V719" s="1378"/>
      <c r="W719" s="1379"/>
      <c r="X719" s="1358">
        <f t="shared" si="59"/>
        <v>1045</v>
      </c>
      <c r="Y719" s="1359"/>
      <c r="Z719" s="1359"/>
      <c r="AA719" s="1359"/>
      <c r="AB719" s="1360"/>
      <c r="AC719" s="1613">
        <v>0.3</v>
      </c>
      <c r="AD719" s="1614"/>
      <c r="AE719" s="1614"/>
      <c r="AF719" s="1614"/>
      <c r="AG719" s="1615"/>
      <c r="AH719" s="1362">
        <f t="shared" si="60"/>
        <v>0.2999425947187141</v>
      </c>
      <c r="AI719" s="1363"/>
      <c r="AJ719" s="1364"/>
      <c r="AK719" s="1355" t="s">
        <v>598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163</v>
      </c>
      <c r="C720" s="1356"/>
      <c r="D720" s="1356"/>
      <c r="E720" s="1356"/>
      <c r="F720" s="1357"/>
      <c r="G720" s="1365">
        <v>6</v>
      </c>
      <c r="H720" s="1366"/>
      <c r="I720" s="1366"/>
      <c r="J720" s="1367"/>
      <c r="K720" s="1381">
        <v>744</v>
      </c>
      <c r="L720" s="1382"/>
      <c r="M720" s="1382"/>
      <c r="N720" s="1383"/>
      <c r="O720" s="1377">
        <v>1115</v>
      </c>
      <c r="P720" s="1378"/>
      <c r="Q720" s="1378"/>
      <c r="R720" s="1378"/>
      <c r="S720" s="1379"/>
      <c r="T720" s="1377">
        <v>140</v>
      </c>
      <c r="U720" s="1378"/>
      <c r="V720" s="1378"/>
      <c r="W720" s="1379"/>
      <c r="X720" s="1358">
        <f t="shared" si="59"/>
        <v>1255</v>
      </c>
      <c r="Y720" s="1359"/>
      <c r="Z720" s="1359"/>
      <c r="AA720" s="1359"/>
      <c r="AB720" s="1360"/>
      <c r="AC720" s="1613">
        <v>0.3</v>
      </c>
      <c r="AD720" s="1614"/>
      <c r="AE720" s="1614"/>
      <c r="AF720" s="1614"/>
      <c r="AG720" s="1615"/>
      <c r="AH720" s="1362">
        <f t="shared" si="60"/>
        <v>0.3000956480153037</v>
      </c>
      <c r="AI720" s="1363"/>
      <c r="AJ720" s="1364"/>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164</v>
      </c>
      <c r="C721" s="1356"/>
      <c r="D721" s="1356"/>
      <c r="E721" s="1356"/>
      <c r="F721" s="1357"/>
      <c r="G721" s="1365">
        <v>6</v>
      </c>
      <c r="H721" s="1366"/>
      <c r="I721" s="1366"/>
      <c r="J721" s="1367"/>
      <c r="K721" s="1381">
        <v>978</v>
      </c>
      <c r="L721" s="1382"/>
      <c r="M721" s="1382"/>
      <c r="N721" s="1383"/>
      <c r="O721" s="1377">
        <v>1278</v>
      </c>
      <c r="P721" s="1378"/>
      <c r="Q721" s="1378"/>
      <c r="R721" s="1378"/>
      <c r="S721" s="1379"/>
      <c r="T721" s="1377">
        <v>171</v>
      </c>
      <c r="U721" s="1378"/>
      <c r="V721" s="1378"/>
      <c r="W721" s="1379"/>
      <c r="X721" s="1358">
        <f t="shared" si="59"/>
        <v>1449</v>
      </c>
      <c r="Y721" s="1359"/>
      <c r="Z721" s="1359"/>
      <c r="AA721" s="1359"/>
      <c r="AB721" s="1360"/>
      <c r="AC721" s="1613">
        <v>0.3</v>
      </c>
      <c r="AD721" s="1614"/>
      <c r="AE721" s="1614"/>
      <c r="AF721" s="1614"/>
      <c r="AG721" s="1615"/>
      <c r="AH721" s="1362">
        <f t="shared" si="60"/>
        <v>0.3</v>
      </c>
      <c r="AI721" s="1363"/>
      <c r="AJ721" s="1364"/>
      <c r="AK721" s="1355" t="s">
        <v>598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c r="C722" s="1356"/>
      <c r="D722" s="1356"/>
      <c r="E722" s="1356"/>
      <c r="F722" s="1357"/>
      <c r="G722" s="1365"/>
      <c r="H722" s="1366"/>
      <c r="I722" s="1366"/>
      <c r="J722" s="1367"/>
      <c r="K722" s="1381"/>
      <c r="L722" s="1382"/>
      <c r="M722" s="1382"/>
      <c r="N722" s="1383"/>
      <c r="O722" s="1377"/>
      <c r="P722" s="1378"/>
      <c r="Q722" s="1378"/>
      <c r="R722" s="1378"/>
      <c r="S722" s="1379"/>
      <c r="T722" s="1377"/>
      <c r="U722" s="1378"/>
      <c r="V722" s="1378"/>
      <c r="W722" s="1379"/>
      <c r="X722" s="1358">
        <f t="shared" si="59"/>
        <v>0</v>
      </c>
      <c r="Y722" s="1359"/>
      <c r="Z722" s="1359"/>
      <c r="AA722" s="1359"/>
      <c r="AB722" s="1360"/>
      <c r="AC722" s="1613"/>
      <c r="AD722" s="1614"/>
      <c r="AE722" s="1614"/>
      <c r="AF722" s="1614"/>
      <c r="AG722" s="1615"/>
      <c r="AH722" s="1362" t="str">
        <f t="shared" si="60"/>
        <v/>
      </c>
      <c r="AI722" s="1363"/>
      <c r="AJ722" s="1364"/>
      <c r="AK722" s="1355" t="s">
        <v>598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325</v>
      </c>
      <c r="C723" s="1356"/>
      <c r="D723" s="1356"/>
      <c r="E723" s="1356"/>
      <c r="F723" s="1357"/>
      <c r="G723" s="1365">
        <v>12</v>
      </c>
      <c r="H723" s="1366"/>
      <c r="I723" s="1366"/>
      <c r="J723" s="1367"/>
      <c r="K723" s="1381">
        <v>319</v>
      </c>
      <c r="L723" s="1382"/>
      <c r="M723" s="1382"/>
      <c r="N723" s="1383"/>
      <c r="O723" s="1377">
        <v>1224</v>
      </c>
      <c r="P723" s="1378"/>
      <c r="Q723" s="1378"/>
      <c r="R723" s="1378"/>
      <c r="S723" s="1379"/>
      <c r="T723" s="1377">
        <v>77</v>
      </c>
      <c r="U723" s="1378"/>
      <c r="V723" s="1378"/>
      <c r="W723" s="1379"/>
      <c r="X723" s="1358">
        <f t="shared" si="59"/>
        <v>1301</v>
      </c>
      <c r="Y723" s="1359"/>
      <c r="Z723" s="1359"/>
      <c r="AA723" s="1359"/>
      <c r="AB723" s="1360"/>
      <c r="AC723" s="1613">
        <v>0.4</v>
      </c>
      <c r="AD723" s="1614"/>
      <c r="AE723" s="1614"/>
      <c r="AF723" s="1614"/>
      <c r="AG723" s="1615"/>
      <c r="AH723" s="1362">
        <f t="shared" si="60"/>
        <v>0.40006150061500617</v>
      </c>
      <c r="AI723" s="1363"/>
      <c r="AJ723" s="1364"/>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5">
        <v>5</v>
      </c>
      <c r="H724" s="1366"/>
      <c r="I724" s="1366"/>
      <c r="J724" s="1367"/>
      <c r="K724" s="1381">
        <v>513</v>
      </c>
      <c r="L724" s="1382"/>
      <c r="M724" s="1382"/>
      <c r="N724" s="1383"/>
      <c r="O724" s="1377">
        <v>1286</v>
      </c>
      <c r="P724" s="1378"/>
      <c r="Q724" s="1378"/>
      <c r="R724" s="1378"/>
      <c r="S724" s="1379"/>
      <c r="T724" s="1377">
        <v>108</v>
      </c>
      <c r="U724" s="1378"/>
      <c r="V724" s="1378"/>
      <c r="W724" s="1379"/>
      <c r="X724" s="1358">
        <f t="shared" si="59"/>
        <v>1394</v>
      </c>
      <c r="Y724" s="1359"/>
      <c r="Z724" s="1359"/>
      <c r="AA724" s="1359"/>
      <c r="AB724" s="1360"/>
      <c r="AC724" s="1613">
        <v>0.4</v>
      </c>
      <c r="AD724" s="1614"/>
      <c r="AE724" s="1614"/>
      <c r="AF724" s="1614"/>
      <c r="AG724" s="1615"/>
      <c r="AH724" s="1362">
        <f t="shared" si="60"/>
        <v>0.40011481056257175</v>
      </c>
      <c r="AI724" s="1363"/>
      <c r="AJ724" s="1364"/>
      <c r="AK724" s="1355" t="s">
        <v>598</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5">
        <v>6</v>
      </c>
      <c r="H725" s="1366"/>
      <c r="I725" s="1366"/>
      <c r="J725" s="1367"/>
      <c r="K725" s="1381">
        <v>744</v>
      </c>
      <c r="L725" s="1382"/>
      <c r="M725" s="1382"/>
      <c r="N725" s="1383"/>
      <c r="O725" s="1377">
        <v>1533</v>
      </c>
      <c r="P725" s="1378"/>
      <c r="Q725" s="1378"/>
      <c r="R725" s="1378"/>
      <c r="S725" s="1379"/>
      <c r="T725" s="1377">
        <v>140</v>
      </c>
      <c r="U725" s="1378"/>
      <c r="V725" s="1378"/>
      <c r="W725" s="1379"/>
      <c r="X725" s="1358">
        <f t="shared" si="59"/>
        <v>1673</v>
      </c>
      <c r="Y725" s="1359"/>
      <c r="Z725" s="1359"/>
      <c r="AA725" s="1359"/>
      <c r="AB725" s="1360"/>
      <c r="AC725" s="1613">
        <v>0.4</v>
      </c>
      <c r="AD725" s="1614"/>
      <c r="AE725" s="1614"/>
      <c r="AF725" s="1614"/>
      <c r="AG725" s="1615"/>
      <c r="AH725" s="1362">
        <f t="shared" si="60"/>
        <v>0.40004782400765182</v>
      </c>
      <c r="AI725" s="1363"/>
      <c r="AJ725" s="1364"/>
      <c r="AK725" s="1355" t="s">
        <v>598</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9</v>
      </c>
      <c r="H726" s="1366"/>
      <c r="I726" s="1366"/>
      <c r="J726" s="1367"/>
      <c r="K726" s="1381">
        <v>978</v>
      </c>
      <c r="L726" s="1382"/>
      <c r="M726" s="1382"/>
      <c r="N726" s="1383"/>
      <c r="O726" s="1377">
        <v>1761</v>
      </c>
      <c r="P726" s="1378"/>
      <c r="Q726" s="1378"/>
      <c r="R726" s="1378"/>
      <c r="S726" s="1379"/>
      <c r="T726" s="1377">
        <v>171</v>
      </c>
      <c r="U726" s="1378"/>
      <c r="V726" s="1378"/>
      <c r="W726" s="1379"/>
      <c r="X726" s="1358">
        <f t="shared" si="59"/>
        <v>1932</v>
      </c>
      <c r="Y726" s="1359"/>
      <c r="Z726" s="1359"/>
      <c r="AA726" s="1359"/>
      <c r="AB726" s="1360"/>
      <c r="AC726" s="1613">
        <v>0.4</v>
      </c>
      <c r="AD726" s="1614"/>
      <c r="AE726" s="1614"/>
      <c r="AF726" s="1614"/>
      <c r="AG726" s="1615"/>
      <c r="AH726" s="1362">
        <f t="shared" si="60"/>
        <v>0.4</v>
      </c>
      <c r="AI726" s="1363"/>
      <c r="AJ726" s="1364"/>
      <c r="AK726" s="1355" t="s">
        <v>598</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5"/>
      <c r="H727" s="1366"/>
      <c r="I727" s="1366"/>
      <c r="J727" s="1367"/>
      <c r="K727" s="1381"/>
      <c r="L727" s="1382"/>
      <c r="M727" s="1382"/>
      <c r="N727" s="1383"/>
      <c r="O727" s="1377"/>
      <c r="P727" s="1378"/>
      <c r="Q727" s="1378"/>
      <c r="R727" s="1378"/>
      <c r="S727" s="1379"/>
      <c r="T727" s="1377"/>
      <c r="U727" s="1378"/>
      <c r="V727" s="1378"/>
      <c r="W727" s="1379"/>
      <c r="X727" s="1358">
        <f t="shared" si="59"/>
        <v>0</v>
      </c>
      <c r="Y727" s="1359"/>
      <c r="Z727" s="1359"/>
      <c r="AA727" s="1359"/>
      <c r="AB727" s="1360"/>
      <c r="AC727" s="1613"/>
      <c r="AD727" s="1614"/>
      <c r="AE727" s="1614"/>
      <c r="AF727" s="1614"/>
      <c r="AG727" s="1615"/>
      <c r="AH727" s="1362" t="str">
        <f t="shared" si="60"/>
        <v/>
      </c>
      <c r="AI727" s="1363"/>
      <c r="AJ727" s="1364"/>
      <c r="AK727" s="1355" t="s">
        <v>598</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325</v>
      </c>
      <c r="C728" s="1356"/>
      <c r="D728" s="1356"/>
      <c r="E728" s="1356"/>
      <c r="F728" s="1357"/>
      <c r="G728" s="1365">
        <v>8</v>
      </c>
      <c r="H728" s="1366"/>
      <c r="I728" s="1366"/>
      <c r="J728" s="1367"/>
      <c r="K728" s="1381">
        <v>319</v>
      </c>
      <c r="L728" s="1382"/>
      <c r="M728" s="1382"/>
      <c r="N728" s="1383"/>
      <c r="O728" s="1377">
        <v>1549</v>
      </c>
      <c r="P728" s="1378"/>
      <c r="Q728" s="1378"/>
      <c r="R728" s="1378"/>
      <c r="S728" s="1379"/>
      <c r="T728" s="1377">
        <v>77</v>
      </c>
      <c r="U728" s="1378"/>
      <c r="V728" s="1378"/>
      <c r="W728" s="1379"/>
      <c r="X728" s="1358">
        <f t="shared" si="59"/>
        <v>1626</v>
      </c>
      <c r="Y728" s="1359"/>
      <c r="Z728" s="1359"/>
      <c r="AA728" s="1359"/>
      <c r="AB728" s="1360"/>
      <c r="AC728" s="1613">
        <v>0.5</v>
      </c>
      <c r="AD728" s="1614"/>
      <c r="AE728" s="1614"/>
      <c r="AF728" s="1614"/>
      <c r="AG728" s="1615"/>
      <c r="AH728" s="1362">
        <f t="shared" si="60"/>
        <v>0.5</v>
      </c>
      <c r="AI728" s="1363"/>
      <c r="AJ728" s="1364"/>
      <c r="AK728" s="1355" t="s">
        <v>598</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326</v>
      </c>
      <c r="C729" s="1356"/>
      <c r="D729" s="1356"/>
      <c r="E729" s="1356"/>
      <c r="F729" s="1357"/>
      <c r="G729" s="1365">
        <v>3</v>
      </c>
      <c r="H729" s="1366"/>
      <c r="I729" s="1366"/>
      <c r="J729" s="1367"/>
      <c r="K729" s="1381">
        <v>513</v>
      </c>
      <c r="L729" s="1382"/>
      <c r="M729" s="1382"/>
      <c r="N729" s="1383"/>
      <c r="O729" s="1377">
        <v>1634</v>
      </c>
      <c r="P729" s="1378"/>
      <c r="Q729" s="1378"/>
      <c r="R729" s="1378"/>
      <c r="S729" s="1379"/>
      <c r="T729" s="1377">
        <v>108</v>
      </c>
      <c r="U729" s="1378"/>
      <c r="V729" s="1378"/>
      <c r="W729" s="1379"/>
      <c r="X729" s="1358">
        <f t="shared" si="59"/>
        <v>1742</v>
      </c>
      <c r="Y729" s="1359"/>
      <c r="Z729" s="1359"/>
      <c r="AA729" s="1359"/>
      <c r="AB729" s="1360"/>
      <c r="AC729" s="1613">
        <v>0.5</v>
      </c>
      <c r="AD729" s="1614"/>
      <c r="AE729" s="1614"/>
      <c r="AF729" s="1614"/>
      <c r="AG729" s="1615"/>
      <c r="AH729" s="1362">
        <f t="shared" si="60"/>
        <v>0.5</v>
      </c>
      <c r="AI729" s="1363"/>
      <c r="AJ729" s="1364"/>
      <c r="AK729" s="1355" t="s">
        <v>598</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163</v>
      </c>
      <c r="C730" s="1356"/>
      <c r="D730" s="1356"/>
      <c r="E730" s="1356"/>
      <c r="F730" s="1357"/>
      <c r="G730" s="1365">
        <v>4</v>
      </c>
      <c r="H730" s="1366"/>
      <c r="I730" s="1366"/>
      <c r="J730" s="1367"/>
      <c r="K730" s="1381">
        <v>744</v>
      </c>
      <c r="L730" s="1382"/>
      <c r="M730" s="1382"/>
      <c r="N730" s="1383"/>
      <c r="O730" s="1377">
        <v>1951</v>
      </c>
      <c r="P730" s="1378"/>
      <c r="Q730" s="1378"/>
      <c r="R730" s="1378"/>
      <c r="S730" s="1379"/>
      <c r="T730" s="1377">
        <v>140</v>
      </c>
      <c r="U730" s="1378"/>
      <c r="V730" s="1378"/>
      <c r="W730" s="1379"/>
      <c r="X730" s="1358">
        <f t="shared" si="59"/>
        <v>2091</v>
      </c>
      <c r="Y730" s="1359"/>
      <c r="Z730" s="1359"/>
      <c r="AA730" s="1359"/>
      <c r="AB730" s="1360"/>
      <c r="AC730" s="1613">
        <v>0.5</v>
      </c>
      <c r="AD730" s="1614"/>
      <c r="AE730" s="1614"/>
      <c r="AF730" s="1614"/>
      <c r="AG730" s="1615"/>
      <c r="AH730" s="1362">
        <f t="shared" si="60"/>
        <v>0.5</v>
      </c>
      <c r="AI730" s="1363"/>
      <c r="AJ730" s="1364"/>
      <c r="AK730" s="1355" t="s">
        <v>598</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164</v>
      </c>
      <c r="C731" s="1356"/>
      <c r="D731" s="1356"/>
      <c r="E731" s="1356"/>
      <c r="F731" s="1357"/>
      <c r="G731" s="1365">
        <v>6</v>
      </c>
      <c r="H731" s="1366"/>
      <c r="I731" s="1366"/>
      <c r="J731" s="1367"/>
      <c r="K731" s="1381">
        <v>978</v>
      </c>
      <c r="L731" s="1382"/>
      <c r="M731" s="1382"/>
      <c r="N731" s="1383"/>
      <c r="O731" s="1377">
        <v>2244</v>
      </c>
      <c r="P731" s="1378"/>
      <c r="Q731" s="1378"/>
      <c r="R731" s="1378"/>
      <c r="S731" s="1379"/>
      <c r="T731" s="1377">
        <v>171</v>
      </c>
      <c r="U731" s="1378"/>
      <c r="V731" s="1378"/>
      <c r="W731" s="1379"/>
      <c r="X731" s="1358">
        <f t="shared" si="59"/>
        <v>2415</v>
      </c>
      <c r="Y731" s="1359"/>
      <c r="Z731" s="1359"/>
      <c r="AA731" s="1359"/>
      <c r="AB731" s="1360"/>
      <c r="AC731" s="1613">
        <v>0.5</v>
      </c>
      <c r="AD731" s="1614"/>
      <c r="AE731" s="1614"/>
      <c r="AF731" s="1614"/>
      <c r="AG731" s="1615"/>
      <c r="AH731" s="1362">
        <f t="shared" si="60"/>
        <v>0.5</v>
      </c>
      <c r="AI731" s="1363"/>
      <c r="AJ731" s="1364"/>
      <c r="AK731" s="1355" t="s">
        <v>598</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381"/>
      <c r="L732" s="1382"/>
      <c r="M732" s="1382"/>
      <c r="N732" s="1383"/>
      <c r="O732" s="1377"/>
      <c r="P732" s="1378"/>
      <c r="Q732" s="1378"/>
      <c r="R732" s="1378"/>
      <c r="S732" s="1379"/>
      <c r="T732" s="1377"/>
      <c r="U732" s="1378"/>
      <c r="V732" s="1378"/>
      <c r="W732" s="1379"/>
      <c r="X732" s="1358">
        <f t="shared" si="59"/>
        <v>0</v>
      </c>
      <c r="Y732" s="1359"/>
      <c r="Z732" s="1359"/>
      <c r="AA732" s="1359"/>
      <c r="AB732" s="1360"/>
      <c r="AC732" s="1613"/>
      <c r="AD732" s="1614"/>
      <c r="AE732" s="1614"/>
      <c r="AF732" s="1614"/>
      <c r="AG732" s="1615"/>
      <c r="AH732" s="1362" t="str">
        <f t="shared" si="60"/>
        <v/>
      </c>
      <c r="AI732" s="1363"/>
      <c r="AJ732" s="1364"/>
      <c r="AK732" s="1355" t="s">
        <v>598</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t="s">
        <v>326</v>
      </c>
      <c r="C733" s="1356"/>
      <c r="D733" s="1356"/>
      <c r="E733" s="1356"/>
      <c r="F733" s="1357"/>
      <c r="G733" s="1365">
        <v>3</v>
      </c>
      <c r="H733" s="1366"/>
      <c r="I733" s="1366"/>
      <c r="J733" s="1367"/>
      <c r="K733" s="1381">
        <v>513</v>
      </c>
      <c r="L733" s="1382"/>
      <c r="M733" s="1382"/>
      <c r="N733" s="1383"/>
      <c r="O733" s="1377">
        <v>1983</v>
      </c>
      <c r="P733" s="1378"/>
      <c r="Q733" s="1378"/>
      <c r="R733" s="1378"/>
      <c r="S733" s="1379"/>
      <c r="T733" s="1377">
        <v>108</v>
      </c>
      <c r="U733" s="1378"/>
      <c r="V733" s="1378"/>
      <c r="W733" s="1379"/>
      <c r="X733" s="1358">
        <f t="shared" si="59"/>
        <v>2091</v>
      </c>
      <c r="Y733" s="1359"/>
      <c r="Z733" s="1359"/>
      <c r="AA733" s="1359"/>
      <c r="AB733" s="1360"/>
      <c r="AC733" s="1613">
        <v>0.6</v>
      </c>
      <c r="AD733" s="1614"/>
      <c r="AE733" s="1614"/>
      <c r="AF733" s="1614"/>
      <c r="AG733" s="1615"/>
      <c r="AH733" s="1362">
        <f t="shared" si="60"/>
        <v>0.6001722158438576</v>
      </c>
      <c r="AI733" s="1363"/>
      <c r="AJ733" s="1364"/>
      <c r="AK733" s="1355" t="s">
        <v>598</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t="s">
        <v>163</v>
      </c>
      <c r="C734" s="1356"/>
      <c r="D734" s="1356"/>
      <c r="E734" s="1356"/>
      <c r="F734" s="1357"/>
      <c r="G734" s="1365">
        <v>4</v>
      </c>
      <c r="H734" s="1366"/>
      <c r="I734" s="1366"/>
      <c r="J734" s="1367"/>
      <c r="K734" s="1381">
        <v>744</v>
      </c>
      <c r="L734" s="1382"/>
      <c r="M734" s="1382"/>
      <c r="N734" s="1383"/>
      <c r="O734" s="1377">
        <v>2369</v>
      </c>
      <c r="P734" s="1378"/>
      <c r="Q734" s="1378"/>
      <c r="R734" s="1378"/>
      <c r="S734" s="1379"/>
      <c r="T734" s="1377">
        <v>140</v>
      </c>
      <c r="U734" s="1378"/>
      <c r="V734" s="1378"/>
      <c r="W734" s="1379"/>
      <c r="X734" s="1358">
        <f t="shared" si="59"/>
        <v>2509</v>
      </c>
      <c r="Y734" s="1359"/>
      <c r="Z734" s="1359"/>
      <c r="AA734" s="1359"/>
      <c r="AB734" s="1360"/>
      <c r="AC734" s="1613">
        <v>0.6</v>
      </c>
      <c r="AD734" s="1614"/>
      <c r="AE734" s="1614"/>
      <c r="AF734" s="1614"/>
      <c r="AG734" s="1615"/>
      <c r="AH734" s="1362">
        <f t="shared" si="60"/>
        <v>0.59995217599234818</v>
      </c>
      <c r="AI734" s="1363"/>
      <c r="AJ734" s="1364"/>
      <c r="AK734" s="1355" t="s">
        <v>598</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t="s">
        <v>164</v>
      </c>
      <c r="C735" s="1356"/>
      <c r="D735" s="1356"/>
      <c r="E735" s="1356"/>
      <c r="F735" s="1357"/>
      <c r="G735" s="1365">
        <v>6</v>
      </c>
      <c r="H735" s="1366"/>
      <c r="I735" s="1366"/>
      <c r="J735" s="1367"/>
      <c r="K735" s="1381">
        <v>978</v>
      </c>
      <c r="L735" s="1382"/>
      <c r="M735" s="1382"/>
      <c r="N735" s="1383"/>
      <c r="O735" s="1377">
        <v>2727</v>
      </c>
      <c r="P735" s="1378"/>
      <c r="Q735" s="1378"/>
      <c r="R735" s="1378"/>
      <c r="S735" s="1379"/>
      <c r="T735" s="1377">
        <v>171</v>
      </c>
      <c r="U735" s="1378"/>
      <c r="V735" s="1378"/>
      <c r="W735" s="1379"/>
      <c r="X735" s="1358">
        <f t="shared" si="59"/>
        <v>2898</v>
      </c>
      <c r="Y735" s="1359"/>
      <c r="Z735" s="1359"/>
      <c r="AA735" s="1359"/>
      <c r="AB735" s="1360"/>
      <c r="AC735" s="1613">
        <v>0.6</v>
      </c>
      <c r="AD735" s="1614"/>
      <c r="AE735" s="1614"/>
      <c r="AF735" s="1614"/>
      <c r="AG735" s="1615"/>
      <c r="AH735" s="1362">
        <f t="shared" si="60"/>
        <v>0.6</v>
      </c>
      <c r="AI735" s="1363"/>
      <c r="AJ735" s="1364"/>
      <c r="AK735" s="1355" t="s">
        <v>598</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59"/>
        <v>0</v>
      </c>
      <c r="Y736" s="1359"/>
      <c r="Z736" s="1359"/>
      <c r="AA736" s="1359"/>
      <c r="AB736" s="1360"/>
      <c r="AC736" s="1613"/>
      <c r="AD736" s="1614"/>
      <c r="AE736" s="1614"/>
      <c r="AF736" s="1614"/>
      <c r="AG736" s="1615"/>
      <c r="AH736" s="1362" t="str">
        <f t="shared" si="60"/>
        <v/>
      </c>
      <c r="AI736" s="1363"/>
      <c r="AJ736" s="1364"/>
      <c r="AK736" s="1355" t="s">
        <v>598</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59"/>
        <v>0</v>
      </c>
      <c r="Y737" s="1359"/>
      <c r="Z737" s="1359"/>
      <c r="AA737" s="1359"/>
      <c r="AB737" s="1360"/>
      <c r="AC737" s="1613"/>
      <c r="AD737" s="1614"/>
      <c r="AE737" s="1614"/>
      <c r="AF737" s="1614"/>
      <c r="AG737" s="1615"/>
      <c r="AH737" s="1362" t="str">
        <f t="shared" si="60"/>
        <v/>
      </c>
      <c r="AI737" s="1363"/>
      <c r="AJ737" s="1364"/>
      <c r="AK737" s="1355" t="s">
        <v>598</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613"/>
      <c r="AD738" s="1614"/>
      <c r="AE738" s="1614"/>
      <c r="AF738" s="1614"/>
      <c r="AG738" s="1615"/>
      <c r="AH738" s="1362" t="str">
        <f t="shared" si="60"/>
        <v/>
      </c>
      <c r="AI738" s="1363"/>
      <c r="AJ738" s="1364"/>
      <c r="AK738" s="1355" t="s">
        <v>598</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613"/>
      <c r="AD739" s="1614"/>
      <c r="AE739" s="1614"/>
      <c r="AF739" s="1614"/>
      <c r="AG739" s="1615"/>
      <c r="AH739" s="1362" t="str">
        <f t="shared" si="60"/>
        <v/>
      </c>
      <c r="AI739" s="1363"/>
      <c r="AJ739" s="1364"/>
      <c r="AK739" s="1355" t="s">
        <v>598</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613"/>
      <c r="AD740" s="1614"/>
      <c r="AE740" s="1614"/>
      <c r="AF740" s="1614"/>
      <c r="AG740" s="1615"/>
      <c r="AH740" s="1362" t="str">
        <f t="shared" si="60"/>
        <v/>
      </c>
      <c r="AI740" s="1363"/>
      <c r="AJ740" s="1364"/>
      <c r="AK740" s="1355" t="s">
        <v>598</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613"/>
      <c r="AD741" s="1614"/>
      <c r="AE741" s="1614"/>
      <c r="AF741" s="1614"/>
      <c r="AG741" s="1615"/>
      <c r="AH741" s="1362" t="str">
        <f t="shared" si="60"/>
        <v/>
      </c>
      <c r="AI741" s="1363"/>
      <c r="AJ741" s="1364"/>
      <c r="AK741" s="1355" t="s">
        <v>598</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1">O742+T742</f>
        <v>0</v>
      </c>
      <c r="Y742" s="1359"/>
      <c r="Z742" s="1359"/>
      <c r="AA742" s="1359"/>
      <c r="AB742" s="1360"/>
      <c r="AC742" s="1613"/>
      <c r="AD742" s="1614"/>
      <c r="AE742" s="1614"/>
      <c r="AF742" s="1614"/>
      <c r="AG742" s="1615"/>
      <c r="AH742" s="1362" t="str">
        <f t="shared" si="60"/>
        <v/>
      </c>
      <c r="AI742" s="1363"/>
      <c r="AJ742" s="1364"/>
      <c r="AK742" s="1355" t="s">
        <v>598</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1"/>
        <v>0</v>
      </c>
      <c r="Y743" s="1359"/>
      <c r="Z743" s="1359"/>
      <c r="AA743" s="1359"/>
      <c r="AB743" s="1360"/>
      <c r="AC743" s="1613"/>
      <c r="AD743" s="1614"/>
      <c r="AE743" s="1614"/>
      <c r="AF743" s="1614"/>
      <c r="AG743" s="1615"/>
      <c r="AH743" s="1362" t="str">
        <f t="shared" si="60"/>
        <v/>
      </c>
      <c r="AI743" s="1363"/>
      <c r="AJ743" s="1364"/>
      <c r="AK743" s="1355" t="s">
        <v>598</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1"/>
        <v>0</v>
      </c>
      <c r="Y744" s="1359"/>
      <c r="Z744" s="1359"/>
      <c r="AA744" s="1359"/>
      <c r="AB744" s="1360"/>
      <c r="AC744" s="1613"/>
      <c r="AD744" s="1614"/>
      <c r="AE744" s="1614"/>
      <c r="AF744" s="1614"/>
      <c r="AG744" s="1615"/>
      <c r="AH744" s="1362" t="str">
        <f t="shared" si="60"/>
        <v/>
      </c>
      <c r="AI744" s="1363"/>
      <c r="AJ744" s="1364"/>
      <c r="AK744" s="1355" t="s">
        <v>598</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1"/>
        <v>0</v>
      </c>
      <c r="Y745" s="1359"/>
      <c r="Z745" s="1359"/>
      <c r="AA745" s="1359"/>
      <c r="AB745" s="1360"/>
      <c r="AC745" s="1613"/>
      <c r="AD745" s="1614"/>
      <c r="AE745" s="1614"/>
      <c r="AF745" s="1614"/>
      <c r="AG745" s="1615"/>
      <c r="AH745" s="1362" t="str">
        <f t="shared" si="60"/>
        <v/>
      </c>
      <c r="AI745" s="1363"/>
      <c r="AJ745" s="1364"/>
      <c r="AK745" s="1355" t="s">
        <v>598</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1"/>
        <v>0</v>
      </c>
      <c r="Y746" s="1359"/>
      <c r="Z746" s="1359"/>
      <c r="AA746" s="1359"/>
      <c r="AB746" s="1360"/>
      <c r="AC746" s="1613"/>
      <c r="AD746" s="1614"/>
      <c r="AE746" s="1614"/>
      <c r="AF746" s="1614"/>
      <c r="AG746" s="1615"/>
      <c r="AH746" s="1362" t="str">
        <f t="shared" si="60"/>
        <v/>
      </c>
      <c r="AI746" s="1363"/>
      <c r="AJ746" s="1364"/>
      <c r="AK746" s="1355" t="s">
        <v>598</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1"/>
        <v>0</v>
      </c>
      <c r="Y747" s="1359"/>
      <c r="Z747" s="1359"/>
      <c r="AA747" s="1359"/>
      <c r="AB747" s="1360"/>
      <c r="AC747" s="1613"/>
      <c r="AD747" s="1614"/>
      <c r="AE747" s="1614"/>
      <c r="AF747" s="1614"/>
      <c r="AG747" s="1615"/>
      <c r="AH747" s="1362" t="str">
        <f t="shared" si="60"/>
        <v/>
      </c>
      <c r="AI747" s="1363"/>
      <c r="AJ747" s="1364"/>
      <c r="AK747" s="1355" t="s">
        <v>598</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1"/>
        <v>0</v>
      </c>
      <c r="Y748" s="1359"/>
      <c r="Z748" s="1359"/>
      <c r="AA748" s="1359"/>
      <c r="AB748" s="1360"/>
      <c r="AC748" s="1613"/>
      <c r="AD748" s="1614"/>
      <c r="AE748" s="1614"/>
      <c r="AF748" s="1614"/>
      <c r="AG748" s="1615"/>
      <c r="AH748" s="1362" t="str">
        <f t="shared" si="60"/>
        <v/>
      </c>
      <c r="AI748" s="1363"/>
      <c r="AJ748" s="1364"/>
      <c r="AK748" s="1355" t="s">
        <v>598</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1"/>
        <v>0</v>
      </c>
      <c r="Y749" s="1359"/>
      <c r="Z749" s="1359"/>
      <c r="AA749" s="1359"/>
      <c r="AB749" s="1360"/>
      <c r="AC749" s="1613"/>
      <c r="AD749" s="1614"/>
      <c r="AE749" s="1614"/>
      <c r="AF749" s="1614"/>
      <c r="AG749" s="1615"/>
      <c r="AH749" s="1362" t="str">
        <f t="shared" si="60"/>
        <v/>
      </c>
      <c r="AI749" s="1363"/>
      <c r="AJ749" s="1364"/>
      <c r="AK749" s="1355" t="s">
        <v>598</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1"/>
        <v>0</v>
      </c>
      <c r="Y750" s="1359"/>
      <c r="Z750" s="1359"/>
      <c r="AA750" s="1359"/>
      <c r="AB750" s="1360"/>
      <c r="AC750" s="1613"/>
      <c r="AD750" s="1614"/>
      <c r="AE750" s="1614"/>
      <c r="AF750" s="1614"/>
      <c r="AG750" s="1615"/>
      <c r="AH750" s="1362" t="str">
        <f t="shared" si="60"/>
        <v/>
      </c>
      <c r="AI750" s="1363"/>
      <c r="AJ750" s="1364"/>
      <c r="AK750" s="1355" t="s">
        <v>598</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1"/>
        <v>0</v>
      </c>
      <c r="Y751" s="1359"/>
      <c r="Z751" s="1359"/>
      <c r="AA751" s="1359"/>
      <c r="AB751" s="1360"/>
      <c r="AC751" s="1613"/>
      <c r="AD751" s="1614"/>
      <c r="AE751" s="1614"/>
      <c r="AF751" s="1614"/>
      <c r="AG751" s="1615"/>
      <c r="AH751" s="1362" t="str">
        <f t="shared" si="60"/>
        <v/>
      </c>
      <c r="AI751" s="1363"/>
      <c r="AJ751" s="1364"/>
      <c r="AK751" s="1355" t="s">
        <v>598</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613"/>
      <c r="AD752" s="1614"/>
      <c r="AE752" s="1614"/>
      <c r="AF752" s="1614"/>
      <c r="AG752" s="1615"/>
      <c r="AH752" s="1362" t="str">
        <f>IF($AC752&gt;0,($X752/$BA701), "")</f>
        <v/>
      </c>
      <c r="AI752" s="1363"/>
      <c r="AJ752" s="1364"/>
      <c r="AK752" s="1355" t="s">
        <v>598</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1" t="s">
        <v>125</v>
      </c>
      <c r="C753" s="1592"/>
      <c r="D753" s="1592"/>
      <c r="E753" s="1592"/>
      <c r="F753" s="1593"/>
      <c r="G753" s="1762">
        <f>SUM(G718:G752)</f>
        <v>91</v>
      </c>
      <c r="H753" s="1763"/>
      <c r="I753" s="1763"/>
      <c r="J753" s="1764"/>
      <c r="K753" s="937" t="s">
        <v>124</v>
      </c>
      <c r="L753" s="5"/>
      <c r="M753" s="5"/>
      <c r="N753" s="46"/>
      <c r="O753" s="1358">
        <f>SUMPRODUCT(G718:G752,O718:O752)</f>
        <v>142741</v>
      </c>
      <c r="P753" s="1359"/>
      <c r="Q753" s="1359"/>
      <c r="R753" s="1359"/>
      <c r="S753" s="1360"/>
      <c r="T753"/>
      <c r="U753"/>
      <c r="V753"/>
      <c r="W753"/>
      <c r="X753" s="939" t="s">
        <v>914</v>
      </c>
      <c r="Y753" s="938"/>
      <c r="Z753" s="938"/>
      <c r="AA753" s="938"/>
      <c r="AB753" s="940"/>
      <c r="AC753" s="1739">
        <f>BI703</f>
        <v>0.42417582417582411</v>
      </c>
      <c r="AD753" s="1740"/>
      <c r="AE753" s="1740"/>
      <c r="AF753" s="1740"/>
      <c r="AG753" s="1741"/>
      <c r="AH753" s="1739">
        <f>IFERROR(BV703,"")</f>
        <v>0.42418390332598965</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3" t="s">
        <v>2181</v>
      </c>
      <c r="C754" s="1873"/>
      <c r="D754" s="1873"/>
      <c r="E754" s="1873"/>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1873"/>
      <c r="AF754" s="1873"/>
      <c r="AG754" s="1873"/>
      <c r="AH754" s="18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3"/>
      <c r="C755" s="1873"/>
      <c r="D755" s="1873"/>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1873"/>
      <c r="AF755" s="1873"/>
      <c r="AG755" s="1873"/>
      <c r="AH755" s="18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9">
        <f>CS634</f>
        <v>165</v>
      </c>
      <c r="P756" s="1389"/>
      <c r="Q756" s="1389"/>
      <c r="R756" s="1389"/>
      <c r="S756" s="1004"/>
      <c r="T756" s="1004"/>
      <c r="U756" s="118" t="s">
        <v>2180</v>
      </c>
      <c r="V756" s="1067"/>
      <c r="W756" s="1067"/>
      <c r="X756" s="1067"/>
      <c r="Y756" s="1068"/>
      <c r="Z756" s="1068"/>
      <c r="AA756" s="1068"/>
      <c r="AB756" s="1068"/>
      <c r="AC756" s="1067"/>
      <c r="AD756" s="1067"/>
      <c r="AE756" s="1067"/>
      <c r="AF756" s="1067"/>
      <c r="AG756" s="1871"/>
      <c r="AH756" s="1871"/>
      <c r="AI756" s="1871"/>
      <c r="AJ756" s="18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2" t="s">
        <v>598</v>
      </c>
      <c r="AE759" s="1872"/>
      <c r="AF759" s="18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13" t="s">
        <v>390</v>
      </c>
      <c r="K769" s="1369"/>
      <c r="L769" s="1369"/>
      <c r="M769" s="1369"/>
      <c r="N769" s="1370"/>
      <c r="O769" s="1789" t="s">
        <v>286</v>
      </c>
      <c r="P769" s="1789"/>
      <c r="Q769" s="1789"/>
      <c r="R769" s="1789"/>
      <c r="S769" s="1789"/>
      <c r="T769" s="1411" t="s">
        <v>1866</v>
      </c>
      <c r="U769" s="1412"/>
      <c r="V769" s="1412"/>
      <c r="W769" s="1413"/>
      <c r="X769" s="1513" t="s">
        <v>454</v>
      </c>
      <c r="Y769" s="1369"/>
      <c r="Z769" s="1369"/>
      <c r="AA769" s="1369"/>
      <c r="AB769" s="1370"/>
      <c r="AC769" s="1513"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89"/>
      <c r="P770" s="1789"/>
      <c r="Q770" s="1789"/>
      <c r="R770" s="1789"/>
      <c r="S770" s="1789"/>
      <c r="T770" s="1414"/>
      <c r="U770" s="1415"/>
      <c r="V770" s="1415"/>
      <c r="W770" s="1416"/>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89"/>
      <c r="P771" s="1789"/>
      <c r="Q771" s="1789"/>
      <c r="R771" s="1789"/>
      <c r="S771" s="1789"/>
      <c r="T771" s="1414"/>
      <c r="U771" s="1415"/>
      <c r="V771" s="1415"/>
      <c r="W771" s="1416"/>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89"/>
      <c r="P772" s="1789"/>
      <c r="Q772" s="1789"/>
      <c r="R772" s="1789"/>
      <c r="S772" s="1789"/>
      <c r="T772" s="1602"/>
      <c r="U772" s="1603"/>
      <c r="V772" s="1603"/>
      <c r="W772" s="160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86">
        <v>1</v>
      </c>
      <c r="P773" s="1486"/>
      <c r="Q773" s="1486"/>
      <c r="R773" s="1486"/>
      <c r="S773" s="1486"/>
      <c r="T773" s="1381">
        <v>741</v>
      </c>
      <c r="U773" s="1382"/>
      <c r="V773" s="1382"/>
      <c r="W773" s="1383"/>
      <c r="X773" s="1377">
        <v>0</v>
      </c>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86"/>
      <c r="P774" s="1486"/>
      <c r="Q774" s="1486"/>
      <c r="R774" s="1486"/>
      <c r="S774" s="1486"/>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86"/>
      <c r="P775" s="1486"/>
      <c r="Q775" s="1486"/>
      <c r="R775" s="1486"/>
      <c r="S775" s="1486"/>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86"/>
      <c r="P776" s="1486"/>
      <c r="Q776" s="1486"/>
      <c r="R776" s="1486"/>
      <c r="S776" s="1486"/>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1" t="s">
        <v>125</v>
      </c>
      <c r="K777" s="1592"/>
      <c r="L777" s="1592"/>
      <c r="M777" s="1592"/>
      <c r="N777" s="1593"/>
      <c r="O777" s="1395">
        <f>SUM(O773:S776)</f>
        <v>1</v>
      </c>
      <c r="P777" s="1509"/>
      <c r="Q777" s="1509"/>
      <c r="R777" s="1509"/>
      <c r="S777" s="1396"/>
      <c r="X777" s="1591" t="s">
        <v>124</v>
      </c>
      <c r="Y777" s="1592"/>
      <c r="Z777" s="1592"/>
      <c r="AA777" s="1592"/>
      <c r="AB777" s="1593"/>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9" t="s">
        <v>676</v>
      </c>
      <c r="K779" s="1449"/>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13" t="s">
        <v>390</v>
      </c>
      <c r="K783" s="1369"/>
      <c r="L783" s="1369"/>
      <c r="M783" s="1369"/>
      <c r="N783" s="1370"/>
      <c r="O783" s="1789" t="s">
        <v>286</v>
      </c>
      <c r="P783" s="1789"/>
      <c r="Q783" s="1789"/>
      <c r="R783" s="1789"/>
      <c r="S783" s="1789"/>
      <c r="T783" s="1411" t="s">
        <v>1866</v>
      </c>
      <c r="U783" s="1412"/>
      <c r="V783" s="1412"/>
      <c r="W783" s="1413"/>
      <c r="X783" s="1513" t="s">
        <v>454</v>
      </c>
      <c r="Y783" s="1369"/>
      <c r="Z783" s="1369"/>
      <c r="AA783" s="1369"/>
      <c r="AB783" s="1370"/>
      <c r="AC783" s="1513"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89"/>
      <c r="P784" s="1789"/>
      <c r="Q784" s="1789"/>
      <c r="R784" s="1789"/>
      <c r="S784" s="1789"/>
      <c r="T784" s="1414"/>
      <c r="U784" s="1415"/>
      <c r="V784" s="1415"/>
      <c r="W784" s="1416"/>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89"/>
      <c r="P785" s="1789"/>
      <c r="Q785" s="1789"/>
      <c r="R785" s="1789"/>
      <c r="S785" s="1789"/>
      <c r="T785" s="1414"/>
      <c r="U785" s="1415"/>
      <c r="V785" s="1415"/>
      <c r="W785" s="1416"/>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89"/>
      <c r="P786" s="1789"/>
      <c r="Q786" s="1789"/>
      <c r="R786" s="1789"/>
      <c r="S786" s="1789"/>
      <c r="T786" s="1602"/>
      <c r="U786" s="1603"/>
      <c r="V786" s="1603"/>
      <c r="W786" s="160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86"/>
      <c r="P787" s="1486"/>
      <c r="Q787" s="1486"/>
      <c r="R787" s="1486"/>
      <c r="S787" s="1486"/>
      <c r="T787" s="1381"/>
      <c r="U787" s="1382"/>
      <c r="V787" s="1382"/>
      <c r="W787" s="1383"/>
      <c r="X787" s="1377"/>
      <c r="Y787" s="1378"/>
      <c r="Z787" s="1378"/>
      <c r="AA787" s="1378"/>
      <c r="AB787" s="137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86"/>
      <c r="P788" s="1486"/>
      <c r="Q788" s="1486"/>
      <c r="R788" s="1486"/>
      <c r="S788" s="1486"/>
      <c r="T788" s="1381"/>
      <c r="U788" s="1382"/>
      <c r="V788" s="1382"/>
      <c r="W788" s="1383"/>
      <c r="X788" s="1377"/>
      <c r="Y788" s="1378"/>
      <c r="Z788" s="1378"/>
      <c r="AA788" s="1378"/>
      <c r="AB788" s="137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86"/>
      <c r="P789" s="1486"/>
      <c r="Q789" s="1486"/>
      <c r="R789" s="1486"/>
      <c r="S789" s="1486"/>
      <c r="T789" s="1381"/>
      <c r="U789" s="1382"/>
      <c r="V789" s="1382"/>
      <c r="W789" s="1383"/>
      <c r="X789" s="1377"/>
      <c r="Y789" s="1378"/>
      <c r="Z789" s="1378"/>
      <c r="AA789" s="1378"/>
      <c r="AB789" s="137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86"/>
      <c r="P790" s="1486"/>
      <c r="Q790" s="1486"/>
      <c r="R790" s="1486"/>
      <c r="S790" s="1486"/>
      <c r="T790" s="1381"/>
      <c r="U790" s="1382"/>
      <c r="V790" s="1382"/>
      <c r="W790" s="1383"/>
      <c r="X790" s="1377"/>
      <c r="Y790" s="1378"/>
      <c r="Z790" s="1378"/>
      <c r="AA790" s="1378"/>
      <c r="AB790" s="137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86"/>
      <c r="P791" s="1486"/>
      <c r="Q791" s="1486"/>
      <c r="R791" s="1486"/>
      <c r="S791" s="1486"/>
      <c r="T791" s="1381"/>
      <c r="U791" s="1382"/>
      <c r="V791" s="1382"/>
      <c r="W791" s="1383"/>
      <c r="X791" s="1377"/>
      <c r="Y791" s="1378"/>
      <c r="Z791" s="1378"/>
      <c r="AA791" s="1378"/>
      <c r="AB791" s="137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86"/>
      <c r="P792" s="1486"/>
      <c r="Q792" s="1486"/>
      <c r="R792" s="1486"/>
      <c r="S792" s="1486"/>
      <c r="T792" s="1381"/>
      <c r="U792" s="1382"/>
      <c r="V792" s="1382"/>
      <c r="W792" s="1383"/>
      <c r="X792" s="1377"/>
      <c r="Y792" s="1378"/>
      <c r="Z792" s="1378"/>
      <c r="AA792" s="1378"/>
      <c r="AB792" s="137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86"/>
      <c r="P793" s="1486"/>
      <c r="Q793" s="1486"/>
      <c r="R793" s="1486"/>
      <c r="S793" s="1486"/>
      <c r="T793" s="1381"/>
      <c r="U793" s="1382"/>
      <c r="V793" s="1382"/>
      <c r="W793" s="1383"/>
      <c r="X793" s="1377"/>
      <c r="Y793" s="1378"/>
      <c r="Z793" s="1378"/>
      <c r="AA793" s="1378"/>
      <c r="AB793" s="137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86"/>
      <c r="P794" s="1486"/>
      <c r="Q794" s="1486"/>
      <c r="R794" s="1486"/>
      <c r="S794" s="1486"/>
      <c r="T794" s="1381"/>
      <c r="U794" s="1382"/>
      <c r="V794" s="1382"/>
      <c r="W794" s="1383"/>
      <c r="X794" s="1377"/>
      <c r="Y794" s="1378"/>
      <c r="Z794" s="1378"/>
      <c r="AA794" s="1378"/>
      <c r="AB794" s="137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86"/>
      <c r="P795" s="1486"/>
      <c r="Q795" s="1486"/>
      <c r="R795" s="1486"/>
      <c r="S795" s="1486"/>
      <c r="T795" s="1381"/>
      <c r="U795" s="1382"/>
      <c r="V795" s="1382"/>
      <c r="W795" s="1383"/>
      <c r="X795" s="1377"/>
      <c r="Y795" s="1378"/>
      <c r="Z795" s="1378"/>
      <c r="AA795" s="1378"/>
      <c r="AB795" s="137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86"/>
      <c r="P796" s="1486"/>
      <c r="Q796" s="1486"/>
      <c r="R796" s="1486"/>
      <c r="S796" s="1486"/>
      <c r="T796" s="1381"/>
      <c r="U796" s="1382"/>
      <c r="V796" s="1382"/>
      <c r="W796" s="1383"/>
      <c r="X796" s="1377"/>
      <c r="Y796" s="1378"/>
      <c r="Z796" s="1378"/>
      <c r="AA796" s="1378"/>
      <c r="AB796" s="137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5" t="s">
        <v>476</v>
      </c>
      <c r="BO796" s="1746"/>
      <c r="BP796" s="3"/>
      <c r="BQ796" s="3"/>
      <c r="BR796" s="3"/>
      <c r="BS796" s="14" t="s">
        <v>641</v>
      </c>
      <c r="BT796" s="14"/>
      <c r="BU796" s="14"/>
      <c r="BV796" s="14"/>
      <c r="BW796" s="14"/>
      <c r="BX796" s="14"/>
      <c r="BY796" s="14"/>
      <c r="BZ796" s="14"/>
      <c r="CA796" s="14"/>
      <c r="CB796" s="1742" t="str">
        <f>T189</f>
        <v>San Francisco</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1" t="s">
        <v>125</v>
      </c>
      <c r="K797" s="1592"/>
      <c r="L797" s="1592"/>
      <c r="M797" s="1592"/>
      <c r="N797" s="1593"/>
      <c r="O797" s="1761">
        <f>SUM(O787:S796)</f>
        <v>0</v>
      </c>
      <c r="P797" s="1761"/>
      <c r="Q797" s="1761"/>
      <c r="R797" s="1761"/>
      <c r="S797" s="1761"/>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6" t="str">
        <f>IF(O797&lt;&gt;AG438,"! Total market rate units in the Unit Mix Table above does not match the number of  market rate units on row #"&amp;TEXT(ROW(D438),"#"),"")</f>
        <v/>
      </c>
      <c r="D798" s="1456"/>
      <c r="E798" s="1456"/>
      <c r="F798" s="1456"/>
      <c r="G798" s="1456"/>
      <c r="H798" s="1456"/>
      <c r="I798" s="1456"/>
      <c r="J798" s="1456"/>
      <c r="K798" s="1456"/>
      <c r="L798" s="1456"/>
      <c r="M798" s="1456"/>
      <c r="N798" s="1456"/>
      <c r="O798" s="1456"/>
      <c r="P798" s="1456"/>
      <c r="Q798" s="1456"/>
      <c r="R798" s="1456"/>
      <c r="S798" s="1456"/>
      <c r="T798" s="1456"/>
      <c r="U798" s="1456"/>
      <c r="V798" s="1456"/>
      <c r="W798" s="1456"/>
      <c r="X798" s="1456"/>
      <c r="Y798" s="1456"/>
      <c r="Z798" s="1456"/>
      <c r="AA798" s="1456"/>
      <c r="AB798" s="1456"/>
      <c r="AC798" s="1456"/>
      <c r="AD798" s="1456"/>
      <c r="AE798" s="1456"/>
      <c r="AF798" s="1456"/>
      <c r="AG798" s="1456"/>
      <c r="AH798" s="1456"/>
      <c r="AI798" s="1456"/>
      <c r="AJ798" s="1456"/>
      <c r="AK798" s="1456"/>
      <c r="AL798" s="1456"/>
      <c r="AM798" s="1456"/>
      <c r="AN798" s="14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6"/>
      <c r="D799" s="1456"/>
      <c r="E799" s="1456"/>
      <c r="F799" s="1456"/>
      <c r="G799" s="1456"/>
      <c r="H799" s="1456"/>
      <c r="I799" s="1456"/>
      <c r="J799" s="1456"/>
      <c r="K799" s="1456"/>
      <c r="L799" s="1456"/>
      <c r="M799" s="1456"/>
      <c r="N799" s="1456"/>
      <c r="O799" s="1456"/>
      <c r="P799" s="1456"/>
      <c r="Q799" s="1456"/>
      <c r="R799" s="1456"/>
      <c r="S799" s="1456"/>
      <c r="T799" s="1456"/>
      <c r="U799" s="1456"/>
      <c r="V799" s="1456"/>
      <c r="W799" s="1456"/>
      <c r="X799" s="1456"/>
      <c r="Y799" s="1456"/>
      <c r="Z799" s="1456"/>
      <c r="AA799" s="1456"/>
      <c r="AB799" s="1456"/>
      <c r="AC799" s="1456"/>
      <c r="AD799" s="1456"/>
      <c r="AE799" s="1456"/>
      <c r="AF799" s="1456"/>
      <c r="AG799" s="1456"/>
      <c r="AH799" s="1456"/>
      <c r="AI799" s="1456"/>
      <c r="AJ799" s="1456"/>
      <c r="AK799" s="1456"/>
      <c r="AL799" s="1456"/>
      <c r="AM799" s="1456"/>
      <c r="AN799" s="14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142741</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1712892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8"/>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c r="AA808" s="1622"/>
      <c r="AB808" s="1622"/>
      <c r="AC808" s="1622"/>
      <c r="AD808" s="1622"/>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5">
        <f>'Subsidy Contract Calculation'!J40</f>
        <v>0</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10920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5">
        <f>SUM(Z813:AE816)</f>
        <v>10920</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5">
        <f>Z817+Y801+Z809</f>
        <v>1723812</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9" t="s">
        <v>126</v>
      </c>
      <c r="N823" s="1609"/>
      <c r="O823" s="1609"/>
      <c r="P823" s="1610"/>
      <c r="Q823" s="1620" t="s">
        <v>291</v>
      </c>
      <c r="R823" s="1620"/>
      <c r="S823" s="1620"/>
      <c r="T823" s="1620"/>
      <c r="U823" s="1620" t="s">
        <v>292</v>
      </c>
      <c r="V823" s="1620"/>
      <c r="W823" s="1620"/>
      <c r="X823" s="1620"/>
      <c r="Y823" s="1620" t="s">
        <v>293</v>
      </c>
      <c r="Z823" s="1620"/>
      <c r="AA823" s="1620"/>
      <c r="AB823" s="1620"/>
      <c r="AC823" s="1620" t="s">
        <v>362</v>
      </c>
      <c r="AD823" s="1620"/>
      <c r="AE823" s="1620"/>
      <c r="AF823" s="1620"/>
      <c r="AG823" s="1616" t="s">
        <v>336</v>
      </c>
      <c r="AH823" s="1616"/>
      <c r="AI823" s="1616"/>
      <c r="AJ823" s="161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1"/>
      <c r="N824" s="1611"/>
      <c r="O824" s="1611"/>
      <c r="P824" s="1612"/>
      <c r="Q824" s="1620"/>
      <c r="R824" s="1620"/>
      <c r="S824" s="1620"/>
      <c r="T824" s="1620"/>
      <c r="U824" s="1620"/>
      <c r="V824" s="1620"/>
      <c r="W824" s="1620"/>
      <c r="X824" s="1620"/>
      <c r="Y824" s="1620"/>
      <c r="Z824" s="1620"/>
      <c r="AA824" s="1620"/>
      <c r="AB824" s="1620"/>
      <c r="AC824" s="1620"/>
      <c r="AD824" s="1620"/>
      <c r="AE824" s="1620"/>
      <c r="AF824" s="1620"/>
      <c r="AG824" s="1616"/>
      <c r="AH824" s="1616"/>
      <c r="AI824" s="1616"/>
      <c r="AJ824" s="161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08"/>
      <c r="E825" s="1508"/>
      <c r="F825" s="1508"/>
      <c r="G825" s="1508"/>
      <c r="H825" s="1508"/>
      <c r="I825" s="48"/>
      <c r="J825" s="48"/>
      <c r="K825" s="48"/>
      <c r="L825" s="49"/>
      <c r="M825" s="1597">
        <v>5</v>
      </c>
      <c r="N825" s="1597"/>
      <c r="O825" s="1597"/>
      <c r="P825" s="1597"/>
      <c r="Q825" s="1597">
        <v>7</v>
      </c>
      <c r="R825" s="1597"/>
      <c r="S825" s="1597"/>
      <c r="T825" s="1597"/>
      <c r="U825" s="1597">
        <v>9</v>
      </c>
      <c r="V825" s="1597"/>
      <c r="W825" s="1597"/>
      <c r="X825" s="1597"/>
      <c r="Y825" s="1597">
        <v>11</v>
      </c>
      <c r="Z825" s="1597"/>
      <c r="AA825" s="1597"/>
      <c r="AB825" s="1597"/>
      <c r="AC825" s="1585"/>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9" t="s">
        <v>41</v>
      </c>
      <c r="D826" s="1446"/>
      <c r="E826" s="1446"/>
      <c r="F826" s="1446"/>
      <c r="G826" s="1446"/>
      <c r="H826" s="1446"/>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85"/>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9" t="s">
        <v>42</v>
      </c>
      <c r="D827" s="1446"/>
      <c r="E827" s="1446"/>
      <c r="F827" s="1446"/>
      <c r="G827" s="1446"/>
      <c r="H827" s="1446"/>
      <c r="I827" s="60"/>
      <c r="J827" s="60"/>
      <c r="K827" s="60"/>
      <c r="L827" s="61"/>
      <c r="M827" s="1597">
        <v>18</v>
      </c>
      <c r="N827" s="1597"/>
      <c r="O827" s="1597"/>
      <c r="P827" s="1597"/>
      <c r="Q827" s="1597">
        <v>25</v>
      </c>
      <c r="R827" s="1597"/>
      <c r="S827" s="1597"/>
      <c r="T827" s="1597"/>
      <c r="U827" s="1597">
        <v>33</v>
      </c>
      <c r="V827" s="1597"/>
      <c r="W827" s="1597"/>
      <c r="X827" s="1597"/>
      <c r="Y827" s="1597">
        <v>40</v>
      </c>
      <c r="Z827" s="1597"/>
      <c r="AA827" s="1597"/>
      <c r="AB827" s="1597"/>
      <c r="AC827" s="1585"/>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9" t="s">
        <v>770</v>
      </c>
      <c r="D828" s="1446"/>
      <c r="E828" s="1446"/>
      <c r="F828" s="1446"/>
      <c r="G828" s="1446"/>
      <c r="H828" s="1446"/>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9" t="s">
        <v>466</v>
      </c>
      <c r="D829" s="1446"/>
      <c r="E829" s="1446"/>
      <c r="F829" s="1446"/>
      <c r="G829" s="1446"/>
      <c r="H829" s="1446"/>
      <c r="I829" s="60"/>
      <c r="J829" s="60"/>
      <c r="K829" s="60"/>
      <c r="L829" s="61"/>
      <c r="M829" s="1597">
        <v>52</v>
      </c>
      <c r="N829" s="1597"/>
      <c r="O829" s="1597"/>
      <c r="P829" s="1597"/>
      <c r="Q829" s="1597">
        <v>73</v>
      </c>
      <c r="R829" s="1597"/>
      <c r="S829" s="1597"/>
      <c r="T829" s="1597"/>
      <c r="U829" s="1597">
        <v>94</v>
      </c>
      <c r="V829" s="1597"/>
      <c r="W829" s="1597"/>
      <c r="X829" s="1597"/>
      <c r="Y829" s="1597">
        <v>115</v>
      </c>
      <c r="Z829" s="1597"/>
      <c r="AA829" s="1597"/>
      <c r="AB829" s="1597"/>
      <c r="AC829" s="1585"/>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5" t="s">
        <v>791</v>
      </c>
      <c r="D830" s="1446"/>
      <c r="E830" s="1446"/>
      <c r="F830" s="1446"/>
      <c r="G830" s="1446"/>
      <c r="H830" s="1446"/>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7" t="s">
        <v>2732</v>
      </c>
      <c r="G831" s="1618"/>
      <c r="H831" s="1618"/>
      <c r="I831" s="1618"/>
      <c r="J831" s="1618"/>
      <c r="K831" s="1618"/>
      <c r="L831" s="1618"/>
      <c r="M831" s="1597">
        <v>2</v>
      </c>
      <c r="N831" s="1597"/>
      <c r="O831" s="1597"/>
      <c r="P831" s="1597"/>
      <c r="Q831" s="1597">
        <v>3</v>
      </c>
      <c r="R831" s="1597"/>
      <c r="S831" s="1597"/>
      <c r="T831" s="1597"/>
      <c r="U831" s="1597">
        <v>4</v>
      </c>
      <c r="V831" s="1597"/>
      <c r="W831" s="1597"/>
      <c r="X831" s="1597"/>
      <c r="Y831" s="1597">
        <v>5</v>
      </c>
      <c r="Z831" s="1597"/>
      <c r="AA831" s="1597"/>
      <c r="AB831" s="1597"/>
      <c r="AC831" s="1585"/>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1" t="s">
        <v>124</v>
      </c>
      <c r="D832" s="1592"/>
      <c r="E832" s="1592"/>
      <c r="F832" s="1592"/>
      <c r="G832" s="1592"/>
      <c r="H832" s="1592"/>
      <c r="I832" s="1592"/>
      <c r="J832" s="1592"/>
      <c r="K832" s="1592"/>
      <c r="L832" s="1593"/>
      <c r="M832" s="1624">
        <f>SUM(M825:P831)</f>
        <v>77</v>
      </c>
      <c r="N832" s="1624"/>
      <c r="O832" s="1624"/>
      <c r="P832" s="1624"/>
      <c r="Q832" s="1624">
        <f>SUM(Q825:T831)</f>
        <v>108</v>
      </c>
      <c r="R832" s="1624"/>
      <c r="S832" s="1624"/>
      <c r="T832" s="1624"/>
      <c r="U832" s="1624">
        <f>SUM(U825:X831)</f>
        <v>140</v>
      </c>
      <c r="V832" s="1624"/>
      <c r="W832" s="1624"/>
      <c r="X832" s="1624"/>
      <c r="Y832" s="1624">
        <f>SUM(Y825:AB831)</f>
        <v>171</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6" t="s">
        <v>2733</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9">
        <v>2273</v>
      </c>
      <c r="X842" s="1629"/>
      <c r="Y842" s="1629"/>
      <c r="Z842" s="1629"/>
      <c r="AA842" s="1629"/>
      <c r="AB842" s="1629"/>
      <c r="AC842" s="1629"/>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9">
        <v>1750</v>
      </c>
      <c r="X843" s="1629"/>
      <c r="Y843" s="1629"/>
      <c r="Z843" s="1629"/>
      <c r="AA843" s="1629"/>
      <c r="AB843" s="1629"/>
      <c r="AC843" s="162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9">
        <v>24650</v>
      </c>
      <c r="X844" s="1629"/>
      <c r="Y844" s="1629"/>
      <c r="Z844" s="1629"/>
      <c r="AA844" s="1629"/>
      <c r="AB844" s="1629"/>
      <c r="AC844" s="162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9">
        <v>49000</v>
      </c>
      <c r="X845" s="1629"/>
      <c r="Y845" s="1629"/>
      <c r="Z845" s="1629"/>
      <c r="AA845" s="1629"/>
      <c r="AB845" s="1629"/>
      <c r="AC845" s="162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7" t="s">
        <v>2750</v>
      </c>
      <c r="N846" s="1618"/>
      <c r="O846" s="1618"/>
      <c r="P846" s="1618"/>
      <c r="Q846" s="1618"/>
      <c r="R846" s="1618"/>
      <c r="S846" s="1618"/>
      <c r="T846" s="1618"/>
      <c r="U846" s="1618"/>
      <c r="V846" s="1619"/>
      <c r="W846" s="1629">
        <v>43934</v>
      </c>
      <c r="X846" s="1629"/>
      <c r="Y846" s="1629"/>
      <c r="Z846" s="1629"/>
      <c r="AA846" s="1629"/>
      <c r="AB846" s="1629"/>
      <c r="AC846" s="162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5">
        <f>SUM(W842:AC846)</f>
        <v>121607</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1"/>
      <c r="BH848" s="1631"/>
      <c r="BI848" s="1631"/>
      <c r="BJ848" s="1631"/>
      <c r="BK848" s="1631"/>
      <c r="BL848" s="1631"/>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1" t="s">
        <v>346</v>
      </c>
      <c r="K849" s="1592"/>
      <c r="L849" s="1592"/>
      <c r="M849" s="1592"/>
      <c r="N849" s="1592"/>
      <c r="O849" s="1592"/>
      <c r="P849" s="1592"/>
      <c r="Q849" s="1592"/>
      <c r="R849" s="1592"/>
      <c r="S849" s="1592"/>
      <c r="T849" s="1592"/>
      <c r="U849" s="1592"/>
      <c r="V849" s="1593"/>
      <c r="W849" s="1581">
        <v>62244</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28">
        <v>0</v>
      </c>
      <c r="X851" s="1628"/>
      <c r="Y851" s="1628"/>
      <c r="Z851" s="1628"/>
      <c r="AA851" s="1628"/>
      <c r="AB851" s="1628"/>
      <c r="AC851" s="1628"/>
      <c r="AZ851" s="1644">
        <f>SUM(AZ818:AZ846)</f>
        <v>7.5000000000000011E-2</v>
      </c>
      <c r="BA851" s="1644"/>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8">
        <v>0</v>
      </c>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28">
        <v>74300</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28">
        <v>170994</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2">
        <f>SUM(W851:AC854)</f>
        <v>245294</v>
      </c>
      <c r="X855" s="1642"/>
      <c r="Y855" s="1642"/>
      <c r="Z855" s="1642"/>
      <c r="AA855" s="1642"/>
      <c r="AB855" s="1642"/>
      <c r="AC855" s="164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05">
        <v>87131</v>
      </c>
      <c r="X857" s="1606"/>
      <c r="Y857" s="1606"/>
      <c r="Z857" s="1606"/>
      <c r="AA857" s="1606"/>
      <c r="AB857" s="1606"/>
      <c r="AC857" s="160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32">
        <v>2</v>
      </c>
      <c r="U858" s="1577"/>
      <c r="V858" s="163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5">
        <v>66997</v>
      </c>
      <c r="X859" s="1606"/>
      <c r="Y859" s="1606"/>
      <c r="Z859" s="1606"/>
      <c r="AA859" s="1606"/>
      <c r="AB859" s="1606"/>
      <c r="AC859" s="160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32"/>
      <c r="U860" s="1577"/>
      <c r="V860" s="163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7" t="s">
        <v>2751</v>
      </c>
      <c r="N861" s="1618"/>
      <c r="O861" s="1618"/>
      <c r="P861" s="1618"/>
      <c r="Q861" s="1618"/>
      <c r="R861" s="1618"/>
      <c r="S861" s="1618"/>
      <c r="T861" s="1618"/>
      <c r="U861" s="1618"/>
      <c r="V861" s="1619"/>
      <c r="W861" s="1605">
        <v>68062</v>
      </c>
      <c r="X861" s="1606"/>
      <c r="Y861" s="1606"/>
      <c r="Z861" s="1606"/>
      <c r="AA861" s="1606"/>
      <c r="AB861" s="1606"/>
      <c r="AC861" s="160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4">
        <f>SUM(W857:AC861)</f>
        <v>222190</v>
      </c>
      <c r="X862" s="1635"/>
      <c r="Y862" s="1635"/>
      <c r="Z862" s="1635"/>
      <c r="AA862" s="1635"/>
      <c r="AB862" s="1635"/>
      <c r="AC862" s="163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5">
        <v>101247</v>
      </c>
      <c r="X863" s="1606"/>
      <c r="Y863" s="1606"/>
      <c r="Z863" s="1606"/>
      <c r="AA863" s="1606"/>
      <c r="AB863" s="1606"/>
      <c r="AC863" s="160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29">
        <v>1926</v>
      </c>
      <c r="X865" s="1629"/>
      <c r="Y865" s="1629"/>
      <c r="Z865" s="1629"/>
      <c r="AA865" s="1629"/>
      <c r="AB865" s="1629"/>
      <c r="AC865" s="162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29">
        <v>43941</v>
      </c>
      <c r="X866" s="1629"/>
      <c r="Y866" s="1629"/>
      <c r="Z866" s="1629"/>
      <c r="AA866" s="1629"/>
      <c r="AB866" s="1629"/>
      <c r="AC866" s="162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29">
        <v>58685</v>
      </c>
      <c r="X867" s="1629"/>
      <c r="Y867" s="1629"/>
      <c r="Z867" s="1629"/>
      <c r="AA867" s="1629"/>
      <c r="AB867" s="1629"/>
      <c r="AC867" s="162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29">
        <v>3806</v>
      </c>
      <c r="X868" s="1629"/>
      <c r="Y868" s="1629"/>
      <c r="Z868" s="1629"/>
      <c r="AA868" s="1629"/>
      <c r="AB868" s="1629"/>
      <c r="AC868" s="162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29">
        <v>30699</v>
      </c>
      <c r="X869" s="1629"/>
      <c r="Y869" s="1629"/>
      <c r="Z869" s="1629"/>
      <c r="AA869" s="1629"/>
      <c r="AB869" s="1629"/>
      <c r="AC869" s="162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29">
        <v>20903</v>
      </c>
      <c r="X870" s="1629"/>
      <c r="Y870" s="1629"/>
      <c r="Z870" s="1629"/>
      <c r="AA870" s="1629"/>
      <c r="AB870" s="1629"/>
      <c r="AC870" s="162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7" t="s">
        <v>2752</v>
      </c>
      <c r="N871" s="1618"/>
      <c r="O871" s="1618"/>
      <c r="P871" s="1618"/>
      <c r="Q871" s="1618"/>
      <c r="R871" s="1618"/>
      <c r="S871" s="1618"/>
      <c r="T871" s="1618"/>
      <c r="U871" s="1618"/>
      <c r="V871" s="1619"/>
      <c r="W871" s="1629">
        <v>3542</v>
      </c>
      <c r="X871" s="1629"/>
      <c r="Y871" s="1629"/>
      <c r="Z871" s="1629"/>
      <c r="AA871" s="1629"/>
      <c r="AB871" s="1629"/>
      <c r="AC871" s="162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8">
        <f>SUM(W865:AC871)</f>
        <v>163502</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617" t="s">
        <v>335</v>
      </c>
      <c r="N874" s="1618"/>
      <c r="O874" s="1618"/>
      <c r="P874" s="1618"/>
      <c r="Q874" s="1618"/>
      <c r="R874" s="1618"/>
      <c r="S874" s="1618"/>
      <c r="T874" s="1618"/>
      <c r="U874" s="1618"/>
      <c r="V874" s="1619"/>
      <c r="W874" s="1581"/>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617" t="s">
        <v>335</v>
      </c>
      <c r="N875" s="1618"/>
      <c r="O875" s="1618"/>
      <c r="P875" s="1618"/>
      <c r="Q875" s="1618"/>
      <c r="R875" s="1618"/>
      <c r="S875" s="1618"/>
      <c r="T875" s="1618"/>
      <c r="U875" s="1618"/>
      <c r="V875" s="1619"/>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7" t="s">
        <v>335</v>
      </c>
      <c r="N876" s="1618"/>
      <c r="O876" s="1618"/>
      <c r="P876" s="1618"/>
      <c r="Q876" s="1618"/>
      <c r="R876" s="1618"/>
      <c r="S876" s="1618"/>
      <c r="T876" s="1618"/>
      <c r="U876" s="1618"/>
      <c r="V876" s="1619"/>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7" t="s">
        <v>335</v>
      </c>
      <c r="N877" s="1618"/>
      <c r="O877" s="1618"/>
      <c r="P877" s="1618"/>
      <c r="Q877" s="1618"/>
      <c r="R877" s="1618"/>
      <c r="S877" s="1618"/>
      <c r="T877" s="1618"/>
      <c r="U877" s="1618"/>
      <c r="V877" s="1619"/>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7" t="s">
        <v>335</v>
      </c>
      <c r="N878" s="1618"/>
      <c r="O878" s="1618"/>
      <c r="P878" s="1618"/>
      <c r="Q878" s="1618"/>
      <c r="R878" s="1618"/>
      <c r="S878" s="1618"/>
      <c r="T878" s="1618"/>
      <c r="U878" s="1618"/>
      <c r="V878" s="1619"/>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5">
        <f>SUM(W874:AC878)</f>
        <v>0</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6">
        <f>W847+W855+W862+W863+W872+W879+W849</f>
        <v>916084</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0">
        <f>O797+O777+G753</f>
        <v>92</v>
      </c>
      <c r="AD884" s="1640"/>
      <c r="AE884" s="1640"/>
      <c r="AF884" s="1640"/>
      <c r="AG884" s="1640"/>
      <c r="AH884" s="164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5" t="s">
        <v>32</v>
      </c>
      <c r="F885" s="1755"/>
      <c r="G885" s="1755"/>
      <c r="H885" s="1755"/>
      <c r="I885" s="1755"/>
      <c r="J885" s="1755"/>
      <c r="K885" s="1755"/>
      <c r="L885" s="1755"/>
      <c r="M885" s="1755"/>
      <c r="N885" s="1755"/>
      <c r="O885" s="1755"/>
      <c r="P885" s="1755"/>
      <c r="Q885" s="1755"/>
      <c r="R885" s="1755"/>
      <c r="S885" s="1755"/>
      <c r="T885" s="1755"/>
      <c r="U885" s="1755"/>
      <c r="V885" s="1755"/>
      <c r="W885" s="1755"/>
      <c r="X885" s="1755"/>
      <c r="Y885" s="1755"/>
      <c r="Z885" s="1755"/>
      <c r="AA885" s="1755"/>
      <c r="AB885" s="1756"/>
      <c r="AC885" s="1608">
        <f>IF(ISERROR((ROUNDDOWN(AC883/AC884,0))),0,(ROUNDDOWN(AC883/AC884,0)))</f>
        <v>9957</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48">
        <v>391641</v>
      </c>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83"/>
      <c r="AD887" s="1629"/>
      <c r="AE887" s="1629"/>
      <c r="AF887" s="1629"/>
      <c r="AG887" s="1629"/>
      <c r="AH887" s="162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2">
        <v>120755</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46000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5">
        <f>0.0042*AO628</f>
        <v>92400</v>
      </c>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8375</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2778</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760">
        <f>8438</f>
        <v>8438</v>
      </c>
      <c r="AD893" s="1629"/>
      <c r="AE893" s="1629"/>
      <c r="AF893" s="1629"/>
      <c r="AG893" s="1629"/>
      <c r="AH893" s="162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2753</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29">
        <v>1</v>
      </c>
      <c r="AD894" s="1629"/>
      <c r="AE894" s="1629"/>
      <c r="AF894" s="1629"/>
      <c r="AG894" s="1629"/>
      <c r="AH894" s="162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30"/>
      <c r="BE898" s="16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30"/>
      <c r="BE899" s="16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31"/>
      <c r="BE900" s="163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5">
        <f>Z898-(Z899+Z900)</f>
        <v>0</v>
      </c>
      <c r="AA901" s="1626"/>
      <c r="AB901" s="1626"/>
      <c r="AC901" s="1626"/>
      <c r="AD901" s="1626"/>
      <c r="AE901" s="1627"/>
      <c r="AZ901" s="34"/>
      <c r="BB901" s="30"/>
      <c r="BC901" s="850"/>
      <c r="BD901" s="1631"/>
      <c r="BE901" s="163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1"/>
      <c r="BE902" s="163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0"/>
      <c r="BE903" s="163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1"/>
      <c r="BE906" s="163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0"/>
      <c r="BE907" s="163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43" t="s">
        <v>96</v>
      </c>
      <c r="B909" s="1643"/>
      <c r="C909" s="1643"/>
      <c r="D909" s="1643"/>
      <c r="E909" s="1643"/>
      <c r="F909" s="1643"/>
      <c r="G909" s="1643"/>
      <c r="H909" s="1643"/>
      <c r="I909" s="1643"/>
      <c r="J909" s="1643"/>
      <c r="K909" s="1643"/>
      <c r="L909" s="1643"/>
      <c r="M909" s="1643"/>
      <c r="N909" s="1643"/>
      <c r="O909" s="1643"/>
      <c r="P909" s="1643"/>
      <c r="Q909" s="1643"/>
      <c r="R909" s="1643"/>
      <c r="S909" s="1643"/>
      <c r="T909" s="1643"/>
      <c r="U909" s="1643"/>
      <c r="V909" s="1643"/>
      <c r="W909" s="1643"/>
      <c r="X909" s="1643"/>
      <c r="Y909" s="1643"/>
      <c r="Z909" s="1643"/>
      <c r="AA909" s="1643"/>
      <c r="AB909" s="1643"/>
      <c r="AC909" s="1643"/>
      <c r="AD909" s="1643"/>
      <c r="AE909" s="1643"/>
      <c r="AF909" s="1643"/>
      <c r="AG909" s="1643"/>
      <c r="AH909" s="1643"/>
      <c r="AI909" s="1643"/>
      <c r="AJ909" s="1643"/>
      <c r="AK909" s="1643"/>
      <c r="AL909" s="1643"/>
      <c r="AM909" s="1643"/>
      <c r="AN909" s="1643"/>
      <c r="AO909" s="1643"/>
      <c r="AP909" s="1643"/>
      <c r="AQ909" s="1643"/>
      <c r="AR909" s="1643"/>
      <c r="AS909" s="1643"/>
      <c r="AT909" s="1643"/>
      <c r="AZ909" s="34"/>
      <c r="BA909" s="34"/>
      <c r="BB909" s="30"/>
      <c r="BC909" s="30"/>
      <c r="BD909" s="1630"/>
      <c r="BE909" s="163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43"/>
      <c r="B910" s="1643"/>
      <c r="C910" s="1643"/>
      <c r="D910" s="1643"/>
      <c r="E910" s="1643"/>
      <c r="F910" s="1643"/>
      <c r="G910" s="1643"/>
      <c r="H910" s="1643"/>
      <c r="I910" s="1643"/>
      <c r="J910" s="1643"/>
      <c r="K910" s="1643"/>
      <c r="L910" s="1643"/>
      <c r="M910" s="1643"/>
      <c r="N910" s="1643"/>
      <c r="O910" s="1643"/>
      <c r="P910" s="1643"/>
      <c r="Q910" s="1643"/>
      <c r="R910" s="1643"/>
      <c r="S910" s="1643"/>
      <c r="T910" s="1643"/>
      <c r="U910" s="1643"/>
      <c r="V910" s="1643"/>
      <c r="W910" s="1643"/>
      <c r="X910" s="1643"/>
      <c r="Y910" s="1643"/>
      <c r="Z910" s="1643"/>
      <c r="AA910" s="1643"/>
      <c r="AB910" s="1643"/>
      <c r="AC910" s="1643"/>
      <c r="AD910" s="1643"/>
      <c r="AE910" s="1643"/>
      <c r="AF910" s="1643"/>
      <c r="AG910" s="1643"/>
      <c r="AH910" s="1643"/>
      <c r="AI910" s="1643"/>
      <c r="AJ910" s="1643"/>
      <c r="AK910" s="1643"/>
      <c r="AL910" s="1643"/>
      <c r="AM910" s="1643"/>
      <c r="AN910" s="1643"/>
      <c r="AO910" s="1643"/>
      <c r="AP910" s="1643"/>
      <c r="AQ910" s="1643"/>
      <c r="AR910" s="1643"/>
      <c r="AS910" s="1643"/>
      <c r="AT910" s="16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7" t="s">
        <v>800</v>
      </c>
      <c r="G914" s="1848"/>
      <c r="H914" s="1848"/>
      <c r="I914" s="1848"/>
      <c r="J914" s="1848"/>
      <c r="K914" s="1848"/>
      <c r="L914" s="1848"/>
      <c r="M914" s="1848"/>
      <c r="N914" s="1848"/>
      <c r="O914" s="1848"/>
      <c r="P914" s="1848"/>
      <c r="Q914" s="1848"/>
      <c r="R914" s="1848"/>
      <c r="S914" s="1848"/>
      <c r="T914" s="1849"/>
      <c r="U914" s="1652" t="s">
        <v>31</v>
      </c>
      <c r="V914" s="1609"/>
      <c r="W914" s="1609"/>
      <c r="X914" s="1609"/>
      <c r="Y914" s="1609"/>
      <c r="Z914" s="160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826</v>
      </c>
      <c r="G915" s="1654"/>
      <c r="H915" s="1654"/>
      <c r="I915" s="1654"/>
      <c r="J915" s="1654"/>
      <c r="K915" s="1654"/>
      <c r="L915" s="1654"/>
      <c r="M915" s="1654"/>
      <c r="N915" s="1654"/>
      <c r="O915" s="1654"/>
      <c r="P915" s="1654"/>
      <c r="Q915" s="1654"/>
      <c r="R915" s="1654"/>
      <c r="S915" s="1654"/>
      <c r="T915" s="1828"/>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11"/>
      <c r="H916" s="1611"/>
      <c r="I916" s="1611"/>
      <c r="J916" s="1611"/>
      <c r="K916" s="1611"/>
      <c r="L916" s="1611"/>
      <c r="M916" s="1611"/>
      <c r="N916" s="1611"/>
      <c r="O916" s="1611"/>
      <c r="P916" s="1611"/>
      <c r="Q916" s="1611"/>
      <c r="R916" s="1611"/>
      <c r="S916" s="1611"/>
      <c r="T916" s="1612"/>
      <c r="U916" s="1655"/>
      <c r="V916" s="1611"/>
      <c r="W916" s="1611"/>
      <c r="X916" s="1611"/>
      <c r="Y916" s="1611"/>
      <c r="Z916" s="1611"/>
      <c r="AA916" s="108"/>
      <c r="AB916" s="1494" t="s">
        <v>392</v>
      </c>
      <c r="AC916" s="1494"/>
      <c r="AD916" s="1494"/>
      <c r="AE916" s="149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5" t="s">
        <v>552</v>
      </c>
      <c r="V917" s="1398"/>
      <c r="W917" s="1398"/>
      <c r="X917" s="1398"/>
      <c r="Y917" s="1398"/>
      <c r="Z917" s="1399"/>
      <c r="AA917" s="1646">
        <f>AM554</f>
        <v>45579468</v>
      </c>
      <c r="AB917" s="1533"/>
      <c r="AC917" s="1533"/>
      <c r="AD917" s="1533"/>
      <c r="AE917" s="1533"/>
      <c r="AF917" s="164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5" t="s">
        <v>552</v>
      </c>
      <c r="V918" s="1398"/>
      <c r="W918" s="1398"/>
      <c r="X918" s="1398"/>
      <c r="Y918" s="1398"/>
      <c r="Z918" s="1399"/>
      <c r="AA918" s="1646">
        <f>AM555</f>
        <v>20179847</v>
      </c>
      <c r="AB918" s="1533"/>
      <c r="AC918" s="1533"/>
      <c r="AD918" s="1533"/>
      <c r="AE918" s="1533"/>
      <c r="AF918" s="164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5" t="s">
        <v>598</v>
      </c>
      <c r="V919" s="1398"/>
      <c r="W919" s="1398"/>
      <c r="X919" s="1398"/>
      <c r="Y919" s="1398"/>
      <c r="Z919" s="1399"/>
      <c r="AA919" s="1646"/>
      <c r="AB919" s="1533"/>
      <c r="AC919" s="1533"/>
      <c r="AD919" s="1533"/>
      <c r="AE919" s="1533"/>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5" t="s">
        <v>598</v>
      </c>
      <c r="V920" s="1398"/>
      <c r="W920" s="1398"/>
      <c r="X920" s="1398"/>
      <c r="Y920" s="1398"/>
      <c r="Z920" s="1399"/>
      <c r="AA920" s="1646"/>
      <c r="AB920" s="1533"/>
      <c r="AC920" s="1533"/>
      <c r="AD920" s="1533"/>
      <c r="AE920" s="1533"/>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5" t="s">
        <v>598</v>
      </c>
      <c r="V921" s="1398"/>
      <c r="W921" s="1398"/>
      <c r="X921" s="1398"/>
      <c r="Y921" s="1398"/>
      <c r="Z921" s="1399"/>
      <c r="AA921" s="1646"/>
      <c r="AB921" s="1533"/>
      <c r="AC921" s="1533"/>
      <c r="AD921" s="1533"/>
      <c r="AE921" s="1533"/>
      <c r="AF921" s="164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5" t="s">
        <v>598</v>
      </c>
      <c r="V922" s="1398"/>
      <c r="W922" s="1398"/>
      <c r="X922" s="1398"/>
      <c r="Y922" s="1398"/>
      <c r="Z922" s="1399"/>
      <c r="AA922" s="1646"/>
      <c r="AB922" s="1533"/>
      <c r="AC922" s="1533"/>
      <c r="AD922" s="1533"/>
      <c r="AE922" s="1533"/>
      <c r="AF922" s="164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5" t="s">
        <v>598</v>
      </c>
      <c r="V923" s="1398"/>
      <c r="W923" s="1398"/>
      <c r="X923" s="1398"/>
      <c r="Y923" s="1398"/>
      <c r="Z923" s="1399"/>
      <c r="AA923" s="1646"/>
      <c r="AB923" s="1533"/>
      <c r="AC923" s="1533"/>
      <c r="AD923" s="1533"/>
      <c r="AE923" s="1533"/>
      <c r="AF923" s="164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5" t="s">
        <v>598</v>
      </c>
      <c r="V924" s="1398"/>
      <c r="W924" s="1398"/>
      <c r="X924" s="1398"/>
      <c r="Y924" s="1398"/>
      <c r="Z924" s="1399"/>
      <c r="AA924" s="1646"/>
      <c r="AB924" s="1533"/>
      <c r="AC924" s="1533"/>
      <c r="AD924" s="1533"/>
      <c r="AE924" s="1533"/>
      <c r="AF924" s="164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2" t="s">
        <v>2555</v>
      </c>
      <c r="G925" s="1673"/>
      <c r="H925" s="1673"/>
      <c r="I925" s="1673"/>
      <c r="J925" s="1673"/>
      <c r="K925" s="1673"/>
      <c r="L925" s="1673"/>
      <c r="M925" s="1673"/>
      <c r="N925" s="1673"/>
      <c r="O925" s="1673"/>
      <c r="P925" s="1673"/>
      <c r="Q925" s="1673"/>
      <c r="R925" s="1673"/>
      <c r="S925" s="1673"/>
      <c r="T925" s="1674"/>
      <c r="U925" s="1645" t="s">
        <v>598</v>
      </c>
      <c r="V925" s="1398"/>
      <c r="W925" s="1398"/>
      <c r="X925" s="1398"/>
      <c r="Y925" s="1398"/>
      <c r="Z925" s="1399"/>
      <c r="AA925" s="1646"/>
      <c r="AB925" s="1533"/>
      <c r="AC925" s="1533"/>
      <c r="AD925" s="1533"/>
      <c r="AE925" s="1533"/>
      <c r="AF925" s="16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2" t="s">
        <v>686</v>
      </c>
      <c r="G926" s="1673"/>
      <c r="H926" s="1673"/>
      <c r="I926" s="1673"/>
      <c r="J926" s="1673"/>
      <c r="K926" s="1673"/>
      <c r="L926" s="1673"/>
      <c r="M926" s="1673"/>
      <c r="N926" s="1673"/>
      <c r="O926" s="1673"/>
      <c r="P926" s="1673"/>
      <c r="Q926" s="1673"/>
      <c r="R926" s="1673"/>
      <c r="S926" s="1673"/>
      <c r="T926" s="1674"/>
      <c r="U926" s="1645" t="s">
        <v>598</v>
      </c>
      <c r="V926" s="1398"/>
      <c r="W926" s="1398"/>
      <c r="X926" s="1398"/>
      <c r="Y926" s="1398"/>
      <c r="Z926" s="1399"/>
      <c r="AA926" s="1646"/>
      <c r="AB926" s="1533"/>
      <c r="AC926" s="1533"/>
      <c r="AD926" s="1533"/>
      <c r="AE926" s="1533"/>
      <c r="AF926" s="164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2" t="s">
        <v>2556</v>
      </c>
      <c r="G927" s="1673"/>
      <c r="H927" s="1673"/>
      <c r="I927" s="1673"/>
      <c r="J927" s="1673"/>
      <c r="K927" s="1673"/>
      <c r="L927" s="1673"/>
      <c r="M927" s="1673"/>
      <c r="N927" s="1673"/>
      <c r="O927" s="1673"/>
      <c r="P927" s="1673"/>
      <c r="Q927" s="1673"/>
      <c r="R927" s="1673"/>
      <c r="S927" s="1673"/>
      <c r="T927" s="1674"/>
      <c r="U927" s="1645" t="s">
        <v>598</v>
      </c>
      <c r="V927" s="1398"/>
      <c r="W927" s="1398"/>
      <c r="X927" s="1398"/>
      <c r="Y927" s="1398"/>
      <c r="Z927" s="1399"/>
      <c r="AA927" s="1646"/>
      <c r="AB927" s="1533"/>
      <c r="AC927" s="1533"/>
      <c r="AD927" s="1533"/>
      <c r="AE927" s="1533"/>
      <c r="AF927" s="164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2" t="s">
        <v>2557</v>
      </c>
      <c r="G928" s="1673"/>
      <c r="H928" s="1673"/>
      <c r="I928" s="1673"/>
      <c r="J928" s="1673"/>
      <c r="K928" s="1673"/>
      <c r="L928" s="1673"/>
      <c r="M928" s="1673"/>
      <c r="N928" s="1673"/>
      <c r="O928" s="1673"/>
      <c r="P928" s="1673"/>
      <c r="Q928" s="1673"/>
      <c r="R928" s="1673"/>
      <c r="S928" s="1673"/>
      <c r="T928" s="1674"/>
      <c r="U928" s="1645" t="s">
        <v>598</v>
      </c>
      <c r="V928" s="1398"/>
      <c r="W928" s="1398"/>
      <c r="X928" s="1398"/>
      <c r="Y928" s="1398"/>
      <c r="Z928" s="1399"/>
      <c r="AA928" s="1646"/>
      <c r="AB928" s="1533"/>
      <c r="AC928" s="1533"/>
      <c r="AD928" s="1533"/>
      <c r="AE928" s="1533"/>
      <c r="AF928" s="164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2" t="s">
        <v>2558</v>
      </c>
      <c r="G929" s="1673"/>
      <c r="H929" s="1673"/>
      <c r="I929" s="1673"/>
      <c r="J929" s="1673"/>
      <c r="K929" s="1673"/>
      <c r="L929" s="1673"/>
      <c r="M929" s="1673"/>
      <c r="N929" s="1673"/>
      <c r="O929" s="1673"/>
      <c r="P929" s="1673"/>
      <c r="Q929" s="1673"/>
      <c r="R929" s="1673"/>
      <c r="S929" s="1673"/>
      <c r="T929" s="1674"/>
      <c r="U929" s="1645" t="s">
        <v>598</v>
      </c>
      <c r="V929" s="1398"/>
      <c r="W929" s="1398"/>
      <c r="X929" s="1398"/>
      <c r="Y929" s="1398"/>
      <c r="Z929" s="1399"/>
      <c r="AA929" s="1646"/>
      <c r="AB929" s="1533"/>
      <c r="AC929" s="1533"/>
      <c r="AD929" s="1533"/>
      <c r="AE929" s="1533"/>
      <c r="AF929" s="164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2" t="s">
        <v>2559</v>
      </c>
      <c r="G930" s="1673"/>
      <c r="H930" s="1673"/>
      <c r="I930" s="1673"/>
      <c r="J930" s="1673"/>
      <c r="K930" s="1673"/>
      <c r="L930" s="1673"/>
      <c r="M930" s="1673"/>
      <c r="N930" s="1673"/>
      <c r="O930" s="1673"/>
      <c r="P930" s="1673"/>
      <c r="Q930" s="1673"/>
      <c r="R930" s="1673"/>
      <c r="S930" s="1673"/>
      <c r="T930" s="1674"/>
      <c r="U930" s="1645" t="s">
        <v>552</v>
      </c>
      <c r="V930" s="1398"/>
      <c r="W930" s="1398"/>
      <c r="X930" s="1398"/>
      <c r="Y930" s="1398"/>
      <c r="Z930" s="1399"/>
      <c r="AA930" s="1646">
        <v>22000000</v>
      </c>
      <c r="AB930" s="1533"/>
      <c r="AC930" s="1533"/>
      <c r="AD930" s="1533"/>
      <c r="AE930" s="1533"/>
      <c r="AF930" s="164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2" t="s">
        <v>2560</v>
      </c>
      <c r="G931" s="1673"/>
      <c r="H931" s="1673"/>
      <c r="I931" s="1673"/>
      <c r="J931" s="1673"/>
      <c r="K931" s="1673"/>
      <c r="L931" s="1673"/>
      <c r="M931" s="1673"/>
      <c r="N931" s="1673"/>
      <c r="O931" s="1673"/>
      <c r="P931" s="1673"/>
      <c r="Q931" s="1673"/>
      <c r="R931" s="1673"/>
      <c r="S931" s="1673"/>
      <c r="T931" s="1674"/>
      <c r="U931" s="1645" t="s">
        <v>598</v>
      </c>
      <c r="V931" s="1398"/>
      <c r="W931" s="1398"/>
      <c r="X931" s="1398"/>
      <c r="Y931" s="1398"/>
      <c r="Z931" s="1399"/>
      <c r="AA931" s="1646"/>
      <c r="AB931" s="1533"/>
      <c r="AC931" s="1533"/>
      <c r="AD931" s="1533"/>
      <c r="AE931" s="1533"/>
      <c r="AF931" s="164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5" t="s">
        <v>598</v>
      </c>
      <c r="V932" s="1398"/>
      <c r="W932" s="1398"/>
      <c r="X932" s="1398"/>
      <c r="Y932" s="1398"/>
      <c r="Z932" s="1399"/>
      <c r="AA932" s="1646"/>
      <c r="AB932" s="1533"/>
      <c r="AC932" s="1533"/>
      <c r="AD932" s="1533"/>
      <c r="AE932" s="1533"/>
      <c r="AF932" s="164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5" t="s">
        <v>598</v>
      </c>
      <c r="V933" s="1398"/>
      <c r="W933" s="1398"/>
      <c r="X933" s="1398"/>
      <c r="Y933" s="1398"/>
      <c r="Z933" s="1399"/>
      <c r="AA933" s="1646"/>
      <c r="AB933" s="1533"/>
      <c r="AC933" s="1533"/>
      <c r="AD933" s="1533"/>
      <c r="AE933" s="1533"/>
      <c r="AF933" s="164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5" t="s">
        <v>598</v>
      </c>
      <c r="V934" s="1398"/>
      <c r="W934" s="1398"/>
      <c r="X934" s="1398"/>
      <c r="Y934" s="1398"/>
      <c r="Z934" s="1399"/>
      <c r="AA934" s="1646"/>
      <c r="AB934" s="1533"/>
      <c r="AC934" s="1533"/>
      <c r="AD934" s="1533"/>
      <c r="AE934" s="1533"/>
      <c r="AF934" s="164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5" t="s">
        <v>2564</v>
      </c>
      <c r="G935" s="1676"/>
      <c r="H935" s="1676"/>
      <c r="I935" s="1676"/>
      <c r="J935" s="1676"/>
      <c r="K935" s="1676"/>
      <c r="L935" s="1676"/>
      <c r="M935" s="1676"/>
      <c r="N935" s="1676"/>
      <c r="O935" s="1676"/>
      <c r="P935" s="1676"/>
      <c r="Q935" s="1676"/>
      <c r="R935" s="1676"/>
      <c r="S935" s="1676"/>
      <c r="T935" s="1677"/>
      <c r="U935" s="1645" t="s">
        <v>598</v>
      </c>
      <c r="V935" s="1398"/>
      <c r="W935" s="1398"/>
      <c r="X935" s="1398"/>
      <c r="Y935" s="1398"/>
      <c r="Z935" s="1399"/>
      <c r="AA935" s="1646"/>
      <c r="AB935" s="1533"/>
      <c r="AC935" s="1533"/>
      <c r="AD935" s="1533"/>
      <c r="AE935" s="1533"/>
      <c r="AF935" s="164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5" t="s">
        <v>2565</v>
      </c>
      <c r="G936" s="1676"/>
      <c r="H936" s="1676"/>
      <c r="I936" s="1676"/>
      <c r="J936" s="1676"/>
      <c r="K936" s="1676"/>
      <c r="L936" s="1676"/>
      <c r="M936" s="1676"/>
      <c r="N936" s="1676"/>
      <c r="O936" s="1676"/>
      <c r="P936" s="1676"/>
      <c r="Q936" s="1676"/>
      <c r="R936" s="1676"/>
      <c r="S936" s="1676"/>
      <c r="T936" s="1677"/>
      <c r="U936" s="1645" t="s">
        <v>598</v>
      </c>
      <c r="V936" s="1398"/>
      <c r="W936" s="1398"/>
      <c r="X936" s="1398"/>
      <c r="Y936" s="1398"/>
      <c r="Z936" s="1399"/>
      <c r="AA936" s="1646"/>
      <c r="AB936" s="1533"/>
      <c r="AC936" s="1533"/>
      <c r="AD936" s="1533"/>
      <c r="AE936" s="1533"/>
      <c r="AF936" s="164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2" t="s">
        <v>2561</v>
      </c>
      <c r="G937" s="1673"/>
      <c r="H937" s="1673"/>
      <c r="I937" s="1673"/>
      <c r="J937" s="1673"/>
      <c r="K937" s="1673"/>
      <c r="L937" s="1673"/>
      <c r="M937" s="1673"/>
      <c r="N937" s="1673"/>
      <c r="O937" s="1673"/>
      <c r="P937" s="1673"/>
      <c r="Q937" s="1673"/>
      <c r="R937" s="1673"/>
      <c r="S937" s="1673"/>
      <c r="T937" s="1674"/>
      <c r="U937" s="1645" t="s">
        <v>598</v>
      </c>
      <c r="V937" s="1398"/>
      <c r="W937" s="1398"/>
      <c r="X937" s="1398"/>
      <c r="Y937" s="1398"/>
      <c r="Z937" s="1399"/>
      <c r="AA937" s="1646"/>
      <c r="AB937" s="1533"/>
      <c r="AC937" s="1533"/>
      <c r="AD937" s="1533"/>
      <c r="AE937" s="1533"/>
      <c r="AF937" s="164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2" t="s">
        <v>2562</v>
      </c>
      <c r="G938" s="1673"/>
      <c r="H938" s="1673"/>
      <c r="I938" s="1673"/>
      <c r="J938" s="1673"/>
      <c r="K938" s="1673"/>
      <c r="L938" s="1673"/>
      <c r="M938" s="1673"/>
      <c r="N938" s="1673"/>
      <c r="O938" s="1673"/>
      <c r="P938" s="1673"/>
      <c r="Q938" s="1673"/>
      <c r="R938" s="1673"/>
      <c r="S938" s="1673"/>
      <c r="T938" s="1674"/>
      <c r="U938" s="1645" t="s">
        <v>598</v>
      </c>
      <c r="V938" s="1398"/>
      <c r="W938" s="1398"/>
      <c r="X938" s="1398"/>
      <c r="Y938" s="1398"/>
      <c r="Z938" s="139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2" t="s">
        <v>2563</v>
      </c>
      <c r="G939" s="1673"/>
      <c r="H939" s="1673"/>
      <c r="I939" s="1673"/>
      <c r="J939" s="1673"/>
      <c r="K939" s="1673"/>
      <c r="L939" s="1673"/>
      <c r="M939" s="1673"/>
      <c r="N939" s="1673"/>
      <c r="O939" s="1673"/>
      <c r="P939" s="1673"/>
      <c r="Q939" s="1673"/>
      <c r="R939" s="1673"/>
      <c r="S939" s="1673"/>
      <c r="T939" s="1674"/>
      <c r="U939" s="1645" t="s">
        <v>598</v>
      </c>
      <c r="V939" s="1398"/>
      <c r="W939" s="1398"/>
      <c r="X939" s="1398"/>
      <c r="Y939" s="1398"/>
      <c r="Z939" s="139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5" t="s">
        <v>598</v>
      </c>
      <c r="V940" s="1398"/>
      <c r="W940" s="1398"/>
      <c r="X940" s="1398"/>
      <c r="Y940" s="1398"/>
      <c r="Z940" s="1399"/>
      <c r="AA940" s="1646"/>
      <c r="AB940" s="1533"/>
      <c r="AC940" s="1533"/>
      <c r="AD940" s="1533"/>
      <c r="AE940" s="1533"/>
      <c r="AF940" s="164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5" t="s">
        <v>2566</v>
      </c>
      <c r="G941" s="1676"/>
      <c r="H941" s="1676"/>
      <c r="I941" s="1676"/>
      <c r="J941" s="1676"/>
      <c r="K941" s="1676"/>
      <c r="L941" s="1676"/>
      <c r="M941" s="1676"/>
      <c r="N941" s="1676"/>
      <c r="O941" s="1676"/>
      <c r="P941" s="1676"/>
      <c r="Q941" s="1676"/>
      <c r="R941" s="1676"/>
      <c r="S941" s="1676"/>
      <c r="T941" s="1677"/>
      <c r="U941" s="1645" t="s">
        <v>598</v>
      </c>
      <c r="V941" s="1398"/>
      <c r="W941" s="1398"/>
      <c r="X941" s="1398"/>
      <c r="Y941" s="1398"/>
      <c r="Z941" s="1399"/>
      <c r="AA941" s="1646"/>
      <c r="AB941" s="1533"/>
      <c r="AC941" s="1533"/>
      <c r="AD941" s="1533"/>
      <c r="AE941" s="1533"/>
      <c r="AF941" s="164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5" t="s">
        <v>598</v>
      </c>
      <c r="V942" s="1398"/>
      <c r="W942" s="1398"/>
      <c r="X942" s="1398"/>
      <c r="Y942" s="1398"/>
      <c r="Z942" s="1399"/>
      <c r="AA942" s="1646"/>
      <c r="AB942" s="1533"/>
      <c r="AC942" s="1533"/>
      <c r="AD942" s="1533"/>
      <c r="AE942" s="1533"/>
      <c r="AF942" s="164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5" t="s">
        <v>2567</v>
      </c>
      <c r="G943" s="1676"/>
      <c r="H943" s="1676"/>
      <c r="I943" s="1676"/>
      <c r="J943" s="1676"/>
      <c r="K943" s="1676"/>
      <c r="L943" s="1676"/>
      <c r="M943" s="1676"/>
      <c r="N943" s="1676"/>
      <c r="O943" s="1676"/>
      <c r="P943" s="1676"/>
      <c r="Q943" s="1676"/>
      <c r="R943" s="1676"/>
      <c r="S943" s="1676"/>
      <c r="T943" s="1677"/>
      <c r="U943" s="1645" t="s">
        <v>598</v>
      </c>
      <c r="V943" s="1398"/>
      <c r="W943" s="1398"/>
      <c r="X943" s="1398"/>
      <c r="Y943" s="1398"/>
      <c r="Z943" s="1399"/>
      <c r="AA943" s="1646"/>
      <c r="AB943" s="1533"/>
      <c r="AC943" s="1533"/>
      <c r="AD943" s="1533"/>
      <c r="AE943" s="1533"/>
      <c r="AF943" s="164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5" t="s">
        <v>676</v>
      </c>
      <c r="Q944" s="1398"/>
      <c r="R944" s="1398"/>
      <c r="S944" s="1398"/>
      <c r="T944" s="1399"/>
      <c r="U944" s="1645" t="s">
        <v>598</v>
      </c>
      <c r="V944" s="1398"/>
      <c r="W944" s="1398"/>
      <c r="X944" s="1398"/>
      <c r="Y944" s="1398"/>
      <c r="Z944" s="1399"/>
      <c r="AA944" s="1646"/>
      <c r="AB944" s="1533"/>
      <c r="AC944" s="1533"/>
      <c r="AD944" s="1533"/>
      <c r="AE944" s="1533"/>
      <c r="AF944" s="164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2" t="s">
        <v>2554</v>
      </c>
      <c r="G945" s="1673"/>
      <c r="H945" s="1674"/>
      <c r="I945" s="1617" t="s">
        <v>335</v>
      </c>
      <c r="J945" s="1618"/>
      <c r="K945" s="1618"/>
      <c r="L945" s="1618"/>
      <c r="M945" s="1618"/>
      <c r="N945" s="1618"/>
      <c r="O945" s="1618"/>
      <c r="P945" s="1618"/>
      <c r="Q945" s="1618"/>
      <c r="R945" s="1618"/>
      <c r="S945" s="1618"/>
      <c r="T945" s="1619"/>
      <c r="U945" s="1645" t="s">
        <v>598</v>
      </c>
      <c r="V945" s="1398"/>
      <c r="W945" s="1398"/>
      <c r="X945" s="1398"/>
      <c r="Y945" s="1398"/>
      <c r="Z945" s="1399"/>
      <c r="AA945" s="1646"/>
      <c r="AB945" s="1533"/>
      <c r="AC945" s="1533"/>
      <c r="AD945" s="1533"/>
      <c r="AE945" s="1533"/>
      <c r="AF945" s="164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2766</v>
      </c>
      <c r="J946" s="1618"/>
      <c r="K946" s="1618"/>
      <c r="L946" s="1618"/>
      <c r="M946" s="1618"/>
      <c r="N946" s="1618"/>
      <c r="O946" s="1618"/>
      <c r="P946" s="1618"/>
      <c r="Q946" s="1618"/>
      <c r="R946" s="1618"/>
      <c r="S946" s="1618"/>
      <c r="T946" s="1619"/>
      <c r="U946" s="1645" t="s">
        <v>552</v>
      </c>
      <c r="V946" s="1398"/>
      <c r="W946" s="1398"/>
      <c r="X946" s="1398"/>
      <c r="Y946" s="1398"/>
      <c r="Z946" s="1399"/>
      <c r="AA946" s="1646">
        <f>AO629</f>
        <v>1317000</v>
      </c>
      <c r="AB946" s="1533"/>
      <c r="AC946" s="1533"/>
      <c r="AD946" s="1533"/>
      <c r="AE946" s="1533"/>
      <c r="AF946" s="164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50" t="s">
        <v>335</v>
      </c>
      <c r="J947" s="1656"/>
      <c r="K947" s="1656"/>
      <c r="L947" s="1656"/>
      <c r="M947" s="1656"/>
      <c r="N947" s="1656"/>
      <c r="O947" s="1656"/>
      <c r="P947" s="1656"/>
      <c r="Q947" s="1656"/>
      <c r="R947" s="1656"/>
      <c r="S947" s="1656"/>
      <c r="T947" s="1657"/>
      <c r="U947" s="1645" t="s">
        <v>598</v>
      </c>
      <c r="V947" s="1398"/>
      <c r="W947" s="1398"/>
      <c r="X947" s="1398"/>
      <c r="Y947" s="1398"/>
      <c r="Z947" s="1399"/>
      <c r="AA947" s="1646"/>
      <c r="AB947" s="1533"/>
      <c r="AC947" s="1533"/>
      <c r="AD947" s="1533"/>
      <c r="AE947" s="1533"/>
      <c r="AF947" s="164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7"/>
      <c r="J948" s="1656"/>
      <c r="K948" s="1656"/>
      <c r="L948" s="1656"/>
      <c r="M948" s="1656"/>
      <c r="N948" s="1656"/>
      <c r="O948" s="1656"/>
      <c r="P948" s="1656"/>
      <c r="Q948" s="1656"/>
      <c r="R948" s="1656"/>
      <c r="S948" s="1656"/>
      <c r="T948" s="1657"/>
      <c r="U948" s="1645" t="s">
        <v>598</v>
      </c>
      <c r="V948" s="1398"/>
      <c r="W948" s="1398"/>
      <c r="X948" s="1398"/>
      <c r="Y948" s="1398"/>
      <c r="Z948" s="1399"/>
      <c r="AA948" s="1646"/>
      <c r="AB948" s="1533"/>
      <c r="AC948" s="1533"/>
      <c r="AD948" s="1533"/>
      <c r="AE948" s="1533"/>
      <c r="AF948" s="164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17" t="s">
        <v>2767</v>
      </c>
      <c r="J949" s="1656"/>
      <c r="K949" s="1656"/>
      <c r="L949" s="1656"/>
      <c r="M949" s="1656"/>
      <c r="N949" s="1656"/>
      <c r="O949" s="1656"/>
      <c r="P949" s="1656"/>
      <c r="Q949" s="1656"/>
      <c r="R949" s="1656"/>
      <c r="S949" s="1656"/>
      <c r="T949" s="1657"/>
      <c r="U949" s="1645" t="s">
        <v>552</v>
      </c>
      <c r="V949" s="1398"/>
      <c r="W949" s="1398"/>
      <c r="X949" s="1398"/>
      <c r="Y949" s="1398"/>
      <c r="Z949" s="1399"/>
      <c r="AA949" s="1646">
        <f>AM557</f>
        <v>7760753</v>
      </c>
      <c r="AB949" s="1533"/>
      <c r="AC949" s="1533"/>
      <c r="AD949" s="1533"/>
      <c r="AE949" s="1533"/>
      <c r="AF949" s="164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8"/>
      <c r="N954" s="1622"/>
      <c r="O954" s="1622"/>
      <c r="P954" s="1622"/>
      <c r="Q954" s="1622"/>
      <c r="R954" s="1622"/>
      <c r="S954" s="1623"/>
      <c r="U954" s="66" t="s">
        <v>11</v>
      </c>
      <c r="V954" s="5"/>
      <c r="W954" s="5"/>
      <c r="X954" s="5"/>
      <c r="Y954" s="5"/>
      <c r="Z954" s="5"/>
      <c r="AA954" s="5"/>
      <c r="AB954" s="5"/>
      <c r="AC954" s="5"/>
      <c r="AD954" s="46"/>
      <c r="AE954" s="1658"/>
      <c r="AF954" s="1622"/>
      <c r="AG954" s="1622"/>
      <c r="AH954" s="1622"/>
      <c r="AI954" s="1622"/>
      <c r="AJ954" s="1622"/>
      <c r="AK954" s="162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69"/>
      <c r="N955" s="1481"/>
      <c r="O955" s="1481"/>
      <c r="P955" s="1481"/>
      <c r="Q955" s="1481"/>
      <c r="R955" s="1481"/>
      <c r="S955" s="1702"/>
      <c r="U955" s="66" t="s">
        <v>12</v>
      </c>
      <c r="V955" s="5"/>
      <c r="W955" s="5"/>
      <c r="X955" s="5"/>
      <c r="Y955" s="5"/>
      <c r="Z955" s="5"/>
      <c r="AA955" s="5"/>
      <c r="AB955" s="5"/>
      <c r="AC955" s="5"/>
      <c r="AD955" s="46"/>
      <c r="AE955" s="1469"/>
      <c r="AF955" s="1481"/>
      <c r="AG955" s="1481"/>
      <c r="AH955" s="1481"/>
      <c r="AI955" s="1481"/>
      <c r="AJ955" s="1481"/>
      <c r="AK955" s="170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703" t="s">
        <v>308</v>
      </c>
      <c r="K956" s="1704"/>
      <c r="L956" s="1704"/>
      <c r="M956" s="1704"/>
      <c r="N956" s="1704"/>
      <c r="O956" s="1704"/>
      <c r="P956" s="1704"/>
      <c r="Q956" s="1704"/>
      <c r="R956" s="1704"/>
      <c r="S956" s="1705"/>
      <c r="U956" s="66" t="s">
        <v>891</v>
      </c>
      <c r="V956" s="5"/>
      <c r="W956" s="5"/>
      <c r="AB956" s="1703" t="s">
        <v>308</v>
      </c>
      <c r="AC956" s="1704"/>
      <c r="AD956" s="1704"/>
      <c r="AE956" s="1704"/>
      <c r="AF956" s="1704"/>
      <c r="AG956" s="1704"/>
      <c r="AH956" s="1704"/>
      <c r="AI956" s="1704"/>
      <c r="AJ956" s="1704"/>
      <c r="AK956" s="170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8"/>
      <c r="N957" s="1699"/>
      <c r="O957" s="1699"/>
      <c r="P957" s="1699"/>
      <c r="Q957" s="1699"/>
      <c r="R957" s="1699"/>
      <c r="S957" s="1700"/>
      <c r="U957" s="66" t="s">
        <v>13</v>
      </c>
      <c r="V957" s="5"/>
      <c r="W957" s="5"/>
      <c r="X957" s="5"/>
      <c r="Y957" s="5"/>
      <c r="Z957" s="5"/>
      <c r="AA957" s="5"/>
      <c r="AB957" s="5"/>
      <c r="AC957" s="5"/>
      <c r="AD957" s="46"/>
      <c r="AE957" s="1701"/>
      <c r="AF957" s="1699"/>
      <c r="AG957" s="1699"/>
      <c r="AH957" s="1699"/>
      <c r="AI957" s="1699"/>
      <c r="AJ957" s="1699"/>
      <c r="AK957" s="170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8"/>
      <c r="N958" s="1600"/>
      <c r="O958" s="1600"/>
      <c r="P958" s="1600"/>
      <c r="Q958" s="1600"/>
      <c r="R958" s="1600"/>
      <c r="S958" s="1601"/>
      <c r="U958" s="66" t="s">
        <v>14</v>
      </c>
      <c r="V958" s="5"/>
      <c r="W958" s="5"/>
      <c r="X958" s="5"/>
      <c r="Y958" s="5"/>
      <c r="Z958" s="5"/>
      <c r="AA958" s="5"/>
      <c r="AB958" s="5"/>
      <c r="AC958" s="5"/>
      <c r="AD958" s="46"/>
      <c r="AE958" s="1748"/>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6"/>
      <c r="N959" s="1533"/>
      <c r="O959" s="1533"/>
      <c r="P959" s="1533"/>
      <c r="Q959" s="1533"/>
      <c r="R959" s="1533"/>
      <c r="S959" s="1647"/>
      <c r="U959" s="66" t="s">
        <v>15</v>
      </c>
      <c r="V959" s="5"/>
      <c r="W959" s="5"/>
      <c r="X959" s="5"/>
      <c r="Y959" s="5"/>
      <c r="Z959" s="5"/>
      <c r="AA959" s="5"/>
      <c r="AB959" s="5"/>
      <c r="AC959" s="5"/>
      <c r="AD959" s="46"/>
      <c r="AE959" s="1646"/>
      <c r="AF959" s="1533"/>
      <c r="AG959" s="1533"/>
      <c r="AH959" s="1533"/>
      <c r="AI959" s="1533"/>
      <c r="AJ959" s="1533"/>
      <c r="AK959" s="164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6"/>
      <c r="N960" s="1533"/>
      <c r="O960" s="1533"/>
      <c r="P960" s="1533"/>
      <c r="Q960" s="1533"/>
      <c r="R960" s="1533"/>
      <c r="S960" s="1647"/>
      <c r="U960" s="66" t="s">
        <v>16</v>
      </c>
      <c r="V960" s="5"/>
      <c r="W960" s="5"/>
      <c r="X960" s="5"/>
      <c r="Y960" s="5"/>
      <c r="Z960" s="5"/>
      <c r="AA960" s="5"/>
      <c r="AB960" s="5"/>
      <c r="AC960" s="5"/>
      <c r="AD960" s="46"/>
      <c r="AE960" s="1646"/>
      <c r="AF960" s="1533"/>
      <c r="AG960" s="1533"/>
      <c r="AH960" s="1533"/>
      <c r="AI960" s="1533"/>
      <c r="AJ960" s="1533"/>
      <c r="AK960" s="164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78"/>
      <c r="N961" s="1679"/>
      <c r="O961" s="1679"/>
      <c r="P961" s="1679"/>
      <c r="Q961" s="1679"/>
      <c r="R961" s="1679"/>
      <c r="S961" s="1680"/>
      <c r="U961" s="121" t="s">
        <v>1773</v>
      </c>
      <c r="V961" s="5"/>
      <c r="W961" s="5"/>
      <c r="X961" s="5"/>
      <c r="Y961" s="5"/>
      <c r="Z961" s="5"/>
      <c r="AA961" s="5"/>
      <c r="AB961" s="5"/>
      <c r="AC961" s="5"/>
      <c r="AD961" s="46"/>
      <c r="AE961" s="1678"/>
      <c r="AF961" s="1679"/>
      <c r="AG961" s="1679"/>
      <c r="AH961" s="1679"/>
      <c r="AI961" s="1679"/>
      <c r="AJ961" s="1679"/>
      <c r="AK961" s="168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59"/>
      <c r="N966" s="1660"/>
      <c r="O966" s="1660"/>
      <c r="P966" s="1660"/>
      <c r="Q966" s="1660"/>
      <c r="R966" s="1660"/>
      <c r="S966" s="1661"/>
      <c r="T966" s="66" t="s">
        <v>798</v>
      </c>
      <c r="U966" s="5"/>
      <c r="V966" s="5"/>
      <c r="W966" s="5"/>
      <c r="X966" s="5"/>
      <c r="Y966" s="5"/>
      <c r="Z966" s="46"/>
      <c r="AA966" s="1659"/>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59"/>
      <c r="N967" s="1660"/>
      <c r="O967" s="1660"/>
      <c r="P967" s="1660"/>
      <c r="Q967" s="1660"/>
      <c r="R967" s="1660"/>
      <c r="S967" s="1661"/>
      <c r="T967" s="66" t="s">
        <v>797</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57" t="s">
        <v>598</v>
      </c>
      <c r="N968" s="1758"/>
      <c r="O968" s="1758"/>
      <c r="P968" s="1758"/>
      <c r="Q968" s="1758"/>
      <c r="R968" s="1758"/>
      <c r="S968" s="1759"/>
      <c r="T968" s="45" t="s">
        <v>338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59"/>
      <c r="N969" s="1660"/>
      <c r="O969" s="1660"/>
      <c r="P969" s="1660"/>
      <c r="Q969" s="1660"/>
      <c r="R969" s="1660"/>
      <c r="S969" s="1661"/>
      <c r="T969" s="45" t="s">
        <v>339</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59"/>
      <c r="N970" s="1660"/>
      <c r="O970" s="1660"/>
      <c r="P970" s="1660"/>
      <c r="Q970" s="1660"/>
      <c r="R970" s="1660"/>
      <c r="S970" s="1661"/>
      <c r="T970" s="45" t="s">
        <v>377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752" t="s">
        <v>308</v>
      </c>
      <c r="N971" s="1753"/>
      <c r="O971" s="1753"/>
      <c r="P971" s="1753"/>
      <c r="Q971" s="1753"/>
      <c r="R971" s="1753"/>
      <c r="S971" s="1754"/>
      <c r="T971" s="1695"/>
      <c r="U971" s="1696"/>
      <c r="V971" s="1696"/>
      <c r="W971" s="1696"/>
      <c r="X971" s="1696"/>
      <c r="Y971" s="1696"/>
      <c r="Z971" s="1697"/>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59"/>
      <c r="N972" s="1660"/>
      <c r="O972" s="1660"/>
      <c r="P972" s="1660"/>
      <c r="Q972" s="1660"/>
      <c r="R972" s="1660"/>
      <c r="S972" s="1661"/>
      <c r="T972" s="1695"/>
      <c r="U972" s="1696"/>
      <c r="V972" s="1696"/>
      <c r="W972" s="1696"/>
      <c r="X972" s="1696"/>
      <c r="Y972" s="1696"/>
      <c r="Z972" s="1697"/>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1" t="s">
        <v>676</v>
      </c>
      <c r="P973" s="1453"/>
      <c r="Q973" s="92"/>
      <c r="R973" s="92"/>
      <c r="S973" s="93"/>
      <c r="T973" s="41" t="s">
        <v>170</v>
      </c>
      <c r="U973" s="42"/>
      <c r="V973" s="42"/>
      <c r="W973" s="1749" t="s">
        <v>335</v>
      </c>
      <c r="X973" s="1750"/>
      <c r="Y973" s="1750"/>
      <c r="Z973" s="1750"/>
      <c r="AA973" s="1750"/>
      <c r="AB973" s="1750"/>
      <c r="AC973" s="1750"/>
      <c r="AD973" s="1750"/>
      <c r="AE973" s="1750"/>
      <c r="AF973" s="1750"/>
      <c r="AG973" s="17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08"/>
      <c r="H974" s="1508"/>
      <c r="I974" s="1508"/>
      <c r="J974" s="1508"/>
      <c r="K974" s="1508"/>
      <c r="L974" s="1508"/>
      <c r="M974" s="1659"/>
      <c r="N974" s="1660"/>
      <c r="O974" s="1660"/>
      <c r="P974" s="1660"/>
      <c r="Q974" s="1660"/>
      <c r="R974" s="1660"/>
      <c r="S974" s="1661"/>
      <c r="T974" s="47"/>
      <c r="U974" s="48"/>
      <c r="V974" s="48"/>
      <c r="W974" s="48"/>
      <c r="X974" s="48"/>
      <c r="Y974" s="48"/>
      <c r="Z974" s="124" t="s">
        <v>134</v>
      </c>
      <c r="AA974" s="1689"/>
      <c r="AB974" s="1690"/>
      <c r="AC974" s="1690"/>
      <c r="AD974" s="1690"/>
      <c r="AE974" s="1690"/>
      <c r="AF974" s="1690"/>
      <c r="AG974" s="169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1"/>
      <c r="BH975" s="1631"/>
      <c r="BI975" s="1631"/>
      <c r="BJ975" s="1631"/>
      <c r="BK975" s="1631"/>
      <c r="BL975" s="163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43" t="s">
        <v>555</v>
      </c>
      <c r="B978" s="1643"/>
      <c r="C978" s="1643"/>
      <c r="D978" s="1643"/>
      <c r="E978" s="1643"/>
      <c r="F978" s="1643"/>
      <c r="G978" s="1643"/>
      <c r="H978" s="1643"/>
      <c r="I978" s="1643"/>
      <c r="J978" s="1643"/>
      <c r="K978" s="1643"/>
      <c r="L978" s="1643"/>
      <c r="M978" s="1643"/>
      <c r="N978" s="1643"/>
      <c r="O978" s="1643"/>
      <c r="P978" s="1643"/>
      <c r="Q978" s="1643"/>
      <c r="R978" s="1643"/>
      <c r="S978" s="1643"/>
      <c r="T978" s="1643"/>
      <c r="U978" s="1643"/>
      <c r="V978" s="1643"/>
      <c r="W978" s="1643"/>
      <c r="X978" s="1643"/>
      <c r="Y978" s="1643"/>
      <c r="Z978" s="1643"/>
      <c r="AA978" s="1643"/>
      <c r="AB978" s="1643"/>
      <c r="AC978" s="1643"/>
      <c r="AD978" s="1643"/>
      <c r="AE978" s="1643"/>
      <c r="AF978" s="1643"/>
      <c r="AG978" s="1643"/>
      <c r="AH978" s="1643"/>
      <c r="AI978" s="1643"/>
      <c r="AJ978" s="1643"/>
      <c r="AK978" s="1643"/>
      <c r="AL978" s="1643"/>
      <c r="AM978" s="1643"/>
      <c r="AN978" s="1643"/>
      <c r="AO978" s="1643"/>
      <c r="AP978" s="1643"/>
      <c r="AQ978" s="1643"/>
      <c r="AR978" s="1643"/>
      <c r="AS978" s="1643"/>
      <c r="AT978" s="164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43"/>
      <c r="B979" s="1643"/>
      <c r="C979" s="1643"/>
      <c r="D979" s="1643"/>
      <c r="E979" s="1643"/>
      <c r="F979" s="1643"/>
      <c r="G979" s="1643"/>
      <c r="H979" s="1643"/>
      <c r="I979" s="1643"/>
      <c r="J979" s="1643"/>
      <c r="K979" s="1643"/>
      <c r="L979" s="1643"/>
      <c r="M979" s="1643"/>
      <c r="N979" s="1643"/>
      <c r="O979" s="1643"/>
      <c r="P979" s="1643"/>
      <c r="Q979" s="1643"/>
      <c r="R979" s="1643"/>
      <c r="S979" s="1643"/>
      <c r="T979" s="1643"/>
      <c r="U979" s="1643"/>
      <c r="V979" s="1643"/>
      <c r="W979" s="1643"/>
      <c r="X979" s="1643"/>
      <c r="Y979" s="1643"/>
      <c r="Z979" s="1643"/>
      <c r="AA979" s="1643"/>
      <c r="AB979" s="1643"/>
      <c r="AC979" s="1643"/>
      <c r="AD979" s="1643"/>
      <c r="AE979" s="1643"/>
      <c r="AF979" s="1643"/>
      <c r="AG979" s="1643"/>
      <c r="AH979" s="1643"/>
      <c r="AI979" s="1643"/>
      <c r="AJ979" s="1643"/>
      <c r="AK979" s="1643"/>
      <c r="AL979" s="1643"/>
      <c r="AM979" s="1643"/>
      <c r="AN979" s="1643"/>
      <c r="AO979" s="1643"/>
      <c r="AP979" s="1643"/>
      <c r="AQ979" s="1643"/>
      <c r="AR979" s="1643"/>
      <c r="AS979" s="1643"/>
      <c r="AT979" s="164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43"/>
      <c r="B980" s="1643"/>
      <c r="C980" s="1643"/>
      <c r="D980" s="1643"/>
      <c r="E980" s="1643"/>
      <c r="F980" s="1643"/>
      <c r="G980" s="1643"/>
      <c r="H980" s="1643"/>
      <c r="I980" s="1643"/>
      <c r="J980" s="1643"/>
      <c r="K980" s="1643"/>
      <c r="L980" s="1643"/>
      <c r="M980" s="1643"/>
      <c r="N980" s="1643"/>
      <c r="O980" s="1643"/>
      <c r="P980" s="1643"/>
      <c r="Q980" s="1643"/>
      <c r="R980" s="1643"/>
      <c r="S980" s="1643"/>
      <c r="T980" s="1643"/>
      <c r="U980" s="1643"/>
      <c r="V980" s="1643"/>
      <c r="W980" s="1643"/>
      <c r="X980" s="1643"/>
      <c r="Y980" s="1643"/>
      <c r="Z980" s="1643"/>
      <c r="AA980" s="1643"/>
      <c r="AB980" s="1643"/>
      <c r="AC980" s="1643"/>
      <c r="AD980" s="1643"/>
      <c r="AE980" s="1643"/>
      <c r="AF980" s="1643"/>
      <c r="AG980" s="1643"/>
      <c r="AH980" s="1643"/>
      <c r="AI980" s="1643"/>
      <c r="AJ980" s="1643"/>
      <c r="AK980" s="1643"/>
      <c r="AL980" s="1643"/>
      <c r="AM980" s="1643"/>
      <c r="AN980" s="1643"/>
      <c r="AO980" s="1643"/>
      <c r="AP980" s="1643"/>
      <c r="AQ980" s="1643"/>
      <c r="AR980" s="1643"/>
      <c r="AS980" s="1643"/>
      <c r="AT980" s="164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2" t="s">
        <v>645</v>
      </c>
      <c r="E984" s="1833"/>
      <c r="F984" s="1833"/>
      <c r="G984" s="1833"/>
      <c r="H984" s="1833"/>
      <c r="I984" s="1833"/>
      <c r="J984" s="1833"/>
      <c r="K984" s="1833"/>
      <c r="L984" s="1833"/>
      <c r="M984" s="1833"/>
      <c r="N984" s="1833"/>
      <c r="O984" s="1833"/>
      <c r="P984" s="1833"/>
      <c r="Q984" s="1834"/>
      <c r="R984" s="1832" t="s">
        <v>646</v>
      </c>
      <c r="S984" s="1833"/>
      <c r="T984" s="1833"/>
      <c r="U984" s="1833"/>
      <c r="V984" s="1833"/>
      <c r="W984" s="1833"/>
      <c r="X984" s="1833"/>
      <c r="Y984" s="1833"/>
      <c r="Z984" s="1833"/>
      <c r="AA984" s="1834"/>
      <c r="AB984" s="1832" t="s">
        <v>647</v>
      </c>
      <c r="AC984" s="1833"/>
      <c r="AD984" s="1833"/>
      <c r="AE984" s="1833"/>
      <c r="AF984" s="1833"/>
      <c r="AG984" s="1833"/>
      <c r="AH984" s="1833"/>
      <c r="AI984" s="1834"/>
      <c r="AJ984" s="1832" t="s">
        <v>648</v>
      </c>
      <c r="AK984" s="1833"/>
      <c r="AL984" s="1833"/>
      <c r="AM984" s="1833"/>
      <c r="AN984" s="1833"/>
      <c r="AO984" s="1833"/>
      <c r="AP984" s="1833"/>
      <c r="AQ984" s="18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640</v>
      </c>
      <c r="E985" s="1523"/>
      <c r="F985" s="1523"/>
      <c r="G985" s="1523"/>
      <c r="H985" s="1523"/>
      <c r="I985" s="1523"/>
      <c r="J985" s="1523"/>
      <c r="K985" s="1523"/>
      <c r="L985" s="1523"/>
      <c r="M985" s="1523"/>
      <c r="N985" s="1523"/>
      <c r="O985" s="1523"/>
      <c r="P985" s="1523"/>
      <c r="Q985" s="1524"/>
      <c r="R985" s="1747">
        <f>IF(ISNA(IF($BN$796="4%",(INDEX($BP$806:$BT$863,MATCH($CB$796,$BO$806:$BO$863,0),MATCH(D985,$BP$805:$BT$805,0))),(INDEX($BW$806:$CA$863,MATCH($CB$796,$BV$806:$BV$863,0),MATCH(D985,$BW$805:$CA$805,0))))),0,IF($BN$796="4%",(INDEX($BP$806:$BT$863,MATCH($CB$796,$BO$806:$BO$863,0),MATCH(D985,$BP$805:$BT$805,0))),(INDEX($BW$806:$CA$863,MATCH($CB$796,$BV$806:$BV$863,0),MATCH(D985,$BW$805:$CA$805,0)))))</f>
        <v>689665</v>
      </c>
      <c r="S985" s="1747"/>
      <c r="T985" s="1747"/>
      <c r="U985" s="1747"/>
      <c r="V985" s="1747"/>
      <c r="W985" s="1747"/>
      <c r="X985" s="1747"/>
      <c r="Y985" s="1747"/>
      <c r="Z985" s="1747"/>
      <c r="AA985" s="1747"/>
      <c r="AB985" s="1813">
        <f>BN660</f>
        <v>28</v>
      </c>
      <c r="AC985" s="1814"/>
      <c r="AD985" s="1814"/>
      <c r="AE985" s="1814"/>
      <c r="AF985" s="1814"/>
      <c r="AG985" s="1814"/>
      <c r="AH985" s="1814"/>
      <c r="AI985" s="1815"/>
      <c r="AJ985" s="1664">
        <f>IF(ISERROR((R985*AB985)),0,(R985*AB985))</f>
        <v>19310620</v>
      </c>
      <c r="AK985" s="1665"/>
      <c r="AL985" s="1665"/>
      <c r="AM985" s="1665"/>
      <c r="AN985" s="1665"/>
      <c r="AO985" s="1665"/>
      <c r="AP985" s="1665"/>
      <c r="AQ985" s="166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747">
        <f>IF(ISNA(IF($BN$796="4%",(INDEX($BP$806:$BT$863,MATCH($CB$796,$BO$806:$BO$863,0),MATCH(D986,$BP$805:$BT$805,0))),(INDEX($BW$806:$CA$863,MATCH($CB$796,$BV$806:$BV$863,0),MATCH(D986,$BW$805:$CA$805,0))))),0,IF($BN$796="4%",(INDEX($BP$806:$BT$863,MATCH($CB$796,$BO$806:$BO$863,0),MATCH(D986,$BP$805:$BT$805,0))),(INDEX($BW$806:$CA$863,MATCH($CB$796,$BV$806:$BV$863,0),MATCH(D986,$BW$805:$CA$805,0)))))</f>
        <v>795177</v>
      </c>
      <c r="S986" s="1747"/>
      <c r="T986" s="1747"/>
      <c r="U986" s="1747"/>
      <c r="V986" s="1747"/>
      <c r="W986" s="1747"/>
      <c r="X986" s="1747"/>
      <c r="Y986" s="1747"/>
      <c r="Z986" s="1747"/>
      <c r="AA986" s="1747"/>
      <c r="AB986" s="1813">
        <f>BS660</f>
        <v>16</v>
      </c>
      <c r="AC986" s="1814"/>
      <c r="AD986" s="1814"/>
      <c r="AE986" s="1814"/>
      <c r="AF986" s="1814"/>
      <c r="AG986" s="1814"/>
      <c r="AH986" s="1814"/>
      <c r="AI986" s="1815"/>
      <c r="AJ986" s="1664">
        <f>IF(ISERROR((R986*AB986)),0,(R986*AB986))</f>
        <v>12722832</v>
      </c>
      <c r="AK986" s="1665"/>
      <c r="AL986" s="1665"/>
      <c r="AM986" s="1665"/>
      <c r="AN986" s="1665"/>
      <c r="AO986" s="1665"/>
      <c r="AP986" s="1665"/>
      <c r="AQ986" s="166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747">
        <f>IF(ISNA(IF($BN$796="4%",(INDEX($BP$806:$BT$863,MATCH($CB$796,$BO$806:$BO$863,0),MATCH(D987,$BP$805:$BT$805,0))),(INDEX($BW$806:$CA$863,MATCH($CB$796,$BV$806:$BV$863,0),MATCH(D987,$BW$805:$CA$805,0))))),0,IF($BN$796="4%",(INDEX($BP$806:$BT$863,MATCH($CB$796,$BO$806:$BO$863,0),MATCH(D987,$BP$805:$BT$805,0))),(INDEX($BW$806:$CA$863,MATCH($CB$796,$BV$806:$BV$863,0),MATCH(D987,$BW$805:$CA$805,0)))))</f>
        <v>959200</v>
      </c>
      <c r="S987" s="1747"/>
      <c r="T987" s="1747"/>
      <c r="U987" s="1747"/>
      <c r="V987" s="1747"/>
      <c r="W987" s="1747"/>
      <c r="X987" s="1747"/>
      <c r="Y987" s="1747"/>
      <c r="Z987" s="1747"/>
      <c r="AA987" s="1747"/>
      <c r="AB987" s="1813">
        <f>BX660</f>
        <v>21</v>
      </c>
      <c r="AC987" s="1814"/>
      <c r="AD987" s="1814"/>
      <c r="AE987" s="1814"/>
      <c r="AF987" s="1814"/>
      <c r="AG987" s="1814"/>
      <c r="AH987" s="1814"/>
      <c r="AI987" s="1815"/>
      <c r="AJ987" s="1664">
        <f>IF(ISERROR((R987*AB987)),0,(R987*AB987))</f>
        <v>20143200</v>
      </c>
      <c r="AK987" s="1665"/>
      <c r="AL987" s="1665"/>
      <c r="AM987" s="1665"/>
      <c r="AN987" s="1665"/>
      <c r="AO987" s="1665"/>
      <c r="AP987" s="1665"/>
      <c r="AQ987" s="166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747">
        <f>IF(ISNA(IF($BN$796="4%",(INDEX($BP$806:$BT$863,MATCH($CB$796,$BO$806:$BO$863,0),MATCH(D988,$BP$805:$BT$805,0))),(INDEX($BW$806:$CA$863,MATCH($CB$796,$BV$806:$BV$863,0),MATCH(D988,$BW$805:$CA$805,0))))),0,IF($BN$796="4%",(INDEX($BP$806:$BT$863,MATCH($CB$796,$BO$806:$BO$863,0),MATCH(D988,$BP$805:$BT$805,0))),(INDEX($BW$806:$CA$863,MATCH($CB$796,$BV$806:$BV$863,0),MATCH(D988,$BW$805:$CA$805,0)))))</f>
        <v>1227776</v>
      </c>
      <c r="S988" s="1747"/>
      <c r="T988" s="1747"/>
      <c r="U988" s="1747"/>
      <c r="V988" s="1747"/>
      <c r="W988" s="1747"/>
      <c r="X988" s="1747"/>
      <c r="Y988" s="1747"/>
      <c r="Z988" s="1747"/>
      <c r="AA988" s="1747"/>
      <c r="AB988" s="1813">
        <f>CC660</f>
        <v>27</v>
      </c>
      <c r="AC988" s="1814"/>
      <c r="AD988" s="1814"/>
      <c r="AE988" s="1814"/>
      <c r="AF988" s="1814"/>
      <c r="AG988" s="1814"/>
      <c r="AH988" s="1814"/>
      <c r="AI988" s="1815"/>
      <c r="AJ988" s="1664">
        <f>IF(ISERROR((R988*AB988)),0,(R988*AB988))</f>
        <v>33149952</v>
      </c>
      <c r="AK988" s="1665"/>
      <c r="AL988" s="1665"/>
      <c r="AM988" s="1665"/>
      <c r="AN988" s="1665"/>
      <c r="AO988" s="1665"/>
      <c r="AP988" s="1665"/>
      <c r="AQ988" s="166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467</v>
      </c>
      <c r="E989" s="1523"/>
      <c r="F989" s="1523"/>
      <c r="G989" s="1523"/>
      <c r="H989" s="1523"/>
      <c r="I989" s="1523"/>
      <c r="J989" s="1523"/>
      <c r="K989" s="1523"/>
      <c r="L989" s="1523"/>
      <c r="M989" s="1523"/>
      <c r="N989" s="1523"/>
      <c r="O989" s="1523"/>
      <c r="P989" s="1523"/>
      <c r="Q989" s="1524"/>
      <c r="R989" s="1747">
        <f>IF(ISNA(IF($BN$796="4%",(INDEX($BP$806:$BT$863,MATCH($CB$796,$BO$806:$BO$863,0),MATCH(D989,$BP$805:$BT$805,0))),(INDEX($BW$806:$CA$863,MATCH($CB$796,$BV$806:$BV$863,0),MATCH(D989,$BW$805:$CA$805,0))))),0,IF($BN$796="4%",(INDEX($BP$806:$BT$863,MATCH($CB$796,$BO$806:$BO$863,0),MATCH(D989,$BP$805:$BT$805,0))),(INDEX($BW$806:$CA$863,MATCH($CB$796,$BV$806:$BV$863,0),MATCH(D989,$BW$805:$CA$805,0)))))</f>
        <v>1367819</v>
      </c>
      <c r="S989" s="1747"/>
      <c r="T989" s="1747"/>
      <c r="U989" s="1747"/>
      <c r="V989" s="1747"/>
      <c r="W989" s="1747"/>
      <c r="X989" s="1747"/>
      <c r="Y989" s="1747"/>
      <c r="Z989" s="1747"/>
      <c r="AA989" s="1747"/>
      <c r="AB989" s="1813">
        <f>CM660+CH660</f>
        <v>0</v>
      </c>
      <c r="AC989" s="1814"/>
      <c r="AD989" s="1814"/>
      <c r="AE989" s="1814"/>
      <c r="AF989" s="1814"/>
      <c r="AG989" s="1814"/>
      <c r="AH989" s="1814"/>
      <c r="AI989" s="1815"/>
      <c r="AJ989" s="1664">
        <f>IF(ISERROR((R989*AB989)),0,(R989*AB989))</f>
        <v>0</v>
      </c>
      <c r="AK989" s="1665"/>
      <c r="AL989" s="1665"/>
      <c r="AM989" s="1665"/>
      <c r="AN989" s="1665"/>
      <c r="AO989" s="1665"/>
      <c r="AP989" s="1665"/>
      <c r="AQ989" s="166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3" t="s">
        <v>799</v>
      </c>
      <c r="C990" s="1784"/>
      <c r="D990" s="1784"/>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1784"/>
      <c r="Z990" s="1784"/>
      <c r="AA990" s="1785"/>
      <c r="AB990" s="1813">
        <f>SUM(AB985:AI989)</f>
        <v>92</v>
      </c>
      <c r="AC990" s="1814"/>
      <c r="AD990" s="1814"/>
      <c r="AE990" s="1814"/>
      <c r="AF990" s="1814"/>
      <c r="AG990" s="1814"/>
      <c r="AH990" s="1814"/>
      <c r="AI990" s="1815"/>
      <c r="AJ990" s="1664"/>
      <c r="AK990" s="1665"/>
      <c r="AL990" s="1665"/>
      <c r="AM990" s="1665"/>
      <c r="AN990" s="1665"/>
      <c r="AO990" s="1665"/>
      <c r="AP990" s="1665"/>
      <c r="AQ990" s="166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519</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64">
        <f>SUM(AJ985:AQ989)</f>
        <v>85326604</v>
      </c>
      <c r="AK991" s="1665"/>
      <c r="AL991" s="1665"/>
      <c r="AM991" s="1665"/>
      <c r="AN991" s="1665"/>
      <c r="AO991" s="1665"/>
      <c r="AP991" s="1665"/>
      <c r="AQ991" s="166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5"/>
      <c r="C992" s="1826"/>
      <c r="D992" s="1826"/>
      <c r="E992" s="1826"/>
      <c r="F992" s="1826"/>
      <c r="G992" s="1826"/>
      <c r="H992" s="1826"/>
      <c r="I992" s="1826"/>
      <c r="J992" s="1826"/>
      <c r="K992" s="1826"/>
      <c r="L992" s="1826"/>
      <c r="M992" s="1826"/>
      <c r="N992" s="1826"/>
      <c r="O992" s="1826"/>
      <c r="P992" s="1826"/>
      <c r="Q992" s="1826"/>
      <c r="R992" s="1826"/>
      <c r="S992" s="1826"/>
      <c r="T992" s="1826"/>
      <c r="U992" s="1826"/>
      <c r="V992" s="1826"/>
      <c r="W992" s="1826"/>
      <c r="X992" s="1826"/>
      <c r="Y992" s="1826"/>
      <c r="Z992" s="1826"/>
      <c r="AA992" s="1826"/>
      <c r="AB992" s="1826"/>
      <c r="AC992" s="1826"/>
      <c r="AD992" s="1826"/>
      <c r="AE992" s="1827"/>
      <c r="AF992" s="1839" t="s">
        <v>673</v>
      </c>
      <c r="AG992" s="1840"/>
      <c r="AH992" s="1840"/>
      <c r="AI992" s="1841"/>
      <c r="AJ992" s="1825"/>
      <c r="AK992" s="1826"/>
      <c r="AL992" s="1826"/>
      <c r="AM992" s="1826"/>
      <c r="AN992" s="1826"/>
      <c r="AO992" s="1826"/>
      <c r="AP992" s="1826"/>
      <c r="AQ992" s="18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77" t="s">
        <v>1324</v>
      </c>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79"/>
      <c r="AG993" s="1842" t="s">
        <v>552</v>
      </c>
      <c r="AH993" s="1843"/>
      <c r="AI993" s="87"/>
      <c r="AJ993" s="1798">
        <f>ROUND(IF(AND(AG993="yes",D999&gt;0),AJ991*0.2,0),0)</f>
        <v>17065321</v>
      </c>
      <c r="AK993" s="1799"/>
      <c r="AL993" s="1799"/>
      <c r="AM993" s="1799"/>
      <c r="AN993" s="1799"/>
      <c r="AO993" s="1799"/>
      <c r="AP993" s="1799"/>
      <c r="AQ993" s="180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9" t="s">
        <v>2568</v>
      </c>
      <c r="E994" s="1820"/>
      <c r="F994" s="1820"/>
      <c r="G994" s="1820"/>
      <c r="H994" s="1820"/>
      <c r="I994" s="1820"/>
      <c r="J994" s="1820"/>
      <c r="K994" s="1820"/>
      <c r="L994" s="1820"/>
      <c r="M994" s="1820"/>
      <c r="N994" s="1820"/>
      <c r="O994" s="1820"/>
      <c r="P994" s="1820"/>
      <c r="Q994" s="1820"/>
      <c r="R994" s="1820"/>
      <c r="S994" s="1820"/>
      <c r="T994" s="1820"/>
      <c r="U994" s="1820"/>
      <c r="V994" s="1820"/>
      <c r="W994" s="1820"/>
      <c r="X994" s="1820"/>
      <c r="Y994" s="1820"/>
      <c r="Z994" s="1820"/>
      <c r="AA994" s="1820"/>
      <c r="AB994" s="1820"/>
      <c r="AC994" s="1820"/>
      <c r="AD994" s="1820"/>
      <c r="AE994" s="1821"/>
      <c r="AF994" s="73"/>
      <c r="AG994" s="14"/>
      <c r="AH994" s="14"/>
      <c r="AI994" s="83"/>
      <c r="AJ994" s="1801"/>
      <c r="AK994" s="1802"/>
      <c r="AL994" s="1802"/>
      <c r="AM994" s="1802"/>
      <c r="AN994" s="1802"/>
      <c r="AO994" s="1802"/>
      <c r="AP994" s="1802"/>
      <c r="AQ994" s="180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9"/>
      <c r="E995" s="1820"/>
      <c r="F995" s="1820"/>
      <c r="G995" s="1820"/>
      <c r="H995" s="1820"/>
      <c r="I995" s="1820"/>
      <c r="J995" s="1820"/>
      <c r="K995" s="1820"/>
      <c r="L995" s="1820"/>
      <c r="M995" s="1820"/>
      <c r="N995" s="1820"/>
      <c r="O995" s="1820"/>
      <c r="P995" s="1820"/>
      <c r="Q995" s="1820"/>
      <c r="R995" s="1820"/>
      <c r="S995" s="1820"/>
      <c r="T995" s="1820"/>
      <c r="U995" s="1820"/>
      <c r="V995" s="1820"/>
      <c r="W995" s="1820"/>
      <c r="X995" s="1820"/>
      <c r="Y995" s="1820"/>
      <c r="Z995" s="1820"/>
      <c r="AA995" s="1820"/>
      <c r="AB995" s="1820"/>
      <c r="AC995" s="1820"/>
      <c r="AD995" s="1820"/>
      <c r="AE995" s="1821"/>
      <c r="AF995" s="73"/>
      <c r="AG995" s="14"/>
      <c r="AH995" s="14"/>
      <c r="AI995" s="83"/>
      <c r="AJ995" s="1801"/>
      <c r="AK995" s="1802"/>
      <c r="AL995" s="1802"/>
      <c r="AM995" s="1802"/>
      <c r="AN995" s="1802"/>
      <c r="AO995" s="1802"/>
      <c r="AP995" s="1802"/>
      <c r="AQ995" s="180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9"/>
      <c r="E996" s="1820"/>
      <c r="F996" s="1820"/>
      <c r="G996" s="1820"/>
      <c r="H996" s="1820"/>
      <c r="I996" s="1820"/>
      <c r="J996" s="1820"/>
      <c r="K996" s="1820"/>
      <c r="L996" s="1820"/>
      <c r="M996" s="1820"/>
      <c r="N996" s="1820"/>
      <c r="O996" s="1820"/>
      <c r="P996" s="1820"/>
      <c r="Q996" s="1820"/>
      <c r="R996" s="1820"/>
      <c r="S996" s="1820"/>
      <c r="T996" s="1820"/>
      <c r="U996" s="1820"/>
      <c r="V996" s="1820"/>
      <c r="W996" s="1820"/>
      <c r="X996" s="1820"/>
      <c r="Y996" s="1820"/>
      <c r="Z996" s="1820"/>
      <c r="AA996" s="1820"/>
      <c r="AB996" s="1820"/>
      <c r="AC996" s="1820"/>
      <c r="AD996" s="1820"/>
      <c r="AE996" s="1821"/>
      <c r="AF996" s="73"/>
      <c r="AG996" s="14"/>
      <c r="AH996" s="14"/>
      <c r="AI996" s="83"/>
      <c r="AJ996" s="1801"/>
      <c r="AK996" s="1802"/>
      <c r="AL996" s="1802"/>
      <c r="AM996" s="1802"/>
      <c r="AN996" s="1802"/>
      <c r="AO996" s="1802"/>
      <c r="AP996" s="1802"/>
      <c r="AQ996" s="180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9"/>
      <c r="E997" s="1820"/>
      <c r="F997" s="1820"/>
      <c r="G997" s="1820"/>
      <c r="H997" s="1820"/>
      <c r="I997" s="1820"/>
      <c r="J997" s="1820"/>
      <c r="K997" s="1820"/>
      <c r="L997" s="1820"/>
      <c r="M997" s="1820"/>
      <c r="N997" s="1820"/>
      <c r="O997" s="1820"/>
      <c r="P997" s="1820"/>
      <c r="Q997" s="1820"/>
      <c r="R997" s="1820"/>
      <c r="S997" s="1820"/>
      <c r="T997" s="1820"/>
      <c r="U997" s="1820"/>
      <c r="V997" s="1820"/>
      <c r="W997" s="1820"/>
      <c r="X997" s="1820"/>
      <c r="Y997" s="1820"/>
      <c r="Z997" s="1820"/>
      <c r="AA997" s="1820"/>
      <c r="AB997" s="1820"/>
      <c r="AC997" s="1820"/>
      <c r="AD997" s="1820"/>
      <c r="AE997" s="1821"/>
      <c r="AF997" s="73"/>
      <c r="AG997" s="14"/>
      <c r="AH997" s="14"/>
      <c r="AI997" s="83"/>
      <c r="AJ997" s="1801"/>
      <c r="AK997" s="1802"/>
      <c r="AL997" s="1802"/>
      <c r="AM997" s="1802"/>
      <c r="AN997" s="1802"/>
      <c r="AO997" s="1802"/>
      <c r="AP997" s="1802"/>
      <c r="AQ997" s="180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2" t="s">
        <v>2569</v>
      </c>
      <c r="E998" s="1823"/>
      <c r="F998" s="1823"/>
      <c r="G998" s="1823"/>
      <c r="H998" s="1823"/>
      <c r="I998" s="1823"/>
      <c r="J998" s="1823"/>
      <c r="K998" s="1823"/>
      <c r="L998" s="1823"/>
      <c r="M998" s="1823"/>
      <c r="N998" s="1823"/>
      <c r="O998" s="1823"/>
      <c r="P998" s="1823"/>
      <c r="Q998" s="1823"/>
      <c r="R998" s="1823"/>
      <c r="S998" s="1823"/>
      <c r="T998" s="1823"/>
      <c r="U998" s="1823"/>
      <c r="V998" s="1823"/>
      <c r="W998" s="1823"/>
      <c r="X998" s="1823"/>
      <c r="Y998" s="1823"/>
      <c r="Z998" s="1823"/>
      <c r="AA998" s="1823"/>
      <c r="AB998" s="1823"/>
      <c r="AC998" s="1823"/>
      <c r="AD998" s="1823"/>
      <c r="AE998" s="1824"/>
      <c r="AF998" s="73"/>
      <c r="AG998" s="14"/>
      <c r="AH998" s="14"/>
      <c r="AI998" s="83"/>
      <c r="AJ998" s="1801"/>
      <c r="AK998" s="1802"/>
      <c r="AL998" s="1802"/>
      <c r="AM998" s="1802"/>
      <c r="AN998" s="1802"/>
      <c r="AO998" s="1802"/>
      <c r="AP998" s="1802"/>
      <c r="AQ998" s="180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6" t="s">
        <v>2768</v>
      </c>
      <c r="E999" s="1787"/>
      <c r="F999" s="1787"/>
      <c r="G999" s="1787"/>
      <c r="H999" s="1787"/>
      <c r="I999" s="1787"/>
      <c r="J999" s="1787"/>
      <c r="K999" s="1787"/>
      <c r="L999" s="1787"/>
      <c r="M999" s="1787"/>
      <c r="N999" s="1787"/>
      <c r="O999" s="1787"/>
      <c r="P999" s="1787"/>
      <c r="Q999" s="1787"/>
      <c r="R999" s="1787"/>
      <c r="S999" s="1787"/>
      <c r="T999" s="1787"/>
      <c r="U999" s="1787"/>
      <c r="V999" s="1787"/>
      <c r="W999" s="1787"/>
      <c r="X999" s="1787"/>
      <c r="Y999" s="1787"/>
      <c r="Z999" s="1787"/>
      <c r="AA999" s="1787"/>
      <c r="AB999" s="1787"/>
      <c r="AC999" s="1787"/>
      <c r="AD999" s="1787"/>
      <c r="AE999" s="1788"/>
      <c r="AF999" s="77"/>
      <c r="AG999" s="7"/>
      <c r="AH999" s="7"/>
      <c r="AI999" s="78"/>
      <c r="AJ999" s="1804"/>
      <c r="AK999" s="1805"/>
      <c r="AL999" s="1805"/>
      <c r="AM999" s="1805"/>
      <c r="AN999" s="1805"/>
      <c r="AO999" s="1805"/>
      <c r="AP999" s="1805"/>
      <c r="AQ999" s="180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0" t="s">
        <v>1394</v>
      </c>
      <c r="E1000" s="1781"/>
      <c r="F1000" s="1781"/>
      <c r="G1000" s="1781"/>
      <c r="H1000" s="1781"/>
      <c r="I1000" s="1781"/>
      <c r="J1000" s="1781"/>
      <c r="K1000" s="1781"/>
      <c r="L1000" s="1781"/>
      <c r="M1000" s="1781"/>
      <c r="N1000" s="1781"/>
      <c r="O1000" s="1781"/>
      <c r="P1000" s="1781"/>
      <c r="Q1000" s="1781"/>
      <c r="R1000" s="1781"/>
      <c r="S1000" s="1781"/>
      <c r="T1000" s="1781"/>
      <c r="U1000" s="1781"/>
      <c r="V1000" s="1781"/>
      <c r="W1000" s="1781"/>
      <c r="X1000" s="1781"/>
      <c r="Y1000" s="1781"/>
      <c r="Z1000" s="1781"/>
      <c r="AA1000" s="1781"/>
      <c r="AB1000" s="1781"/>
      <c r="AC1000" s="1781"/>
      <c r="AD1000" s="1781"/>
      <c r="AE1000" s="1782"/>
      <c r="AF1000" s="79"/>
      <c r="AG1000" s="1662" t="s">
        <v>676</v>
      </c>
      <c r="AH1000" s="1663"/>
      <c r="AI1000" s="87"/>
      <c r="AJ1000" s="1798">
        <f>ROUND(IF(AG1000="yes",AJ991*0.05,0),0)</f>
        <v>0</v>
      </c>
      <c r="AK1000" s="1799"/>
      <c r="AL1000" s="1799"/>
      <c r="AM1000" s="1799"/>
      <c r="AN1000" s="1799"/>
      <c r="AO1000" s="1799"/>
      <c r="AP1000" s="1799"/>
      <c r="AQ1000" s="180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9" t="s">
        <v>1392</v>
      </c>
      <c r="E1001" s="1820"/>
      <c r="F1001" s="1820"/>
      <c r="G1001" s="1820"/>
      <c r="H1001" s="1820"/>
      <c r="I1001" s="1820"/>
      <c r="J1001" s="1820"/>
      <c r="K1001" s="1820"/>
      <c r="L1001" s="1820"/>
      <c r="M1001" s="1820"/>
      <c r="N1001" s="1820"/>
      <c r="O1001" s="1820"/>
      <c r="P1001" s="1820"/>
      <c r="Q1001" s="1820"/>
      <c r="R1001" s="1820"/>
      <c r="S1001" s="1820"/>
      <c r="T1001" s="1820"/>
      <c r="U1001" s="1820"/>
      <c r="V1001" s="1820"/>
      <c r="W1001" s="1820"/>
      <c r="X1001" s="1820"/>
      <c r="Y1001" s="1820"/>
      <c r="Z1001" s="1820"/>
      <c r="AA1001" s="1820"/>
      <c r="AB1001" s="1820"/>
      <c r="AC1001" s="1820"/>
      <c r="AD1001" s="1820"/>
      <c r="AE1001" s="1821"/>
      <c r="AF1001" s="73"/>
      <c r="AG1001" s="14"/>
      <c r="AH1001" s="14"/>
      <c r="AI1001" s="83"/>
      <c r="AJ1001" s="1801"/>
      <c r="AK1001" s="1802"/>
      <c r="AL1001" s="1802"/>
      <c r="AM1001" s="1802"/>
      <c r="AN1001" s="1802"/>
      <c r="AO1001" s="1802"/>
      <c r="AP1001" s="1802"/>
      <c r="AQ1001" s="180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9"/>
      <c r="E1002" s="1820"/>
      <c r="F1002" s="1820"/>
      <c r="G1002" s="1820"/>
      <c r="H1002" s="1820"/>
      <c r="I1002" s="1820"/>
      <c r="J1002" s="1820"/>
      <c r="K1002" s="1820"/>
      <c r="L1002" s="1820"/>
      <c r="M1002" s="1820"/>
      <c r="N1002" s="1820"/>
      <c r="O1002" s="1820"/>
      <c r="P1002" s="1820"/>
      <c r="Q1002" s="1820"/>
      <c r="R1002" s="1820"/>
      <c r="S1002" s="1820"/>
      <c r="T1002" s="1820"/>
      <c r="U1002" s="1820"/>
      <c r="V1002" s="1820"/>
      <c r="W1002" s="1820"/>
      <c r="X1002" s="1820"/>
      <c r="Y1002" s="1820"/>
      <c r="Z1002" s="1820"/>
      <c r="AA1002" s="1820"/>
      <c r="AB1002" s="1820"/>
      <c r="AC1002" s="1820"/>
      <c r="AD1002" s="1820"/>
      <c r="AE1002" s="1821"/>
      <c r="AF1002" s="73"/>
      <c r="AG1002" s="14"/>
      <c r="AH1002" s="14"/>
      <c r="AI1002" s="83"/>
      <c r="AJ1002" s="1801"/>
      <c r="AK1002" s="1802"/>
      <c r="AL1002" s="1802"/>
      <c r="AM1002" s="1802"/>
      <c r="AN1002" s="1802"/>
      <c r="AO1002" s="1802"/>
      <c r="AP1002" s="1802"/>
      <c r="AQ1002" s="1803"/>
      <c r="AR1002" s="68"/>
      <c r="AS1002" s="68"/>
      <c r="AT1002" s="68"/>
      <c r="AU1002" s="68"/>
      <c r="AV1002" s="68"/>
      <c r="AW1002" s="68"/>
      <c r="AX1002" s="68"/>
      <c r="AY1002" s="949">
        <f>G753+O797</f>
        <v>91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9"/>
      <c r="E1003" s="1820"/>
      <c r="F1003" s="1820"/>
      <c r="G1003" s="1820"/>
      <c r="H1003" s="1820"/>
      <c r="I1003" s="1820"/>
      <c r="J1003" s="1820"/>
      <c r="K1003" s="1820"/>
      <c r="L1003" s="1820"/>
      <c r="M1003" s="1820"/>
      <c r="N1003" s="1820"/>
      <c r="O1003" s="1820"/>
      <c r="P1003" s="1820"/>
      <c r="Q1003" s="1820"/>
      <c r="R1003" s="1820"/>
      <c r="S1003" s="1820"/>
      <c r="T1003" s="1820"/>
      <c r="U1003" s="1820"/>
      <c r="V1003" s="1820"/>
      <c r="W1003" s="1820"/>
      <c r="X1003" s="1820"/>
      <c r="Y1003" s="1820"/>
      <c r="Z1003" s="1820"/>
      <c r="AA1003" s="1820"/>
      <c r="AB1003" s="1820"/>
      <c r="AC1003" s="1820"/>
      <c r="AD1003" s="1820"/>
      <c r="AE1003" s="1821"/>
      <c r="AF1003" s="73"/>
      <c r="AG1003" s="14"/>
      <c r="AH1003" s="14"/>
      <c r="AI1003" s="83"/>
      <c r="AJ1003" s="1801"/>
      <c r="AK1003" s="1802"/>
      <c r="AL1003" s="1802"/>
      <c r="AM1003" s="1802"/>
      <c r="AN1003" s="1802"/>
      <c r="AO1003" s="1802"/>
      <c r="AP1003" s="1802"/>
      <c r="AQ1003" s="180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9"/>
      <c r="E1004" s="1820"/>
      <c r="F1004" s="1820"/>
      <c r="G1004" s="1820"/>
      <c r="H1004" s="1820"/>
      <c r="I1004" s="1820"/>
      <c r="J1004" s="1820"/>
      <c r="K1004" s="1820"/>
      <c r="L1004" s="1820"/>
      <c r="M1004" s="1820"/>
      <c r="N1004" s="1820"/>
      <c r="O1004" s="1820"/>
      <c r="P1004" s="1820"/>
      <c r="Q1004" s="1820"/>
      <c r="R1004" s="1820"/>
      <c r="S1004" s="1820"/>
      <c r="T1004" s="1820"/>
      <c r="U1004" s="1820"/>
      <c r="V1004" s="1820"/>
      <c r="W1004" s="1820"/>
      <c r="X1004" s="1820"/>
      <c r="Y1004" s="1820"/>
      <c r="Z1004" s="1820"/>
      <c r="AA1004" s="1820"/>
      <c r="AB1004" s="1820"/>
      <c r="AC1004" s="1820"/>
      <c r="AD1004" s="1820"/>
      <c r="AE1004" s="1821"/>
      <c r="AF1004" s="73"/>
      <c r="AG1004" s="14"/>
      <c r="AH1004" s="14"/>
      <c r="AI1004" s="83"/>
      <c r="AJ1004" s="1801"/>
      <c r="AK1004" s="1802"/>
      <c r="AL1004" s="1802"/>
      <c r="AM1004" s="1802"/>
      <c r="AN1004" s="1802"/>
      <c r="AO1004" s="1802"/>
      <c r="AP1004" s="1802"/>
      <c r="AQ1004" s="1803"/>
      <c r="AR1004" s="68"/>
      <c r="AS1004" s="68"/>
      <c r="AT1004" s="68"/>
      <c r="AU1004" s="68"/>
      <c r="AV1004" s="68"/>
      <c r="AW1004" s="68"/>
      <c r="AX1004" s="68"/>
      <c r="AY1004" s="948">
        <f>ROUNDDOWN(X1047/I1047,2)</f>
        <v>0.57999999999999996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2"/>
      <c r="E1005" s="1823"/>
      <c r="F1005" s="1823"/>
      <c r="G1005" s="1823"/>
      <c r="H1005" s="1823"/>
      <c r="I1005" s="1823"/>
      <c r="J1005" s="1823"/>
      <c r="K1005" s="1823"/>
      <c r="L1005" s="1823"/>
      <c r="M1005" s="1823"/>
      <c r="N1005" s="1823"/>
      <c r="O1005" s="1823"/>
      <c r="P1005" s="1823"/>
      <c r="Q1005" s="1823"/>
      <c r="R1005" s="1823"/>
      <c r="S1005" s="1823"/>
      <c r="T1005" s="1823"/>
      <c r="U1005" s="1823"/>
      <c r="V1005" s="1823"/>
      <c r="W1005" s="1823"/>
      <c r="X1005" s="1823"/>
      <c r="Y1005" s="1823"/>
      <c r="Z1005" s="1823"/>
      <c r="AA1005" s="1823"/>
      <c r="AB1005" s="1823"/>
      <c r="AC1005" s="1823"/>
      <c r="AD1005" s="1823"/>
      <c r="AE1005" s="1824"/>
      <c r="AF1005" s="77"/>
      <c r="AG1005" s="7"/>
      <c r="AH1005" s="7"/>
      <c r="AI1005" s="78"/>
      <c r="AJ1005" s="1804"/>
      <c r="AK1005" s="1805"/>
      <c r="AL1005" s="1805"/>
      <c r="AM1005" s="1805"/>
      <c r="AN1005" s="1805"/>
      <c r="AO1005" s="1805"/>
      <c r="AP1005" s="1805"/>
      <c r="AQ1005" s="1806"/>
      <c r="AR1005" s="68"/>
      <c r="AS1005" s="68"/>
      <c r="AT1005" s="68"/>
      <c r="AU1005" s="68"/>
      <c r="AV1005" s="68"/>
      <c r="AW1005" s="68"/>
      <c r="AX1005" s="68"/>
      <c r="AY1005" s="948">
        <f>ROUNDDOWN(X1051/I1051,2)</f>
        <v>0.27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80" t="s">
        <v>1871</v>
      </c>
      <c r="E1006" s="1781"/>
      <c r="F1006" s="1781"/>
      <c r="G1006" s="1781"/>
      <c r="H1006" s="1781"/>
      <c r="I1006" s="1781"/>
      <c r="J1006" s="1781"/>
      <c r="K1006" s="1781"/>
      <c r="L1006" s="1781"/>
      <c r="M1006" s="1781"/>
      <c r="N1006" s="1781"/>
      <c r="O1006" s="1781"/>
      <c r="P1006" s="1781"/>
      <c r="Q1006" s="1781"/>
      <c r="R1006" s="1781"/>
      <c r="S1006" s="1781"/>
      <c r="T1006" s="1781"/>
      <c r="U1006" s="1781"/>
      <c r="V1006" s="1781"/>
      <c r="W1006" s="1781"/>
      <c r="X1006" s="1781"/>
      <c r="Y1006" s="1781"/>
      <c r="Z1006" s="1781"/>
      <c r="AA1006" s="1781"/>
      <c r="AB1006" s="1781"/>
      <c r="AC1006" s="1781"/>
      <c r="AD1006" s="1781"/>
      <c r="AE1006" s="1782"/>
      <c r="AF1006" s="86"/>
      <c r="AG1006" s="1662" t="s">
        <v>676</v>
      </c>
      <c r="AH1006" s="1663"/>
      <c r="AI1006" s="87"/>
      <c r="AJ1006" s="1798">
        <f>ROUND(IF(AG1006="yes",AJ991*0.1,0),0)</f>
        <v>0</v>
      </c>
      <c r="AK1006" s="1799"/>
      <c r="AL1006" s="1799"/>
      <c r="AM1006" s="1799"/>
      <c r="AN1006" s="1799"/>
      <c r="AO1006" s="1799"/>
      <c r="AP1006" s="1799"/>
      <c r="AQ1006" s="1800"/>
      <c r="AR1006" s="68"/>
      <c r="AS1006" s="68"/>
      <c r="AT1006" s="68"/>
      <c r="AU1006" s="68"/>
      <c r="AV1006" s="68"/>
      <c r="AW1006" s="68"/>
      <c r="AX1006" s="68"/>
      <c r="BB1006" s="34"/>
      <c r="BD1006" s="34"/>
      <c r="BE1006" s="34"/>
      <c r="BF1006" s="34"/>
    </row>
    <row r="1007" spans="1:157" ht="12.95" customHeight="1">
      <c r="A1007" s="14"/>
      <c r="B1007" s="73"/>
      <c r="C1007" s="74"/>
      <c r="D1007" s="1683" t="s">
        <v>1393</v>
      </c>
      <c r="E1007" s="1684"/>
      <c r="F1007" s="1684"/>
      <c r="G1007" s="1684"/>
      <c r="H1007" s="1684"/>
      <c r="I1007" s="1684"/>
      <c r="J1007" s="1684"/>
      <c r="K1007" s="1684"/>
      <c r="L1007" s="1684"/>
      <c r="M1007" s="1684"/>
      <c r="N1007" s="1684"/>
      <c r="O1007" s="1684"/>
      <c r="P1007" s="1684"/>
      <c r="Q1007" s="1684"/>
      <c r="R1007" s="1684"/>
      <c r="S1007" s="1684"/>
      <c r="T1007" s="1684"/>
      <c r="U1007" s="1684"/>
      <c r="V1007" s="1684"/>
      <c r="W1007" s="1684"/>
      <c r="X1007" s="1684"/>
      <c r="Y1007" s="1684"/>
      <c r="Z1007" s="1684"/>
      <c r="AA1007" s="1684"/>
      <c r="AB1007" s="1684"/>
      <c r="AC1007" s="1684"/>
      <c r="AD1007" s="1684"/>
      <c r="AE1007" s="1685"/>
      <c r="AF1007" s="73"/>
      <c r="AI1007" s="83"/>
      <c r="AJ1007" s="1801"/>
      <c r="AK1007" s="1802"/>
      <c r="AL1007" s="1802"/>
      <c r="AM1007" s="1802"/>
      <c r="AN1007" s="1802"/>
      <c r="AO1007" s="1802"/>
      <c r="AP1007" s="1802"/>
      <c r="AQ1007" s="1803"/>
      <c r="AR1007" s="68"/>
      <c r="AS1007" s="68"/>
      <c r="AT1007" s="68"/>
      <c r="AU1007" s="68"/>
      <c r="AV1007" s="68"/>
      <c r="AW1007" s="68"/>
      <c r="AX1007" s="68"/>
    </row>
    <row r="1008" spans="1:157" ht="12.95" customHeight="1">
      <c r="A1008" s="14"/>
      <c r="B1008" s="73"/>
      <c r="C1008" s="74"/>
      <c r="D1008" s="1683"/>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5"/>
      <c r="AF1008" s="73"/>
      <c r="AG1008" s="14"/>
      <c r="AH1008" s="14"/>
      <c r="AI1008" s="83"/>
      <c r="AJ1008" s="1801"/>
      <c r="AK1008" s="1802"/>
      <c r="AL1008" s="1802"/>
      <c r="AM1008" s="1802"/>
      <c r="AN1008" s="1802"/>
      <c r="AO1008" s="1802"/>
      <c r="AP1008" s="1802"/>
      <c r="AQ1008" s="1803"/>
      <c r="AR1008" s="68"/>
      <c r="AS1008" s="68"/>
      <c r="AT1008" s="68"/>
      <c r="AU1008" s="68"/>
      <c r="AV1008" s="68"/>
      <c r="AW1008" s="68"/>
      <c r="AX1008" s="68"/>
    </row>
    <row r="1009" spans="1:51" ht="12.95" customHeight="1">
      <c r="A1009" s="14"/>
      <c r="B1009" s="85"/>
      <c r="C1009" s="76"/>
      <c r="D1009" s="1686"/>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8"/>
      <c r="AF1009" s="77"/>
      <c r="AG1009" s="7"/>
      <c r="AH1009" s="7"/>
      <c r="AI1009" s="78"/>
      <c r="AJ1009" s="1804"/>
      <c r="AK1009" s="1805"/>
      <c r="AL1009" s="1805"/>
      <c r="AM1009" s="1805"/>
      <c r="AN1009" s="1805"/>
      <c r="AO1009" s="1805"/>
      <c r="AP1009" s="1805"/>
      <c r="AQ1009" s="1806"/>
      <c r="AR1009" s="68"/>
      <c r="AS1009" s="68"/>
      <c r="AT1009" s="68"/>
      <c r="AU1009" s="68"/>
      <c r="AV1009" s="68"/>
      <c r="AW1009" s="68"/>
      <c r="AX1009" s="68"/>
    </row>
    <row r="1010" spans="1:51" ht="12.95" customHeight="1">
      <c r="A1010" s="14"/>
      <c r="B1010" s="79"/>
      <c r="C1010" s="80" t="s">
        <v>213</v>
      </c>
      <c r="D1010" s="1780" t="s">
        <v>1395</v>
      </c>
      <c r="E1010" s="1781"/>
      <c r="F1010" s="1781"/>
      <c r="G1010" s="1781"/>
      <c r="H1010" s="1781"/>
      <c r="I1010" s="1781"/>
      <c r="J1010" s="1781"/>
      <c r="K1010" s="1781"/>
      <c r="L1010" s="1781"/>
      <c r="M1010" s="1781"/>
      <c r="N1010" s="1781"/>
      <c r="O1010" s="1781"/>
      <c r="P1010" s="1781"/>
      <c r="Q1010" s="1781"/>
      <c r="R1010" s="1781"/>
      <c r="S1010" s="1781"/>
      <c r="T1010" s="1781"/>
      <c r="U1010" s="1781"/>
      <c r="V1010" s="1781"/>
      <c r="W1010" s="1781"/>
      <c r="X1010" s="1781"/>
      <c r="Y1010" s="1781"/>
      <c r="Z1010" s="1781"/>
      <c r="AA1010" s="1781"/>
      <c r="AB1010" s="1781"/>
      <c r="AC1010" s="1781"/>
      <c r="AD1010" s="1781"/>
      <c r="AE1010" s="1782"/>
      <c r="AF1010" s="79"/>
      <c r="AG1010" s="1662" t="s">
        <v>676</v>
      </c>
      <c r="AH1010" s="1663"/>
      <c r="AI1010" s="87"/>
      <c r="AJ1010" s="1798">
        <f>ROUND(IF(AG1010="yes",AJ991*0.02,0),0)</f>
        <v>0</v>
      </c>
      <c r="AK1010" s="1799"/>
      <c r="AL1010" s="1799"/>
      <c r="AM1010" s="1799"/>
      <c r="AN1010" s="1799"/>
      <c r="AO1010" s="1799"/>
      <c r="AP1010" s="1799"/>
      <c r="AQ1010" s="1800"/>
      <c r="AR1010" s="68"/>
      <c r="AS1010" s="68"/>
      <c r="AT1010" s="68"/>
      <c r="AU1010" s="68"/>
      <c r="AV1010" s="68"/>
      <c r="AW1010" s="68"/>
      <c r="AX1010" s="68"/>
      <c r="AY1010" s="215">
        <f>IF(SUM(AY1012:AY1020)&lt;=0.1,SUM(AY1012:AY1020),0.1)</f>
        <v>0</v>
      </c>
    </row>
    <row r="1011" spans="1:51" ht="14.25" customHeight="1">
      <c r="A1011" s="14"/>
      <c r="B1011" s="73"/>
      <c r="C1011" s="74"/>
      <c r="D1011" s="1686" t="s">
        <v>1396</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77"/>
      <c r="AG1011" s="7"/>
      <c r="AH1011" s="7"/>
      <c r="AI1011" s="78"/>
      <c r="AJ1011" s="1804"/>
      <c r="AK1011" s="1805"/>
      <c r="AL1011" s="1805"/>
      <c r="AM1011" s="1805"/>
      <c r="AN1011" s="1805"/>
      <c r="AO1011" s="1805"/>
      <c r="AP1011" s="1805"/>
      <c r="AQ1011" s="1806"/>
      <c r="AR1011" s="68"/>
      <c r="AS1011" s="68"/>
      <c r="AT1011" s="68"/>
      <c r="AU1011" s="68"/>
      <c r="AV1011" s="68"/>
      <c r="AW1011" s="68"/>
      <c r="AX1011" s="68"/>
    </row>
    <row r="1012" spans="1:51" ht="12.95" customHeight="1">
      <c r="A1012" s="14"/>
      <c r="B1012" s="79"/>
      <c r="C1012" s="80" t="s">
        <v>216</v>
      </c>
      <c r="D1012" s="1780" t="s">
        <v>1397</v>
      </c>
      <c r="E1012" s="1781"/>
      <c r="F1012" s="1781"/>
      <c r="G1012" s="1781"/>
      <c r="H1012" s="1781"/>
      <c r="I1012" s="1781"/>
      <c r="J1012" s="1781"/>
      <c r="K1012" s="1781"/>
      <c r="L1012" s="1781"/>
      <c r="M1012" s="1781"/>
      <c r="N1012" s="1781"/>
      <c r="O1012" s="1781"/>
      <c r="P1012" s="1781"/>
      <c r="Q1012" s="1781"/>
      <c r="R1012" s="1781"/>
      <c r="S1012" s="1781"/>
      <c r="T1012" s="1781"/>
      <c r="U1012" s="1781"/>
      <c r="V1012" s="1781"/>
      <c r="W1012" s="1781"/>
      <c r="X1012" s="1781"/>
      <c r="Y1012" s="1781"/>
      <c r="Z1012" s="1781"/>
      <c r="AA1012" s="1781"/>
      <c r="AB1012" s="1781"/>
      <c r="AC1012" s="1781"/>
      <c r="AD1012" s="1781"/>
      <c r="AE1012" s="1782"/>
      <c r="AF1012" s="79"/>
      <c r="AG1012" s="1662" t="s">
        <v>676</v>
      </c>
      <c r="AH1012" s="1663"/>
      <c r="AI1012" s="79"/>
      <c r="AJ1012" s="1798">
        <f>ROUND(IF(AG1012="yes",AJ991*0.02,0),0)</f>
        <v>0</v>
      </c>
      <c r="AK1012" s="1799"/>
      <c r="AL1012" s="1799"/>
      <c r="AM1012" s="1799"/>
      <c r="AN1012" s="1799"/>
      <c r="AO1012" s="1799"/>
      <c r="AP1012" s="1799"/>
      <c r="AQ1012" s="1800"/>
      <c r="AR1012" s="68"/>
      <c r="AS1012" s="68"/>
      <c r="AT1012" s="68"/>
      <c r="AU1012" s="68"/>
      <c r="AV1012" s="68"/>
      <c r="AW1012" s="68"/>
      <c r="AX1012" s="68"/>
      <c r="AY1012" s="213">
        <f>IF(A1064="Yes",0.05,0)</f>
        <v>0</v>
      </c>
    </row>
    <row r="1013" spans="1:51" ht="12.95" customHeight="1">
      <c r="A1013" s="14"/>
      <c r="B1013" s="73"/>
      <c r="C1013" s="74"/>
      <c r="D1013" s="1683" t="s">
        <v>1398</v>
      </c>
      <c r="E1013" s="1684"/>
      <c r="F1013" s="1684"/>
      <c r="G1013" s="1684"/>
      <c r="H1013" s="1684"/>
      <c r="I1013" s="1684"/>
      <c r="J1013" s="1684"/>
      <c r="K1013" s="1684"/>
      <c r="L1013" s="1684"/>
      <c r="M1013" s="1684"/>
      <c r="N1013" s="1684"/>
      <c r="O1013" s="1684"/>
      <c r="P1013" s="1684"/>
      <c r="Q1013" s="1684"/>
      <c r="R1013" s="1684"/>
      <c r="S1013" s="1684"/>
      <c r="T1013" s="1684"/>
      <c r="U1013" s="1684"/>
      <c r="V1013" s="1684"/>
      <c r="W1013" s="1684"/>
      <c r="X1013" s="1684"/>
      <c r="Y1013" s="1684"/>
      <c r="Z1013" s="1684"/>
      <c r="AA1013" s="1684"/>
      <c r="AB1013" s="1684"/>
      <c r="AC1013" s="1684"/>
      <c r="AD1013" s="1684"/>
      <c r="AE1013" s="1685"/>
      <c r="AF1013" s="1864" t="str">
        <f>IF(AND(AG1012="yes",AB212&lt;&gt;1),"The project may not be eligible for this boost","")</f>
        <v/>
      </c>
      <c r="AG1013" s="1865"/>
      <c r="AH1013" s="1865"/>
      <c r="AI1013" s="1866"/>
      <c r="AJ1013" s="1801"/>
      <c r="AK1013" s="1802"/>
      <c r="AL1013" s="1802"/>
      <c r="AM1013" s="1802"/>
      <c r="AN1013" s="1802"/>
      <c r="AO1013" s="1802"/>
      <c r="AP1013" s="1802"/>
      <c r="AQ1013" s="1803"/>
      <c r="AR1013" s="68"/>
      <c r="AS1013" s="68"/>
      <c r="AT1013" s="68"/>
      <c r="AU1013" s="68"/>
      <c r="AV1013" s="68"/>
      <c r="AW1013" s="68"/>
      <c r="AX1013" s="68"/>
      <c r="AY1013" s="213">
        <f>IF(A1070="Yes",0.02,0)</f>
        <v>0</v>
      </c>
    </row>
    <row r="1014" spans="1:51" ht="12.95" customHeight="1">
      <c r="A1014" s="14"/>
      <c r="B1014" s="75"/>
      <c r="C1014" s="76"/>
      <c r="D1014" s="1686"/>
      <c r="E1014" s="1687"/>
      <c r="F1014" s="1687"/>
      <c r="G1014" s="1687"/>
      <c r="H1014" s="1687"/>
      <c r="I1014" s="1687"/>
      <c r="J1014" s="1687"/>
      <c r="K1014" s="1687"/>
      <c r="L1014" s="1687"/>
      <c r="M1014" s="1687"/>
      <c r="N1014" s="1687"/>
      <c r="O1014" s="1687"/>
      <c r="P1014" s="1687"/>
      <c r="Q1014" s="1687"/>
      <c r="R1014" s="1687"/>
      <c r="S1014" s="1687"/>
      <c r="T1014" s="1687"/>
      <c r="U1014" s="1687"/>
      <c r="V1014" s="1687"/>
      <c r="W1014" s="1687"/>
      <c r="X1014" s="1687"/>
      <c r="Y1014" s="1687"/>
      <c r="Z1014" s="1687"/>
      <c r="AA1014" s="1687"/>
      <c r="AB1014" s="1687"/>
      <c r="AC1014" s="1687"/>
      <c r="AD1014" s="1687"/>
      <c r="AE1014" s="1688"/>
      <c r="AF1014" s="1867"/>
      <c r="AG1014" s="1868"/>
      <c r="AH1014" s="1868"/>
      <c r="AI1014" s="1869"/>
      <c r="AJ1014" s="1804"/>
      <c r="AK1014" s="1805"/>
      <c r="AL1014" s="1805"/>
      <c r="AM1014" s="1805"/>
      <c r="AN1014" s="1805"/>
      <c r="AO1014" s="1805"/>
      <c r="AP1014" s="1805"/>
      <c r="AQ1014" s="1806"/>
      <c r="AR1014" s="68"/>
      <c r="AS1014" s="68"/>
      <c r="AT1014" s="68"/>
      <c r="AU1014" s="68"/>
      <c r="AV1014" s="68"/>
      <c r="AW1014" s="68"/>
      <c r="AX1014" s="68"/>
      <c r="AY1014" s="213">
        <f>IF(A1076="Yes",0.04,0)</f>
        <v>0</v>
      </c>
    </row>
    <row r="1015" spans="1:51" ht="12.95" customHeight="1">
      <c r="A1015" s="14"/>
      <c r="B1015" s="79"/>
      <c r="C1015" s="80" t="s">
        <v>219</v>
      </c>
      <c r="D1015" s="1777" t="s">
        <v>1399</v>
      </c>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9"/>
      <c r="AG1015" s="1662" t="s">
        <v>676</v>
      </c>
      <c r="AH1015" s="1663"/>
      <c r="AI1015" s="87"/>
      <c r="AJ1015" s="1798">
        <f>IF(AG1015="yes",AJ991*AY1010,0)</f>
        <v>0</v>
      </c>
      <c r="AK1015" s="1799"/>
      <c r="AL1015" s="1799"/>
      <c r="AM1015" s="1799"/>
      <c r="AN1015" s="1799"/>
      <c r="AO1015" s="1799"/>
      <c r="AP1015" s="1799"/>
      <c r="AQ1015" s="1800"/>
      <c r="AR1015" s="68"/>
      <c r="AS1015" s="68"/>
      <c r="AT1015" s="68"/>
      <c r="AU1015" s="68"/>
      <c r="AV1015" s="68"/>
      <c r="AW1015" s="68"/>
      <c r="AX1015" s="68"/>
      <c r="AY1015" s="213">
        <f>IF(A1083="Yes",0.04,0)</f>
        <v>0</v>
      </c>
    </row>
    <row r="1016" spans="1:51" ht="12.95" customHeight="1">
      <c r="A1016" s="14"/>
      <c r="B1016" s="73"/>
      <c r="C1016" s="74"/>
      <c r="D1016" s="1683" t="s">
        <v>1400</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1858" t="str">
        <f>IF(AND(AG1015="Yes",AY1010=0),AY1022,"")</f>
        <v/>
      </c>
      <c r="AG1016" s="1859"/>
      <c r="AH1016" s="1859"/>
      <c r="AI1016" s="1860"/>
      <c r="AJ1016" s="1801"/>
      <c r="AK1016" s="1802"/>
      <c r="AL1016" s="1802"/>
      <c r="AM1016" s="1802"/>
      <c r="AN1016" s="1802"/>
      <c r="AO1016" s="1802"/>
      <c r="AP1016" s="1802"/>
      <c r="AQ1016" s="1803"/>
      <c r="AR1016" s="68"/>
      <c r="AS1016" s="68"/>
      <c r="AT1016" s="68"/>
      <c r="AU1016" s="68"/>
      <c r="AV1016" s="68"/>
      <c r="AW1016" s="68"/>
      <c r="AX1016" s="68"/>
      <c r="AY1016" s="213">
        <f>IF(A1086="Yes",0.01,0)</f>
        <v>0</v>
      </c>
    </row>
    <row r="1017" spans="1:51" ht="12.95" customHeight="1">
      <c r="A1017" s="14"/>
      <c r="B1017" s="73"/>
      <c r="C1017" s="74"/>
      <c r="D1017" s="1683"/>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1858"/>
      <c r="AG1017" s="1859"/>
      <c r="AH1017" s="1859"/>
      <c r="AI1017" s="1860"/>
      <c r="AJ1017" s="1801"/>
      <c r="AK1017" s="1802"/>
      <c r="AL1017" s="1802"/>
      <c r="AM1017" s="1802"/>
      <c r="AN1017" s="1802"/>
      <c r="AO1017" s="1802"/>
      <c r="AP1017" s="1802"/>
      <c r="AQ1017" s="1803"/>
      <c r="AR1017" s="68"/>
      <c r="AS1017" s="68"/>
      <c r="AT1017" s="68"/>
      <c r="AU1017" s="68"/>
      <c r="AV1017" s="68"/>
      <c r="AW1017" s="68"/>
      <c r="AX1017" s="68"/>
      <c r="AY1017" s="213">
        <f>IF(A1091="Yes",0.01,0)</f>
        <v>0</v>
      </c>
    </row>
    <row r="1018" spans="1:51" ht="12.95" customHeight="1">
      <c r="A1018" s="14"/>
      <c r="B1018" s="81"/>
      <c r="C1018" s="82"/>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1861"/>
      <c r="AG1018" s="1862"/>
      <c r="AH1018" s="1862"/>
      <c r="AI1018" s="1863"/>
      <c r="AJ1018" s="1804"/>
      <c r="AK1018" s="1805"/>
      <c r="AL1018" s="1805"/>
      <c r="AM1018" s="1805"/>
      <c r="AN1018" s="1805"/>
      <c r="AO1018" s="1805"/>
      <c r="AP1018" s="1805"/>
      <c r="AQ1018" s="1806"/>
      <c r="AR1018" s="68"/>
      <c r="AS1018" s="68"/>
      <c r="AT1018" s="68"/>
      <c r="AU1018" s="68"/>
      <c r="AV1018" s="68"/>
      <c r="AW1018" s="68"/>
      <c r="AX1018" s="68"/>
      <c r="AY1018" s="213">
        <f>IF(A1094="Yes",0.01,0)</f>
        <v>0</v>
      </c>
    </row>
    <row r="1019" spans="1:51" ht="12.95" customHeight="1">
      <c r="A1019" s="14"/>
      <c r="B1019" s="79"/>
      <c r="C1019" s="80" t="s">
        <v>224</v>
      </c>
      <c r="D1019" s="1807" t="s">
        <v>1401</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62" t="s">
        <v>676</v>
      </c>
      <c r="AH1019" s="1663"/>
      <c r="AI1019" s="87"/>
      <c r="AJ1019" s="1798">
        <f>ROUND(IF(AND(AG1019="Yes",J1023&lt;&gt;"N/A",AF1022&lt;&gt;""),MIN(AF1022,(0.15*AJ991)),0),0)</f>
        <v>0</v>
      </c>
      <c r="AK1019" s="1799"/>
      <c r="AL1019" s="1799"/>
      <c r="AM1019" s="1799"/>
      <c r="AN1019" s="1799"/>
      <c r="AO1019" s="1799"/>
      <c r="AP1019" s="1799"/>
      <c r="AQ1019" s="1800"/>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44" t="str">
        <f>IF(AG1019="yes","Please Select Type and Enter Amount:","")</f>
        <v/>
      </c>
      <c r="AG1020" s="1845"/>
      <c r="AH1020" s="1845"/>
      <c r="AI1020" s="1846"/>
      <c r="AJ1020" s="1801"/>
      <c r="AK1020" s="1802"/>
      <c r="AL1020" s="1802"/>
      <c r="AM1020" s="1802"/>
      <c r="AN1020" s="1802"/>
      <c r="AO1020" s="1802"/>
      <c r="AP1020" s="1802"/>
      <c r="AQ1020" s="1803"/>
      <c r="AR1020" s="68"/>
      <c r="AS1020" s="68"/>
      <c r="AT1020" s="68"/>
      <c r="AU1020" s="68"/>
      <c r="AV1020" s="68"/>
      <c r="AW1020" s="68"/>
      <c r="AX1020" s="68"/>
      <c r="AY1020" s="214">
        <f>IF(A1103="Yes",0.02,0)</f>
        <v>0</v>
      </c>
    </row>
    <row r="1021" spans="1:51" ht="12.95" customHeight="1">
      <c r="A1021" s="14"/>
      <c r="B1021" s="81"/>
      <c r="C1021" s="84"/>
      <c r="D1021" s="1683" t="s">
        <v>1402</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1844"/>
      <c r="AG1021" s="1845"/>
      <c r="AH1021" s="1845"/>
      <c r="AI1021" s="1846"/>
      <c r="AJ1021" s="1801"/>
      <c r="AK1021" s="1802"/>
      <c r="AL1021" s="1802"/>
      <c r="AM1021" s="1802"/>
      <c r="AN1021" s="1802"/>
      <c r="AO1021" s="1802"/>
      <c r="AP1021" s="1802"/>
      <c r="AQ1021" s="1803"/>
      <c r="AR1021" s="68"/>
      <c r="AS1021" s="68"/>
      <c r="AT1021" s="68"/>
      <c r="AU1021" s="68"/>
      <c r="AV1021" s="68"/>
      <c r="AW1021" s="68"/>
      <c r="AX1021" s="68"/>
      <c r="AY1021" s="68"/>
    </row>
    <row r="1022" spans="1:51" ht="12.95" customHeight="1">
      <c r="A1022" s="14"/>
      <c r="B1022" s="81"/>
      <c r="C1022" s="84"/>
      <c r="D1022" s="1683"/>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1835"/>
      <c r="AG1022" s="1835"/>
      <c r="AH1022" s="1835"/>
      <c r="AI1022" s="1835"/>
      <c r="AJ1022" s="1801"/>
      <c r="AK1022" s="1802"/>
      <c r="AL1022" s="1802"/>
      <c r="AM1022" s="1802"/>
      <c r="AN1022" s="1802"/>
      <c r="AO1022" s="1802"/>
      <c r="AP1022" s="1802"/>
      <c r="AQ1022" s="180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6" t="s">
        <v>598</v>
      </c>
      <c r="K1023" s="1837"/>
      <c r="L1023" s="1837"/>
      <c r="M1023" s="1837"/>
      <c r="N1023" s="1837"/>
      <c r="O1023" s="1837"/>
      <c r="P1023" s="1837"/>
      <c r="Q1023" s="1837"/>
      <c r="R1023" s="1837"/>
      <c r="S1023" s="1837"/>
      <c r="T1023" s="1837"/>
      <c r="U1023" s="1837"/>
      <c r="V1023" s="1837"/>
      <c r="W1023" s="1837"/>
      <c r="X1023" s="1837"/>
      <c r="Y1023" s="1837"/>
      <c r="Z1023" s="1837"/>
      <c r="AA1023" s="1837"/>
      <c r="AB1023" s="1837"/>
      <c r="AC1023" s="1837"/>
      <c r="AD1023" s="1837"/>
      <c r="AE1023" s="1838"/>
      <c r="AF1023" s="1835"/>
      <c r="AG1023" s="1835"/>
      <c r="AH1023" s="1835"/>
      <c r="AI1023" s="1835"/>
      <c r="AJ1023" s="1804"/>
      <c r="AK1023" s="1805"/>
      <c r="AL1023" s="1805"/>
      <c r="AM1023" s="1805"/>
      <c r="AN1023" s="1805"/>
      <c r="AO1023" s="1805"/>
      <c r="AP1023" s="1805"/>
      <c r="AQ1023" s="1806"/>
      <c r="AR1023" s="68"/>
      <c r="AS1023" s="68"/>
      <c r="AT1023" s="68"/>
      <c r="AU1023" s="68"/>
      <c r="AV1023" s="68"/>
      <c r="AW1023" s="68"/>
      <c r="AX1023" s="68"/>
      <c r="AY1023" s="68"/>
    </row>
    <row r="1024" spans="1:51" ht="12.95" customHeight="1">
      <c r="A1024" s="14"/>
      <c r="B1024" s="79"/>
      <c r="C1024" s="80" t="s">
        <v>230</v>
      </c>
      <c r="D1024" s="1780" t="s">
        <v>1403</v>
      </c>
      <c r="E1024" s="1781"/>
      <c r="F1024" s="1781"/>
      <c r="G1024" s="1781"/>
      <c r="H1024" s="1781"/>
      <c r="I1024" s="1781"/>
      <c r="J1024" s="1781"/>
      <c r="K1024" s="1781"/>
      <c r="L1024" s="1781"/>
      <c r="M1024" s="1781"/>
      <c r="N1024" s="1781"/>
      <c r="O1024" s="1781"/>
      <c r="P1024" s="1781"/>
      <c r="Q1024" s="1781"/>
      <c r="R1024" s="1781"/>
      <c r="S1024" s="1781"/>
      <c r="T1024" s="1781"/>
      <c r="U1024" s="1781"/>
      <c r="V1024" s="1781"/>
      <c r="W1024" s="1781"/>
      <c r="X1024" s="1781"/>
      <c r="Y1024" s="1781"/>
      <c r="Z1024" s="1781"/>
      <c r="AA1024" s="1781"/>
      <c r="AB1024" s="1781"/>
      <c r="AC1024" s="1781"/>
      <c r="AD1024" s="1781"/>
      <c r="AE1024" s="1782"/>
      <c r="AF1024" s="79"/>
      <c r="AG1024" s="1662" t="s">
        <v>676</v>
      </c>
      <c r="AH1024" s="1663"/>
      <c r="AI1024" s="87"/>
      <c r="AJ1024" s="1798">
        <f>ROUND(IF(AG1024="Yes",AF1026,0),0)</f>
        <v>0</v>
      </c>
      <c r="AK1024" s="1799"/>
      <c r="AL1024" s="1799"/>
      <c r="AM1024" s="1799"/>
      <c r="AN1024" s="1799"/>
      <c r="AO1024" s="1799"/>
      <c r="AP1024" s="1799"/>
      <c r="AQ1024" s="1800"/>
      <c r="AR1024" s="68"/>
      <c r="AS1024" s="68"/>
      <c r="AT1024" s="68"/>
      <c r="AU1024" s="68"/>
      <c r="AV1024" s="68"/>
      <c r="AW1024" s="68"/>
      <c r="AX1024" s="68"/>
      <c r="AY1024" s="68"/>
    </row>
    <row r="1025" spans="1:51" ht="12.95" customHeight="1">
      <c r="A1025" s="14"/>
      <c r="B1025" s="73"/>
      <c r="C1025" s="74"/>
      <c r="D1025" s="1683" t="s">
        <v>1878</v>
      </c>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5"/>
      <c r="AF1025" s="1816" t="str">
        <f>IF(AG1024="yes","Enter Amount:","")</f>
        <v/>
      </c>
      <c r="AG1025" s="1817"/>
      <c r="AH1025" s="1817"/>
      <c r="AI1025" s="1818"/>
      <c r="AJ1025" s="1801"/>
      <c r="AK1025" s="1802"/>
      <c r="AL1025" s="1802"/>
      <c r="AM1025" s="1802"/>
      <c r="AN1025" s="1802"/>
      <c r="AO1025" s="1802"/>
      <c r="AP1025" s="1802"/>
      <c r="AQ1025" s="1803"/>
      <c r="AR1025" s="68"/>
      <c r="AS1025" s="68"/>
      <c r="AT1025" s="68"/>
      <c r="AU1025" s="68"/>
      <c r="AV1025" s="68"/>
      <c r="AW1025" s="68"/>
      <c r="AX1025" s="68"/>
      <c r="AY1025" s="68"/>
    </row>
    <row r="1026" spans="1:51" ht="12.95" customHeight="1">
      <c r="A1026" s="14"/>
      <c r="B1026" s="73"/>
      <c r="C1026" s="74"/>
      <c r="D1026" s="1683"/>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835"/>
      <c r="AG1026" s="1835"/>
      <c r="AH1026" s="1835"/>
      <c r="AI1026" s="1835"/>
      <c r="AJ1026" s="1801"/>
      <c r="AK1026" s="1802"/>
      <c r="AL1026" s="1802"/>
      <c r="AM1026" s="1802"/>
      <c r="AN1026" s="1802"/>
      <c r="AO1026" s="1802"/>
      <c r="AP1026" s="1802"/>
      <c r="AQ1026" s="1803"/>
      <c r="AR1026" s="68"/>
      <c r="AS1026" s="68"/>
      <c r="AT1026" s="68"/>
      <c r="AU1026" s="68"/>
      <c r="AV1026" s="68"/>
      <c r="AW1026" s="68"/>
      <c r="AX1026" s="68"/>
      <c r="AY1026" s="68"/>
    </row>
    <row r="1027" spans="1:51" ht="12.95" customHeight="1">
      <c r="A1027" s="14"/>
      <c r="B1027" s="85"/>
      <c r="C1027" s="84"/>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835"/>
      <c r="AG1027" s="1835"/>
      <c r="AH1027" s="1835"/>
      <c r="AI1027" s="1835"/>
      <c r="AJ1027" s="1804"/>
      <c r="AK1027" s="1805"/>
      <c r="AL1027" s="1805"/>
      <c r="AM1027" s="1805"/>
      <c r="AN1027" s="1805"/>
      <c r="AO1027" s="1805"/>
      <c r="AP1027" s="1805"/>
      <c r="AQ1027" s="1806"/>
      <c r="AR1027" s="68"/>
      <c r="AS1027" s="68"/>
      <c r="AT1027" s="68"/>
      <c r="AU1027" s="68"/>
      <c r="AV1027" s="68"/>
      <c r="AW1027" s="68"/>
      <c r="AX1027" s="68"/>
      <c r="AY1027" s="68"/>
    </row>
    <row r="1028" spans="1:51" ht="12.95" customHeight="1">
      <c r="A1028" s="14"/>
      <c r="B1028" s="79"/>
      <c r="C1028" s="80" t="s">
        <v>235</v>
      </c>
      <c r="D1028" s="1777" t="s">
        <v>1404</v>
      </c>
      <c r="E1028" s="1778"/>
      <c r="F1028" s="1778"/>
      <c r="G1028" s="1778"/>
      <c r="H1028" s="1778"/>
      <c r="I1028" s="1778"/>
      <c r="J1028" s="1778"/>
      <c r="K1028" s="1778"/>
      <c r="L1028" s="1778"/>
      <c r="M1028" s="1778"/>
      <c r="N1028" s="1778"/>
      <c r="O1028" s="1778"/>
      <c r="P1028" s="1778"/>
      <c r="Q1028" s="1778"/>
      <c r="R1028" s="1778"/>
      <c r="S1028" s="1778"/>
      <c r="T1028" s="1778"/>
      <c r="U1028" s="1778"/>
      <c r="V1028" s="1778"/>
      <c r="W1028" s="1778"/>
      <c r="X1028" s="1778"/>
      <c r="Y1028" s="1778"/>
      <c r="Z1028" s="1778"/>
      <c r="AA1028" s="1778"/>
      <c r="AB1028" s="1778"/>
      <c r="AC1028" s="1778"/>
      <c r="AD1028" s="1778"/>
      <c r="AE1028" s="1779"/>
      <c r="AF1028" s="79"/>
      <c r="AG1028" s="1662" t="s">
        <v>552</v>
      </c>
      <c r="AH1028" s="1663"/>
      <c r="AI1028" s="87"/>
      <c r="AJ1028" s="1798">
        <f>ROUND(IF(AG1028="yes",(AJ991*0.1),0),0)</f>
        <v>8532660</v>
      </c>
      <c r="AK1028" s="1799"/>
      <c r="AL1028" s="1799"/>
      <c r="AM1028" s="1799"/>
      <c r="AN1028" s="1799"/>
      <c r="AO1028" s="1799"/>
      <c r="AP1028" s="1799"/>
      <c r="AQ1028" s="1800"/>
      <c r="AR1028" s="68"/>
      <c r="AS1028" s="68"/>
      <c r="AT1028" s="68"/>
      <c r="AU1028" s="68"/>
      <c r="AV1028" s="68"/>
      <c r="AW1028" s="68"/>
      <c r="AX1028" s="68"/>
      <c r="AY1028" s="68"/>
    </row>
    <row r="1029" spans="1:51" ht="12.95" customHeight="1">
      <c r="A1029" s="14"/>
      <c r="B1029" s="73"/>
      <c r="C1029" s="74"/>
      <c r="D1029" s="1683" t="s">
        <v>1405</v>
      </c>
      <c r="E1029" s="1684"/>
      <c r="F1029" s="1684"/>
      <c r="G1029" s="1684"/>
      <c r="H1029" s="1684"/>
      <c r="I1029" s="1684"/>
      <c r="J1029" s="1684"/>
      <c r="K1029" s="1684"/>
      <c r="L1029" s="1684"/>
      <c r="M1029" s="1684"/>
      <c r="N1029" s="1684"/>
      <c r="O1029" s="1684"/>
      <c r="P1029" s="1684"/>
      <c r="Q1029" s="1684"/>
      <c r="R1029" s="1684"/>
      <c r="S1029" s="1684"/>
      <c r="T1029" s="1684"/>
      <c r="U1029" s="1684"/>
      <c r="V1029" s="1684"/>
      <c r="W1029" s="1684"/>
      <c r="X1029" s="1684"/>
      <c r="Y1029" s="1684"/>
      <c r="Z1029" s="1684"/>
      <c r="AA1029" s="1684"/>
      <c r="AB1029" s="1684"/>
      <c r="AC1029" s="1684"/>
      <c r="AD1029" s="1684"/>
      <c r="AE1029" s="1685"/>
      <c r="AF1029" s="73"/>
      <c r="AG1029" s="14"/>
      <c r="AH1029" s="14"/>
      <c r="AI1029" s="83"/>
      <c r="AJ1029" s="1801"/>
      <c r="AK1029" s="1802"/>
      <c r="AL1029" s="1802"/>
      <c r="AM1029" s="1802"/>
      <c r="AN1029" s="1802"/>
      <c r="AO1029" s="1802"/>
      <c r="AP1029" s="1802"/>
      <c r="AQ1029" s="1803"/>
      <c r="AR1029" s="68"/>
      <c r="AS1029" s="68"/>
      <c r="AT1029" s="68"/>
      <c r="AU1029" s="68"/>
      <c r="AV1029" s="68"/>
      <c r="AW1029" s="68"/>
      <c r="AX1029" s="68"/>
      <c r="AY1029" s="68"/>
    </row>
    <row r="1030" spans="1:51" ht="12.95" customHeight="1">
      <c r="A1030" s="14"/>
      <c r="B1030" s="77"/>
      <c r="C1030" s="74"/>
      <c r="D1030" s="1686"/>
      <c r="E1030" s="1687"/>
      <c r="F1030" s="1687"/>
      <c r="G1030" s="1687"/>
      <c r="H1030" s="1687"/>
      <c r="I1030" s="1687"/>
      <c r="J1030" s="1687"/>
      <c r="K1030" s="1687"/>
      <c r="L1030" s="1687"/>
      <c r="M1030" s="1687"/>
      <c r="N1030" s="1687"/>
      <c r="O1030" s="1687"/>
      <c r="P1030" s="1687"/>
      <c r="Q1030" s="1687"/>
      <c r="R1030" s="1687"/>
      <c r="S1030" s="1687"/>
      <c r="T1030" s="1687"/>
      <c r="U1030" s="1687"/>
      <c r="V1030" s="1687"/>
      <c r="W1030" s="1687"/>
      <c r="X1030" s="1687"/>
      <c r="Y1030" s="1687"/>
      <c r="Z1030" s="1687"/>
      <c r="AA1030" s="1687"/>
      <c r="AB1030" s="1687"/>
      <c r="AC1030" s="1687"/>
      <c r="AD1030" s="1687"/>
      <c r="AE1030" s="1688"/>
      <c r="AF1030" s="73"/>
      <c r="AG1030" s="14"/>
      <c r="AH1030" s="14"/>
      <c r="AI1030" s="83"/>
      <c r="AJ1030" s="1804"/>
      <c r="AK1030" s="1805"/>
      <c r="AL1030" s="1805"/>
      <c r="AM1030" s="1805"/>
      <c r="AN1030" s="1805"/>
      <c r="AO1030" s="1805"/>
      <c r="AP1030" s="1805"/>
      <c r="AQ1030" s="1806"/>
      <c r="AR1030" s="68"/>
      <c r="AS1030" s="68"/>
      <c r="AT1030" s="68"/>
      <c r="AU1030" s="68"/>
      <c r="AV1030" s="68"/>
      <c r="AW1030" s="68"/>
      <c r="AX1030" s="68"/>
      <c r="AY1030" s="68"/>
    </row>
    <row r="1031" spans="1:51" ht="12.95" customHeight="1">
      <c r="A1031" s="14"/>
      <c r="B1031" s="73"/>
      <c r="C1031" s="367" t="s">
        <v>695</v>
      </c>
      <c r="D1031" s="1780" t="s">
        <v>1874</v>
      </c>
      <c r="E1031" s="1781"/>
      <c r="F1031" s="1781"/>
      <c r="G1031" s="1781"/>
      <c r="H1031" s="1781"/>
      <c r="I1031" s="1781"/>
      <c r="J1031" s="1781"/>
      <c r="K1031" s="1781"/>
      <c r="L1031" s="1781"/>
      <c r="M1031" s="1781"/>
      <c r="N1031" s="1781"/>
      <c r="O1031" s="1781"/>
      <c r="P1031" s="1781"/>
      <c r="Q1031" s="1781"/>
      <c r="R1031" s="1781"/>
      <c r="S1031" s="1781"/>
      <c r="T1031" s="1781"/>
      <c r="U1031" s="1781"/>
      <c r="V1031" s="1781"/>
      <c r="W1031" s="1781"/>
      <c r="X1031" s="1781"/>
      <c r="Y1031" s="1781"/>
      <c r="Z1031" s="1781"/>
      <c r="AA1031" s="1781"/>
      <c r="AB1031" s="1781"/>
      <c r="AC1031" s="1781"/>
      <c r="AD1031" s="1781"/>
      <c r="AE1031" s="1782"/>
      <c r="AF1031" s="79"/>
      <c r="AG1031" s="1662" t="s">
        <v>552</v>
      </c>
      <c r="AH1031" s="1663"/>
      <c r="AI1031" s="87"/>
      <c r="AJ1031" s="1798">
        <f>ROUND(IF(AG1031="yes",(AJ991*0.15),0),0)</f>
        <v>12798991</v>
      </c>
      <c r="AK1031" s="1799"/>
      <c r="AL1031" s="1799"/>
      <c r="AM1031" s="1799"/>
      <c r="AN1031" s="1799"/>
      <c r="AO1031" s="1799"/>
      <c r="AP1031" s="1799"/>
      <c r="AQ1031" s="1800"/>
      <c r="AR1031" s="68"/>
      <c r="AS1031" s="68"/>
      <c r="AT1031" s="68"/>
      <c r="AU1031" s="68"/>
      <c r="AV1031" s="68"/>
      <c r="AW1031" s="68"/>
      <c r="AX1031" s="68"/>
      <c r="AY1031" s="68"/>
    </row>
    <row r="1032" spans="1:51" ht="12.95" customHeight="1">
      <c r="A1032" s="14"/>
      <c r="B1032" s="73"/>
      <c r="C1032" s="74"/>
      <c r="D1032" s="1667"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8"/>
      <c r="AF1032" s="950"/>
      <c r="AG1032" s="951"/>
      <c r="AH1032" s="951"/>
      <c r="AI1032" s="952"/>
      <c r="AJ1032" s="1801"/>
      <c r="AK1032" s="1802"/>
      <c r="AL1032" s="1802"/>
      <c r="AM1032" s="1802"/>
      <c r="AN1032" s="1802"/>
      <c r="AO1032" s="1802"/>
      <c r="AP1032" s="1802"/>
      <c r="AQ1032" s="1803"/>
      <c r="AR1032" s="68"/>
      <c r="AS1032" s="68"/>
      <c r="AT1032" s="68"/>
      <c r="AU1032" s="68"/>
      <c r="AV1032" s="68"/>
      <c r="AW1032" s="68"/>
      <c r="AX1032" s="68"/>
      <c r="AY1032" s="68"/>
    </row>
    <row r="1033" spans="1:51" ht="12.95" customHeight="1">
      <c r="A1033" s="14"/>
      <c r="B1033" s="73"/>
      <c r="C1033" s="74"/>
      <c r="D1033" s="16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8"/>
      <c r="AF1033" s="950"/>
      <c r="AG1033" s="951"/>
      <c r="AH1033" s="951"/>
      <c r="AI1033" s="952"/>
      <c r="AJ1033" s="1801"/>
      <c r="AK1033" s="1802"/>
      <c r="AL1033" s="1802"/>
      <c r="AM1033" s="1802"/>
      <c r="AN1033" s="1802"/>
      <c r="AO1033" s="1802"/>
      <c r="AP1033" s="1802"/>
      <c r="AQ1033" s="1803"/>
      <c r="AR1033" s="68"/>
      <c r="AS1033" s="68"/>
      <c r="AT1033" s="68"/>
      <c r="AU1033" s="68"/>
      <c r="AV1033" s="68"/>
      <c r="AW1033" s="68"/>
      <c r="AX1033" s="68"/>
      <c r="AY1033" s="68"/>
    </row>
    <row r="1034" spans="1:51" ht="12.95" customHeight="1">
      <c r="A1034" s="14"/>
      <c r="B1034" s="73"/>
      <c r="C1034" s="74"/>
      <c r="D1034" s="1669"/>
      <c r="E1034" s="1670"/>
      <c r="F1034" s="1670"/>
      <c r="G1034" s="1670"/>
      <c r="H1034" s="1670"/>
      <c r="I1034" s="1670"/>
      <c r="J1034" s="1670"/>
      <c r="K1034" s="1670"/>
      <c r="L1034" s="1670"/>
      <c r="M1034" s="1670"/>
      <c r="N1034" s="1670"/>
      <c r="O1034" s="1670"/>
      <c r="P1034" s="1670"/>
      <c r="Q1034" s="1670"/>
      <c r="R1034" s="1670"/>
      <c r="S1034" s="1670"/>
      <c r="T1034" s="1670"/>
      <c r="U1034" s="1670"/>
      <c r="V1034" s="1670"/>
      <c r="W1034" s="1670"/>
      <c r="X1034" s="1670"/>
      <c r="Y1034" s="1670"/>
      <c r="Z1034" s="1670"/>
      <c r="AA1034" s="1670"/>
      <c r="AB1034" s="1670"/>
      <c r="AC1034" s="1670"/>
      <c r="AD1034" s="1670"/>
      <c r="AE1034" s="1671"/>
      <c r="AF1034" s="953"/>
      <c r="AG1034" s="954"/>
      <c r="AH1034" s="954"/>
      <c r="AI1034" s="955"/>
      <c r="AJ1034" s="1804"/>
      <c r="AK1034" s="1805"/>
      <c r="AL1034" s="1805"/>
      <c r="AM1034" s="1805"/>
      <c r="AN1034" s="1805"/>
      <c r="AO1034" s="1805"/>
      <c r="AP1034" s="1805"/>
      <c r="AQ1034" s="1806"/>
      <c r="AR1034" s="68"/>
      <c r="AS1034" s="68"/>
      <c r="AT1034" s="68"/>
      <c r="AU1034" s="68"/>
      <c r="AV1034" s="68"/>
      <c r="AW1034" s="68"/>
      <c r="AX1034" s="68"/>
      <c r="AY1034" s="68"/>
    </row>
    <row r="1035" spans="1:51" ht="12.95" customHeight="1">
      <c r="A1035" s="14"/>
      <c r="B1035" s="73"/>
      <c r="C1035" s="367" t="s">
        <v>695</v>
      </c>
      <c r="D1035" s="1777" t="s">
        <v>1876</v>
      </c>
      <c r="E1035" s="1778"/>
      <c r="F1035" s="1778"/>
      <c r="G1035" s="1778"/>
      <c r="H1035" s="1778"/>
      <c r="I1035" s="1778"/>
      <c r="J1035" s="1778"/>
      <c r="K1035" s="1778"/>
      <c r="L1035" s="1778"/>
      <c r="M1035" s="1778"/>
      <c r="N1035" s="1778"/>
      <c r="O1035" s="1778"/>
      <c r="P1035" s="1778"/>
      <c r="Q1035" s="1778"/>
      <c r="R1035" s="1778"/>
      <c r="S1035" s="1778"/>
      <c r="T1035" s="1778"/>
      <c r="U1035" s="1778"/>
      <c r="V1035" s="1778"/>
      <c r="W1035" s="1778"/>
      <c r="X1035" s="1778"/>
      <c r="Y1035" s="1778"/>
      <c r="Z1035" s="1778"/>
      <c r="AA1035" s="1778"/>
      <c r="AB1035" s="1778"/>
      <c r="AC1035" s="1778"/>
      <c r="AD1035" s="1778"/>
      <c r="AE1035" s="1779"/>
      <c r="AF1035" s="73"/>
      <c r="AG1035" s="1681" t="s">
        <v>676</v>
      </c>
      <c r="AH1035" s="1682"/>
      <c r="AI1035" s="83"/>
      <c r="AJ1035" s="1798">
        <f>ROUND(IF(AND(AG1035="yes",AJ1031=0),(AJ991*0.1),0),0)</f>
        <v>0</v>
      </c>
      <c r="AK1035" s="1799"/>
      <c r="AL1035" s="1799"/>
      <c r="AM1035" s="1799"/>
      <c r="AN1035" s="1799"/>
      <c r="AO1035" s="1799"/>
      <c r="AP1035" s="1799"/>
      <c r="AQ1035" s="1800"/>
      <c r="AR1035" s="68"/>
      <c r="AS1035" s="68"/>
      <c r="AT1035" s="68"/>
      <c r="AU1035" s="68"/>
      <c r="AV1035" s="68"/>
      <c r="AW1035" s="68"/>
      <c r="AX1035" s="68"/>
      <c r="AY1035" s="68"/>
    </row>
    <row r="1036" spans="1:51" ht="12.95" customHeight="1">
      <c r="A1036" s="14"/>
      <c r="B1036" s="73"/>
      <c r="C1036" s="74"/>
      <c r="D1036" s="1667"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8"/>
      <c r="AF1036" s="73"/>
      <c r="AG1036" s="14"/>
      <c r="AH1036" s="14"/>
      <c r="AI1036" s="83"/>
      <c r="AJ1036" s="1801"/>
      <c r="AK1036" s="1802"/>
      <c r="AL1036" s="1802"/>
      <c r="AM1036" s="1802"/>
      <c r="AN1036" s="1802"/>
      <c r="AO1036" s="1802"/>
      <c r="AP1036" s="1802"/>
      <c r="AQ1036" s="1803"/>
      <c r="AR1036" s="68"/>
      <c r="AS1036" s="68"/>
      <c r="AT1036" s="68"/>
      <c r="AU1036" s="68"/>
      <c r="AV1036" s="68"/>
      <c r="AW1036" s="68"/>
      <c r="AX1036" s="68"/>
      <c r="AY1036" s="68"/>
    </row>
    <row r="1037" spans="1:51" ht="12.95" customHeight="1">
      <c r="A1037" s="14"/>
      <c r="B1037" s="73"/>
      <c r="C1037" s="74"/>
      <c r="D1037" s="16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8"/>
      <c r="AF1037" s="73"/>
      <c r="AG1037" s="14"/>
      <c r="AH1037" s="14"/>
      <c r="AI1037" s="83"/>
      <c r="AJ1037" s="1801"/>
      <c r="AK1037" s="1802"/>
      <c r="AL1037" s="1802"/>
      <c r="AM1037" s="1802"/>
      <c r="AN1037" s="1802"/>
      <c r="AO1037" s="1802"/>
      <c r="AP1037" s="1802"/>
      <c r="AQ1037" s="1803"/>
      <c r="AR1037" s="68"/>
      <c r="AS1037" s="68"/>
      <c r="AT1037" s="68"/>
      <c r="AU1037" s="68"/>
      <c r="AV1037" s="68"/>
      <c r="AW1037" s="68"/>
      <c r="AX1037" s="68"/>
      <c r="AY1037" s="68"/>
    </row>
    <row r="1038" spans="1:51" ht="12.95" customHeight="1">
      <c r="A1038" s="14"/>
      <c r="B1038" s="73"/>
      <c r="C1038" s="74"/>
      <c r="D1038" s="16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8"/>
      <c r="AF1038" s="73"/>
      <c r="AG1038" s="14"/>
      <c r="AH1038" s="14"/>
      <c r="AI1038" s="83"/>
      <c r="AJ1038" s="1801"/>
      <c r="AK1038" s="1802"/>
      <c r="AL1038" s="1802"/>
      <c r="AM1038" s="1802"/>
      <c r="AN1038" s="1802"/>
      <c r="AO1038" s="1802"/>
      <c r="AP1038" s="1802"/>
      <c r="AQ1038" s="1803"/>
      <c r="AR1038" s="68"/>
      <c r="AS1038" s="68"/>
      <c r="AT1038" s="68"/>
      <c r="AU1038" s="68"/>
      <c r="AV1038" s="68"/>
      <c r="AW1038" s="68"/>
      <c r="AX1038" s="68"/>
      <c r="AY1038" s="68"/>
    </row>
    <row r="1039" spans="1:51" ht="12.95" customHeight="1">
      <c r="A1039" s="14"/>
      <c r="B1039" s="73"/>
      <c r="C1039" s="74"/>
      <c r="D1039" s="1669"/>
      <c r="E1039" s="1670"/>
      <c r="F1039" s="1670"/>
      <c r="G1039" s="1670"/>
      <c r="H1039" s="1670"/>
      <c r="I1039" s="1670"/>
      <c r="J1039" s="1670"/>
      <c r="K1039" s="1670"/>
      <c r="L1039" s="1670"/>
      <c r="M1039" s="1670"/>
      <c r="N1039" s="1670"/>
      <c r="O1039" s="1670"/>
      <c r="P1039" s="1670"/>
      <c r="Q1039" s="1670"/>
      <c r="R1039" s="1670"/>
      <c r="S1039" s="1670"/>
      <c r="T1039" s="1670"/>
      <c r="U1039" s="1670"/>
      <c r="V1039" s="1670"/>
      <c r="W1039" s="1670"/>
      <c r="X1039" s="1670"/>
      <c r="Y1039" s="1670"/>
      <c r="Z1039" s="1670"/>
      <c r="AA1039" s="1670"/>
      <c r="AB1039" s="1670"/>
      <c r="AC1039" s="1670"/>
      <c r="AD1039" s="1670"/>
      <c r="AE1039" s="1671"/>
      <c r="AF1039" s="73"/>
      <c r="AG1039" s="14"/>
      <c r="AH1039" s="14"/>
      <c r="AI1039" s="83"/>
      <c r="AJ1039" s="1801"/>
      <c r="AK1039" s="1802"/>
      <c r="AL1039" s="1802"/>
      <c r="AM1039" s="1802"/>
      <c r="AN1039" s="1802"/>
      <c r="AO1039" s="1802"/>
      <c r="AP1039" s="1802"/>
      <c r="AQ1039" s="1803"/>
      <c r="AR1039" s="68"/>
      <c r="AS1039" s="68"/>
      <c r="AT1039" s="68"/>
      <c r="AU1039" s="68"/>
      <c r="AV1039" s="68"/>
      <c r="AW1039" s="68"/>
      <c r="AX1039" s="68"/>
      <c r="AY1039" s="68"/>
    </row>
    <row r="1040" spans="1:51" ht="12.95" customHeight="1">
      <c r="A1040" s="14"/>
      <c r="B1040" s="79"/>
      <c r="C1040" s="131" t="s">
        <v>1032</v>
      </c>
      <c r="D1040" s="1780" t="s">
        <v>1406</v>
      </c>
      <c r="E1040" s="1781"/>
      <c r="F1040" s="1781"/>
      <c r="G1040" s="1781"/>
      <c r="H1040" s="1781"/>
      <c r="I1040" s="1781"/>
      <c r="J1040" s="1781"/>
      <c r="K1040" s="1781"/>
      <c r="L1040" s="1781"/>
      <c r="M1040" s="1781"/>
      <c r="N1040" s="1781"/>
      <c r="O1040" s="1781"/>
      <c r="P1040" s="1781"/>
      <c r="Q1040" s="1781"/>
      <c r="R1040" s="1781"/>
      <c r="S1040" s="1781"/>
      <c r="T1040" s="1781"/>
      <c r="U1040" s="1781"/>
      <c r="V1040" s="1781"/>
      <c r="W1040" s="1781"/>
      <c r="X1040" s="1781"/>
      <c r="Y1040" s="1781"/>
      <c r="Z1040" s="1781"/>
      <c r="AA1040" s="1781"/>
      <c r="AB1040" s="1781"/>
      <c r="AC1040" s="1781"/>
      <c r="AD1040" s="1781"/>
      <c r="AE1040" s="1782"/>
      <c r="AF1040" s="79"/>
      <c r="AG1040" s="1662" t="s">
        <v>676</v>
      </c>
      <c r="AH1040" s="1663"/>
      <c r="AI1040" s="87"/>
      <c r="AJ1040" s="1798">
        <f>ROUND(IF(AG1040="yes",(AJ991*0.1),0),0)</f>
        <v>0</v>
      </c>
      <c r="AK1040" s="1799"/>
      <c r="AL1040" s="1799"/>
      <c r="AM1040" s="1799"/>
      <c r="AN1040" s="1799"/>
      <c r="AO1040" s="1799"/>
      <c r="AP1040" s="1799"/>
      <c r="AQ1040" s="1800"/>
      <c r="AR1040" s="68"/>
      <c r="AS1040" s="68"/>
      <c r="AT1040" s="68"/>
      <c r="AU1040" s="68"/>
      <c r="AV1040" s="68"/>
      <c r="AW1040" s="68"/>
      <c r="AX1040" s="68"/>
      <c r="AY1040" s="68"/>
    </row>
    <row r="1041" spans="1:51" ht="12.95" customHeight="1">
      <c r="A1041" s="14"/>
      <c r="B1041" s="73"/>
      <c r="C1041" s="74"/>
      <c r="D1041" s="1683" t="s">
        <v>2502</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73"/>
      <c r="AG1041" s="14"/>
      <c r="AH1041" s="14"/>
      <c r="AI1041" s="83"/>
      <c r="AJ1041" s="1801"/>
      <c r="AK1041" s="1802"/>
      <c r="AL1041" s="1802"/>
      <c r="AM1041" s="1802"/>
      <c r="AN1041" s="1802"/>
      <c r="AO1041" s="1802"/>
      <c r="AP1041" s="1802"/>
      <c r="AQ1041" s="1803"/>
      <c r="AR1041" s="68"/>
      <c r="AS1041" s="68"/>
      <c r="AT1041" s="68"/>
      <c r="AU1041" s="68"/>
      <c r="AV1041" s="68"/>
      <c r="AW1041" s="68"/>
      <c r="AX1041" s="68"/>
      <c r="AY1041" s="68"/>
    </row>
    <row r="1042" spans="1:51" ht="12.95" customHeight="1">
      <c r="A1042" s="14"/>
      <c r="B1042" s="73"/>
      <c r="C1042" s="74"/>
      <c r="D1042" s="1683"/>
      <c r="E1042" s="1684"/>
      <c r="F1042" s="1684"/>
      <c r="G1042" s="1684"/>
      <c r="H1042" s="1684"/>
      <c r="I1042" s="1684"/>
      <c r="J1042" s="1684"/>
      <c r="K1042" s="1684"/>
      <c r="L1042" s="1684"/>
      <c r="M1042" s="1684"/>
      <c r="N1042" s="1684"/>
      <c r="O1042" s="1684"/>
      <c r="P1042" s="1684"/>
      <c r="Q1042" s="1684"/>
      <c r="R1042" s="1684"/>
      <c r="S1042" s="1684"/>
      <c r="T1042" s="1684"/>
      <c r="U1042" s="1684"/>
      <c r="V1042" s="1684"/>
      <c r="W1042" s="1684"/>
      <c r="X1042" s="1684"/>
      <c r="Y1042" s="1684"/>
      <c r="Z1042" s="1684"/>
      <c r="AA1042" s="1684"/>
      <c r="AB1042" s="1684"/>
      <c r="AC1042" s="1684"/>
      <c r="AD1042" s="1684"/>
      <c r="AE1042" s="1685"/>
      <c r="AF1042" s="73"/>
      <c r="AG1042" s="14"/>
      <c r="AH1042" s="14"/>
      <c r="AI1042" s="83"/>
      <c r="AJ1042" s="1801"/>
      <c r="AK1042" s="1802"/>
      <c r="AL1042" s="1802"/>
      <c r="AM1042" s="1802"/>
      <c r="AN1042" s="1802"/>
      <c r="AO1042" s="1802"/>
      <c r="AP1042" s="1802"/>
      <c r="AQ1042" s="1803"/>
      <c r="AR1042" s="68"/>
      <c r="AS1042" s="68"/>
      <c r="AT1042" s="68"/>
      <c r="AU1042" s="68"/>
      <c r="AV1042" s="68"/>
      <c r="AW1042" s="68"/>
      <c r="AX1042" s="68"/>
      <c r="AY1042" s="68"/>
    </row>
    <row r="1043" spans="1:51" ht="12.95" customHeight="1">
      <c r="A1043" s="14"/>
      <c r="B1043" s="73"/>
      <c r="C1043" s="74"/>
      <c r="D1043" s="1686"/>
      <c r="E1043" s="1687"/>
      <c r="F1043" s="1687"/>
      <c r="G1043" s="1687"/>
      <c r="H1043" s="1687"/>
      <c r="I1043" s="1687"/>
      <c r="J1043" s="1687"/>
      <c r="K1043" s="1687"/>
      <c r="L1043" s="1687"/>
      <c r="M1043" s="1687"/>
      <c r="N1043" s="1687"/>
      <c r="O1043" s="1687"/>
      <c r="P1043" s="1687"/>
      <c r="Q1043" s="1687"/>
      <c r="R1043" s="1687"/>
      <c r="S1043" s="1687"/>
      <c r="T1043" s="1687"/>
      <c r="U1043" s="1687"/>
      <c r="V1043" s="1687"/>
      <c r="W1043" s="1687"/>
      <c r="X1043" s="1687"/>
      <c r="Y1043" s="1687"/>
      <c r="Z1043" s="1687"/>
      <c r="AA1043" s="1687"/>
      <c r="AB1043" s="1687"/>
      <c r="AC1043" s="1687"/>
      <c r="AD1043" s="1687"/>
      <c r="AE1043" s="1688"/>
      <c r="AF1043" s="73"/>
      <c r="AG1043" s="14"/>
      <c r="AH1043" s="14"/>
      <c r="AI1043" s="83"/>
      <c r="AJ1043" s="1804"/>
      <c r="AK1043" s="1805"/>
      <c r="AL1043" s="1805"/>
      <c r="AM1043" s="1805"/>
      <c r="AN1043" s="1805"/>
      <c r="AO1043" s="1805"/>
      <c r="AP1043" s="1805"/>
      <c r="AQ1043" s="1806"/>
      <c r="AR1043" s="68"/>
      <c r="AS1043" s="68"/>
      <c r="AT1043" s="68"/>
      <c r="AU1043" s="68"/>
      <c r="AV1043" s="68"/>
      <c r="AW1043" s="68"/>
      <c r="AX1043" s="68"/>
      <c r="AY1043" s="68"/>
    </row>
    <row r="1044" spans="1:51" ht="12.95" customHeight="1">
      <c r="A1044" s="14"/>
      <c r="B1044" s="79"/>
      <c r="C1044" s="131" t="s">
        <v>1872</v>
      </c>
      <c r="D1044" s="1777" t="s">
        <v>2054</v>
      </c>
      <c r="E1044" s="1778"/>
      <c r="F1044" s="1778"/>
      <c r="G1044" s="1778"/>
      <c r="H1044" s="1778"/>
      <c r="I1044" s="1778"/>
      <c r="J1044" s="1778"/>
      <c r="K1044" s="1778"/>
      <c r="L1044" s="1778"/>
      <c r="M1044" s="1778"/>
      <c r="N1044" s="1778"/>
      <c r="O1044" s="1778"/>
      <c r="P1044" s="1778"/>
      <c r="Q1044" s="1778"/>
      <c r="R1044" s="1778"/>
      <c r="S1044" s="1778"/>
      <c r="T1044" s="1778"/>
      <c r="U1044" s="1778"/>
      <c r="V1044" s="1778"/>
      <c r="W1044" s="1778"/>
      <c r="X1044" s="1778"/>
      <c r="Y1044" s="1778"/>
      <c r="Z1044" s="1778"/>
      <c r="AA1044" s="1778"/>
      <c r="AB1044" s="1778"/>
      <c r="AC1044" s="1778"/>
      <c r="AD1044" s="1778"/>
      <c r="AE1044" s="1779"/>
      <c r="AF1044" s="79"/>
      <c r="AG1044" s="1796" t="str">
        <f>IF(X1047&gt;0,"Yes","No")</f>
        <v>Yes</v>
      </c>
      <c r="AH1044" s="1797"/>
      <c r="AI1044" s="87"/>
      <c r="AJ1044" s="1798">
        <f>IF((X1047=0),0,AY1004*AJ991)</f>
        <v>49489430.32</v>
      </c>
      <c r="AK1044" s="1799"/>
      <c r="AL1044" s="1799"/>
      <c r="AM1044" s="1799"/>
      <c r="AN1044" s="1799"/>
      <c r="AO1044" s="1799"/>
      <c r="AP1044" s="1799"/>
      <c r="AQ1044" s="1800"/>
      <c r="AR1044" s="68"/>
      <c r="AS1044" s="68"/>
      <c r="AT1044" s="68"/>
      <c r="AU1044" s="68"/>
      <c r="AV1044" s="68"/>
      <c r="AW1044" s="68"/>
      <c r="AX1044" s="68"/>
      <c r="AY1044" s="68"/>
    </row>
    <row r="1045" spans="1:51" ht="12.95" customHeight="1">
      <c r="A1045" s="14"/>
      <c r="B1045" s="73"/>
      <c r="C1045" s="476"/>
      <c r="D1045" s="1683" t="s">
        <v>1408</v>
      </c>
      <c r="E1045" s="1684"/>
      <c r="F1045" s="1684"/>
      <c r="G1045" s="1684"/>
      <c r="H1045" s="1684"/>
      <c r="I1045" s="1684"/>
      <c r="J1045" s="1684"/>
      <c r="K1045" s="1684"/>
      <c r="L1045" s="1684"/>
      <c r="M1045" s="1684"/>
      <c r="N1045" s="1684"/>
      <c r="O1045" s="1684"/>
      <c r="P1045" s="1684"/>
      <c r="Q1045" s="1684"/>
      <c r="R1045" s="1684"/>
      <c r="S1045" s="1684"/>
      <c r="T1045" s="1684"/>
      <c r="U1045" s="1684"/>
      <c r="V1045" s="1684"/>
      <c r="W1045" s="1684"/>
      <c r="X1045" s="1684"/>
      <c r="Y1045" s="1684"/>
      <c r="Z1045" s="1684"/>
      <c r="AA1045" s="1684"/>
      <c r="AB1045" s="1684"/>
      <c r="AC1045" s="1684"/>
      <c r="AD1045" s="1684"/>
      <c r="AE1045" s="1685"/>
      <c r="AF1045" s="73"/>
      <c r="AG1045" s="477"/>
      <c r="AH1045" s="477"/>
      <c r="AI1045" s="83"/>
      <c r="AJ1045" s="1801"/>
      <c r="AK1045" s="1802"/>
      <c r="AL1045" s="1802"/>
      <c r="AM1045" s="1802"/>
      <c r="AN1045" s="1802"/>
      <c r="AO1045" s="1802"/>
      <c r="AP1045" s="1802"/>
      <c r="AQ1045" s="1803"/>
      <c r="AR1045" s="68"/>
      <c r="AS1045" s="68"/>
      <c r="AT1045" s="68"/>
      <c r="AU1045" s="13"/>
      <c r="AV1045" s="68"/>
      <c r="AW1045" s="68"/>
      <c r="AX1045" s="68"/>
      <c r="AY1045" s="68"/>
    </row>
    <row r="1046" spans="1:51" ht="12.95" customHeight="1">
      <c r="A1046" s="14"/>
      <c r="B1046" s="73"/>
      <c r="C1046" s="476"/>
      <c r="D1046" s="1683"/>
      <c r="E1046" s="1684"/>
      <c r="F1046" s="1684"/>
      <c r="G1046" s="1684"/>
      <c r="H1046" s="1684"/>
      <c r="I1046" s="1684"/>
      <c r="J1046" s="1684"/>
      <c r="K1046" s="1684"/>
      <c r="L1046" s="1684"/>
      <c r="M1046" s="1684"/>
      <c r="N1046" s="1684"/>
      <c r="O1046" s="1684"/>
      <c r="P1046" s="1684"/>
      <c r="Q1046" s="1684"/>
      <c r="R1046" s="1684"/>
      <c r="S1046" s="1684"/>
      <c r="T1046" s="1684"/>
      <c r="U1046" s="1684"/>
      <c r="V1046" s="1684"/>
      <c r="W1046" s="1684"/>
      <c r="X1046" s="1684"/>
      <c r="Y1046" s="1684"/>
      <c r="Z1046" s="1684"/>
      <c r="AA1046" s="1684"/>
      <c r="AB1046" s="1684"/>
      <c r="AC1046" s="1684"/>
      <c r="AD1046" s="1684"/>
      <c r="AE1046" s="1685"/>
      <c r="AF1046" s="73"/>
      <c r="AG1046" s="477"/>
      <c r="AH1046" s="477"/>
      <c r="AI1046" s="83"/>
      <c r="AJ1046" s="1801"/>
      <c r="AK1046" s="1802"/>
      <c r="AL1046" s="1802"/>
      <c r="AM1046" s="1802"/>
      <c r="AN1046" s="1802"/>
      <c r="AO1046" s="1802"/>
      <c r="AP1046" s="1802"/>
      <c r="AQ1046" s="1803"/>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794">
        <f>AY1002</f>
        <v>91</v>
      </c>
      <c r="J1047" s="1795"/>
      <c r="K1047" s="7"/>
      <c r="L1047" s="133"/>
      <c r="M1047" s="133"/>
      <c r="N1047" s="133"/>
      <c r="O1047" s="133"/>
      <c r="P1047" s="133"/>
      <c r="Q1047" s="133"/>
      <c r="R1047" s="133"/>
      <c r="S1047" s="133"/>
      <c r="T1047" s="133"/>
      <c r="U1047" s="133"/>
      <c r="V1047" s="134" t="s">
        <v>990</v>
      </c>
      <c r="W1047" s="48"/>
      <c r="X1047" s="1792">
        <f>BG632</f>
        <v>53</v>
      </c>
      <c r="Y1047" s="1793"/>
      <c r="Z1047" s="48"/>
      <c r="AA1047" s="48"/>
      <c r="AB1047" s="48"/>
      <c r="AC1047" s="48"/>
      <c r="AD1047" s="48"/>
      <c r="AE1047" s="49"/>
      <c r="AF1047" s="959"/>
      <c r="AG1047" s="960"/>
      <c r="AH1047" s="960"/>
      <c r="AI1047" s="961"/>
      <c r="AJ1047" s="1804"/>
      <c r="AK1047" s="1805"/>
      <c r="AL1047" s="1805"/>
      <c r="AM1047" s="1805"/>
      <c r="AN1047" s="1805"/>
      <c r="AO1047" s="1805"/>
      <c r="AP1047" s="1805"/>
      <c r="AQ1047" s="1806"/>
      <c r="AR1047" s="68"/>
      <c r="AS1047" s="68"/>
      <c r="AT1047" s="68"/>
      <c r="AU1047" s="14"/>
      <c r="AV1047" s="68"/>
      <c r="AW1047" s="68"/>
      <c r="AX1047" s="68"/>
      <c r="AY1047" s="68"/>
    </row>
    <row r="1048" spans="1:51" ht="12.95" customHeight="1">
      <c r="A1048" s="14"/>
      <c r="B1048" s="79"/>
      <c r="C1048" s="131" t="s">
        <v>1873</v>
      </c>
      <c r="D1048" s="1780" t="s">
        <v>2533</v>
      </c>
      <c r="E1048" s="1781"/>
      <c r="F1048" s="1781"/>
      <c r="G1048" s="1781"/>
      <c r="H1048" s="1781"/>
      <c r="I1048" s="1781"/>
      <c r="J1048" s="1781"/>
      <c r="K1048" s="1781"/>
      <c r="L1048" s="1781"/>
      <c r="M1048" s="1781"/>
      <c r="N1048" s="1781"/>
      <c r="O1048" s="1781"/>
      <c r="P1048" s="1781"/>
      <c r="Q1048" s="1781"/>
      <c r="R1048" s="1781"/>
      <c r="S1048" s="1781"/>
      <c r="T1048" s="1781"/>
      <c r="U1048" s="1781"/>
      <c r="V1048" s="1781"/>
      <c r="W1048" s="1781"/>
      <c r="X1048" s="1781"/>
      <c r="Y1048" s="1781"/>
      <c r="Z1048" s="1781"/>
      <c r="AA1048" s="1781"/>
      <c r="AB1048" s="1781"/>
      <c r="AC1048" s="1781"/>
      <c r="AD1048" s="1781"/>
      <c r="AE1048" s="1782"/>
      <c r="AF1048" s="73"/>
      <c r="AG1048" s="1796" t="str">
        <f>IF(X1051&gt;0,"Yes","No")</f>
        <v>Yes</v>
      </c>
      <c r="AH1048" s="1797"/>
      <c r="AI1048" s="83"/>
      <c r="AJ1048" s="1798">
        <f>IF((X1051=0),0,(2*AY1005)*AJ991)</f>
        <v>46076366.160000004</v>
      </c>
      <c r="AK1048" s="1799"/>
      <c r="AL1048" s="1799"/>
      <c r="AM1048" s="1799"/>
      <c r="AN1048" s="1799"/>
      <c r="AO1048" s="1799"/>
      <c r="AP1048" s="1799"/>
      <c r="AQ1048" s="1800"/>
      <c r="AR1048" s="68"/>
      <c r="AS1048" s="68"/>
      <c r="AT1048" s="68"/>
      <c r="AU1048" s="14"/>
      <c r="AV1048" s="68"/>
      <c r="AW1048" s="68"/>
      <c r="AX1048" s="68"/>
      <c r="AY1048" s="68"/>
    </row>
    <row r="1049" spans="1:51" ht="12.95" customHeight="1">
      <c r="A1049" s="14"/>
      <c r="B1049" s="73"/>
      <c r="C1049" s="476"/>
      <c r="D1049" s="1683" t="s">
        <v>1407</v>
      </c>
      <c r="E1049" s="1684"/>
      <c r="F1049" s="1684"/>
      <c r="G1049" s="1684"/>
      <c r="H1049" s="1684"/>
      <c r="I1049" s="1684"/>
      <c r="J1049" s="1684"/>
      <c r="K1049" s="1684"/>
      <c r="L1049" s="1684"/>
      <c r="M1049" s="1684"/>
      <c r="N1049" s="1684"/>
      <c r="O1049" s="1684"/>
      <c r="P1049" s="1684"/>
      <c r="Q1049" s="1684"/>
      <c r="R1049" s="1684"/>
      <c r="S1049" s="1684"/>
      <c r="T1049" s="1684"/>
      <c r="U1049" s="1684"/>
      <c r="V1049" s="1684"/>
      <c r="W1049" s="1684"/>
      <c r="X1049" s="1684"/>
      <c r="Y1049" s="1684"/>
      <c r="Z1049" s="1684"/>
      <c r="AA1049" s="1684"/>
      <c r="AB1049" s="1684"/>
      <c r="AC1049" s="1684"/>
      <c r="AD1049" s="1684"/>
      <c r="AE1049" s="1685"/>
      <c r="AF1049" s="73"/>
      <c r="AG1049" s="477"/>
      <c r="AH1049" s="477"/>
      <c r="AI1049" s="83"/>
      <c r="AJ1049" s="1801"/>
      <c r="AK1049" s="1802"/>
      <c r="AL1049" s="1802"/>
      <c r="AM1049" s="1802"/>
      <c r="AN1049" s="1802"/>
      <c r="AO1049" s="1802"/>
      <c r="AP1049" s="1802"/>
      <c r="AQ1049" s="1803"/>
      <c r="AR1049" s="68"/>
      <c r="AS1049" s="68"/>
      <c r="AT1049" s="68"/>
      <c r="AU1049" s="68"/>
      <c r="AV1049" s="68"/>
      <c r="AW1049" s="68"/>
      <c r="AX1049" s="68"/>
      <c r="AY1049" s="68"/>
    </row>
    <row r="1050" spans="1:51" ht="12.95" customHeight="1">
      <c r="A1050" s="14"/>
      <c r="B1050" s="73"/>
      <c r="C1050" s="83"/>
      <c r="D1050" s="1683"/>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956"/>
      <c r="AG1050" s="957"/>
      <c r="AH1050" s="957"/>
      <c r="AI1050" s="958"/>
      <c r="AJ1050" s="1801"/>
      <c r="AK1050" s="1802"/>
      <c r="AL1050" s="1802"/>
      <c r="AM1050" s="1802"/>
      <c r="AN1050" s="1802"/>
      <c r="AO1050" s="1802"/>
      <c r="AP1050" s="1802"/>
      <c r="AQ1050" s="1803"/>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794">
        <f>AY1002</f>
        <v>91</v>
      </c>
      <c r="J1051" s="1795"/>
      <c r="K1051" s="14"/>
      <c r="L1051" s="133"/>
      <c r="M1051" s="133"/>
      <c r="N1051" s="133"/>
      <c r="O1051" s="133"/>
      <c r="P1051" s="133"/>
      <c r="Q1051" s="133"/>
      <c r="R1051" s="133"/>
      <c r="S1051" s="133"/>
      <c r="T1051" s="133"/>
      <c r="U1051" s="133"/>
      <c r="V1051" s="134" t="s">
        <v>991</v>
      </c>
      <c r="X1051" s="1792">
        <f>BK632</f>
        <v>25</v>
      </c>
      <c r="Y1051" s="1793"/>
      <c r="AF1051" s="959"/>
      <c r="AG1051" s="960"/>
      <c r="AH1051" s="960"/>
      <c r="AI1051" s="961"/>
      <c r="AJ1051" s="1804"/>
      <c r="AK1051" s="1805"/>
      <c r="AL1051" s="1805"/>
      <c r="AM1051" s="1805"/>
      <c r="AN1051" s="1805"/>
      <c r="AO1051" s="1805"/>
      <c r="AP1051" s="1805"/>
      <c r="AQ1051" s="1806"/>
      <c r="AR1051" s="68"/>
      <c r="AS1051" s="68"/>
      <c r="AT1051" s="68"/>
      <c r="AU1051" s="68"/>
      <c r="AV1051" s="68"/>
      <c r="AW1051" s="68"/>
      <c r="AX1051" s="68"/>
      <c r="AY1051" s="68"/>
    </row>
    <row r="1052" spans="1:51" ht="12.95" customHeight="1">
      <c r="A1052" s="14"/>
      <c r="B1052" s="102"/>
      <c r="C1052" s="103"/>
      <c r="D1052" s="1790" t="s">
        <v>520</v>
      </c>
      <c r="E1052" s="1790"/>
      <c r="F1052" s="1790"/>
      <c r="G1052" s="1790"/>
      <c r="H1052" s="1790"/>
      <c r="I1052" s="1790"/>
      <c r="J1052" s="1790"/>
      <c r="K1052" s="1790"/>
      <c r="L1052" s="1790"/>
      <c r="M1052" s="1790"/>
      <c r="N1052" s="1790"/>
      <c r="O1052" s="1790"/>
      <c r="P1052" s="1790"/>
      <c r="Q1052" s="1790"/>
      <c r="R1052" s="1790"/>
      <c r="S1052" s="1790"/>
      <c r="T1052" s="1790"/>
      <c r="U1052" s="1790"/>
      <c r="V1052" s="1790"/>
      <c r="W1052" s="1790"/>
      <c r="X1052" s="1790"/>
      <c r="Y1052" s="1790"/>
      <c r="Z1052" s="1790"/>
      <c r="AA1052" s="1790"/>
      <c r="AB1052" s="1790"/>
      <c r="AC1052" s="1790"/>
      <c r="AD1052" s="1790"/>
      <c r="AE1052" s="1790"/>
      <c r="AF1052" s="1790"/>
      <c r="AG1052" s="1790"/>
      <c r="AH1052" s="1790"/>
      <c r="AI1052" s="1791"/>
      <c r="AJ1052" s="1692">
        <f>SUM(AJ991:AQ1051)</f>
        <v>219289372.47999999</v>
      </c>
      <c r="AK1052" s="1693"/>
      <c r="AL1052" s="1693"/>
      <c r="AM1052" s="1693"/>
      <c r="AN1052" s="1693"/>
      <c r="AO1052" s="1693"/>
      <c r="AP1052" s="1693"/>
      <c r="AQ1052" s="169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3">
        <f>IF(ISNA(IF((AJ1019&gt;(AJ991*0.15)),"(f) cannot be greater than 15% of unadjusted eligible basis.",0)),"",(IF((AJ1019&gt;(AJ991*0.15)),"(f) cannot be greater than 15% of unadjusted eligible basis.",0)))</f>
        <v>0</v>
      </c>
      <c r="C1059" s="1853"/>
      <c r="D1059" s="1853"/>
      <c r="E1059" s="1853"/>
      <c r="F1059" s="1853"/>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1853"/>
      <c r="AP1059" s="1853"/>
      <c r="AQ1059" s="68"/>
      <c r="AR1059" s="68"/>
      <c r="AS1059" s="68"/>
      <c r="AT1059" s="68"/>
      <c r="AU1059" s="68"/>
      <c r="AV1059" s="68"/>
      <c r="AW1059" s="68"/>
      <c r="AX1059" s="68"/>
      <c r="AY1059" s="68"/>
    </row>
    <row r="1060" spans="1:51" ht="12.95"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598</v>
      </c>
      <c r="B1064" s="1380"/>
      <c r="C1064" s="8">
        <v>1</v>
      </c>
      <c r="D1064" s="1266" t="s">
        <v>1131</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598</v>
      </c>
      <c r="B1070" s="1380"/>
      <c r="C1070" s="8">
        <v>2</v>
      </c>
      <c r="D1070" s="1266" t="s">
        <v>1130</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598</v>
      </c>
      <c r="B1076" s="1380"/>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598</v>
      </c>
      <c r="B1083" s="1380"/>
      <c r="C1083" s="8">
        <v>4</v>
      </c>
      <c r="D1083" s="1266" t="s">
        <v>1116</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598</v>
      </c>
      <c r="B1086" s="1380"/>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598</v>
      </c>
      <c r="B1091" s="1380"/>
      <c r="C1091" s="8">
        <v>6</v>
      </c>
      <c r="D1091" s="1266" t="s">
        <v>1117</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598</v>
      </c>
      <c r="B1094" s="1380"/>
      <c r="C1094" s="212">
        <v>7</v>
      </c>
      <c r="D1094" s="1266" t="s">
        <v>1119</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598</v>
      </c>
      <c r="B1098" s="1380"/>
      <c r="C1098" s="212">
        <v>8</v>
      </c>
      <c r="D1098" s="1350" t="s">
        <v>1870</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598</v>
      </c>
      <c r="B1103" s="1380"/>
      <c r="C1103" s="212">
        <v>9</v>
      </c>
      <c r="D1103" s="1266" t="s">
        <v>1118</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AC735:AG735"/>
    <mergeCell ref="AH733:AJ733"/>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C640:CG640"/>
    <mergeCell ref="CC620:CG620"/>
    <mergeCell ref="CH625:CL625"/>
    <mergeCell ref="CM625:CQ625"/>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AH750:AJ750"/>
    <mergeCell ref="AH751:AJ751"/>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BS608:BW608"/>
    <mergeCell ref="BN608:BR608"/>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7" workbookViewId="0">
      <selection activeCell="Q46" sqref="Q4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0" t="s">
        <v>628</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1)Tax-Exempt Permanent Loan - CCRC</v>
      </c>
      <c r="G2" s="139" t="str">
        <f>Application!B628&amp;Application!C628</f>
        <v>2)HCD AHSC</v>
      </c>
      <c r="H2" s="139" t="str">
        <f>Application!B629&amp;Application!C629</f>
        <v>3)HCD IIG</v>
      </c>
      <c r="I2" s="139" t="str">
        <f>Application!B630&amp;Application!C630</f>
        <v>4)HCD LGMG</v>
      </c>
      <c r="J2" s="139" t="str">
        <f>Application!B631&amp;Application!C631</f>
        <v>5)Deferred Developer Fee</v>
      </c>
      <c r="K2" s="139" t="str">
        <f>Application!B632&amp;Application!C632</f>
        <v>6)GP Capital Contribution</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B4</f>
        <v>1</v>
      </c>
      <c r="F4" s="147"/>
      <c r="G4" s="147"/>
      <c r="H4" s="147"/>
      <c r="I4" s="147"/>
      <c r="J4" s="147"/>
      <c r="K4" s="147"/>
      <c r="L4" s="147"/>
      <c r="M4" s="147"/>
      <c r="N4" s="147"/>
      <c r="O4" s="147"/>
      <c r="P4" s="147"/>
      <c r="Q4" s="147"/>
      <c r="R4" s="550">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31500</v>
      </c>
      <c r="C6" s="147">
        <f>31500</f>
        <v>31500</v>
      </c>
      <c r="D6" s="147"/>
      <c r="E6" s="147">
        <f>C6</f>
        <v>31500</v>
      </c>
      <c r="F6" s="147"/>
      <c r="G6" s="147"/>
      <c r="H6" s="147"/>
      <c r="I6" s="147"/>
      <c r="J6" s="147"/>
      <c r="K6" s="147"/>
      <c r="L6" s="147"/>
      <c r="M6" s="147"/>
      <c r="N6" s="147"/>
      <c r="O6" s="147"/>
      <c r="P6" s="147"/>
      <c r="Q6" s="147"/>
      <c r="R6" s="550">
        <f>SUM(E6:Q6)</f>
        <v>31500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31501</v>
      </c>
      <c r="C8" s="146">
        <f t="shared" ref="C8:Q8" si="0">SUM(C4:C7)</f>
        <v>31501</v>
      </c>
      <c r="D8" s="146">
        <f t="shared" si="0"/>
        <v>0</v>
      </c>
      <c r="E8" s="146">
        <f t="shared" si="0"/>
        <v>31501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31501</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498000</v>
      </c>
      <c r="C10" s="147">
        <v>498000</v>
      </c>
      <c r="D10" s="147"/>
      <c r="E10" s="147"/>
      <c r="F10" s="147"/>
      <c r="G10" s="147"/>
      <c r="H10" s="147">
        <f>C10</f>
        <v>498000</v>
      </c>
      <c r="I10" s="147"/>
      <c r="J10" s="147"/>
      <c r="K10" s="147"/>
      <c r="L10" s="147"/>
      <c r="M10" s="147"/>
      <c r="N10" s="147"/>
      <c r="O10" s="147"/>
      <c r="P10" s="147"/>
      <c r="Q10" s="147"/>
      <c r="R10" s="550">
        <f>SUM(E10:Q10)</f>
        <v>498000</v>
      </c>
      <c r="S10" s="147">
        <f>R10</f>
        <v>498000</v>
      </c>
      <c r="T10" s="147"/>
      <c r="U10" s="143"/>
    </row>
    <row r="11" spans="1:21" s="144" customFormat="1">
      <c r="A11" s="149" t="s">
        <v>603</v>
      </c>
      <c r="B11" s="146">
        <f>SUM(C11:D11)</f>
        <v>498000</v>
      </c>
      <c r="C11" s="146">
        <f t="shared" ref="C11:Q11" si="1">SUM(C9:C10)</f>
        <v>498000</v>
      </c>
      <c r="D11" s="146">
        <f t="shared" si="1"/>
        <v>0</v>
      </c>
      <c r="E11" s="146">
        <f t="shared" si="1"/>
        <v>0</v>
      </c>
      <c r="F11" s="146">
        <f t="shared" si="1"/>
        <v>0</v>
      </c>
      <c r="G11" s="146">
        <f t="shared" si="1"/>
        <v>0</v>
      </c>
      <c r="H11" s="146">
        <f t="shared" si="1"/>
        <v>498000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498000</v>
      </c>
      <c r="S11" s="148"/>
      <c r="T11" s="150">
        <f>SUM(T9:T10)</f>
        <v>0</v>
      </c>
      <c r="U11" s="143"/>
    </row>
    <row r="12" spans="1:21" s="144" customFormat="1">
      <c r="A12" s="149" t="s">
        <v>84</v>
      </c>
      <c r="B12" s="146">
        <f t="shared" ref="B12:Q12" si="2">SUM(B8+B11)</f>
        <v>529501</v>
      </c>
      <c r="C12" s="146">
        <f t="shared" si="2"/>
        <v>529501</v>
      </c>
      <c r="D12" s="146">
        <f t="shared" si="2"/>
        <v>0</v>
      </c>
      <c r="E12" s="146">
        <f t="shared" si="2"/>
        <v>31501</v>
      </c>
      <c r="F12" s="146">
        <f t="shared" si="2"/>
        <v>0</v>
      </c>
      <c r="G12" s="146">
        <f t="shared" si="2"/>
        <v>0</v>
      </c>
      <c r="H12" s="146">
        <f t="shared" si="2"/>
        <v>498000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529501</v>
      </c>
      <c r="S12" s="148"/>
      <c r="T12" s="148"/>
      <c r="U12" s="143"/>
    </row>
    <row r="13" spans="1:21" s="144" customFormat="1">
      <c r="A13" s="309" t="s">
        <v>916</v>
      </c>
      <c r="B13" s="146">
        <f>SUM(C13+D13)</f>
        <v>90000</v>
      </c>
      <c r="C13" s="147">
        <v>90000</v>
      </c>
      <c r="D13" s="147"/>
      <c r="E13" s="147">
        <f>C13</f>
        <v>90000</v>
      </c>
      <c r="F13" s="147"/>
      <c r="G13" s="147"/>
      <c r="H13" s="147"/>
      <c r="I13" s="147"/>
      <c r="J13" s="147"/>
      <c r="K13" s="147"/>
      <c r="L13" s="147"/>
      <c r="M13" s="147"/>
      <c r="N13" s="147"/>
      <c r="O13" s="147"/>
      <c r="P13" s="147"/>
      <c r="Q13" s="147"/>
      <c r="R13" s="550">
        <f>SUM(E13:Q13)</f>
        <v>90000</v>
      </c>
      <c r="S13" s="147">
        <f>R13</f>
        <v>90000</v>
      </c>
      <c r="T13" s="147"/>
      <c r="U13" s="143"/>
    </row>
    <row r="14" spans="1:21" s="144" customFormat="1" ht="24">
      <c r="A14" s="310" t="s">
        <v>1754</v>
      </c>
      <c r="B14" s="146">
        <f>SUM(C14+D14)</f>
        <v>0</v>
      </c>
      <c r="C14" s="147"/>
      <c r="D14" s="147"/>
      <c r="E14" s="147">
        <f>D108</f>
        <v>0</v>
      </c>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2728338</v>
      </c>
      <c r="C29" s="147">
        <v>2728338</v>
      </c>
      <c r="D29" s="147"/>
      <c r="E29" s="147">
        <f>C29-SUM(F29:K29)</f>
        <v>1909338</v>
      </c>
      <c r="F29" s="147"/>
      <c r="G29" s="147"/>
      <c r="H29" s="147">
        <f>Application!AO629-'Sources and Uses Budget'!H10</f>
        <v>819000</v>
      </c>
      <c r="I29" s="147"/>
      <c r="J29" s="147"/>
      <c r="K29" s="147"/>
      <c r="L29" s="147"/>
      <c r="M29" s="147"/>
      <c r="N29" s="147"/>
      <c r="O29" s="147"/>
      <c r="P29" s="147"/>
      <c r="Q29" s="147"/>
      <c r="R29" s="550">
        <f t="shared" ref="R29:R37" si="7">SUM(E29:Q29)</f>
        <v>2728338</v>
      </c>
      <c r="S29" s="147">
        <f>R29</f>
        <v>2728338</v>
      </c>
      <c r="T29" s="147"/>
      <c r="U29" s="143"/>
    </row>
    <row r="30" spans="1:21" s="144" customFormat="1">
      <c r="A30" s="145" t="s">
        <v>606</v>
      </c>
      <c r="B30" s="146">
        <f t="shared" si="6"/>
        <v>51528463</v>
      </c>
      <c r="C30" s="147">
        <f>49915134+534215+1079114</f>
        <v>51528463</v>
      </c>
      <c r="D30" s="147"/>
      <c r="E30" s="147">
        <f>C30-SUM(F30:K30)</f>
        <v>16617610</v>
      </c>
      <c r="F30" s="147">
        <f>Application!AO627</f>
        <v>5150000</v>
      </c>
      <c r="G30" s="147">
        <f>Application!AO628</f>
        <v>22000000</v>
      </c>
      <c r="H30" s="147"/>
      <c r="I30" s="147">
        <f>Application!AO630</f>
        <v>7760753</v>
      </c>
      <c r="J30" s="147"/>
      <c r="K30" s="147">
        <v>100</v>
      </c>
      <c r="L30" s="147"/>
      <c r="M30" s="147"/>
      <c r="N30" s="147"/>
      <c r="O30" s="147"/>
      <c r="P30" s="147"/>
      <c r="Q30" s="147"/>
      <c r="R30" s="550">
        <f t="shared" si="7"/>
        <v>51528463</v>
      </c>
      <c r="S30" s="147">
        <f>R30</f>
        <v>51528463</v>
      </c>
      <c r="T30" s="147"/>
      <c r="U30" s="143"/>
    </row>
    <row r="31" spans="1:21" s="144" customFormat="1">
      <c r="A31" s="145" t="s">
        <v>607</v>
      </c>
      <c r="B31" s="146">
        <f t="shared" si="6"/>
        <v>4112074</v>
      </c>
      <c r="C31" s="147">
        <v>4112074</v>
      </c>
      <c r="D31" s="147"/>
      <c r="E31" s="147">
        <f>C31</f>
        <v>4112074</v>
      </c>
      <c r="F31" s="147"/>
      <c r="G31" s="147"/>
      <c r="H31" s="147"/>
      <c r="I31" s="147"/>
      <c r="J31" s="147"/>
      <c r="K31" s="147"/>
      <c r="L31" s="147"/>
      <c r="M31" s="147"/>
      <c r="N31" s="147"/>
      <c r="O31" s="147"/>
      <c r="P31" s="147"/>
      <c r="Q31" s="147"/>
      <c r="R31" s="550">
        <f t="shared" si="7"/>
        <v>4112074</v>
      </c>
      <c r="S31" s="147">
        <f>R31</f>
        <v>4112074</v>
      </c>
      <c r="T31" s="147"/>
      <c r="U31" s="143"/>
    </row>
    <row r="32" spans="1:21" s="144" customFormat="1">
      <c r="A32" s="145" t="s">
        <v>137</v>
      </c>
      <c r="B32" s="146">
        <f t="shared" si="6"/>
        <v>906722</v>
      </c>
      <c r="C32" s="147">
        <f>1813444/2</f>
        <v>906722</v>
      </c>
      <c r="D32" s="147"/>
      <c r="E32" s="147">
        <f t="shared" ref="E32:E37" si="8">C32</f>
        <v>906722</v>
      </c>
      <c r="F32" s="147"/>
      <c r="G32" s="147"/>
      <c r="H32" s="147"/>
      <c r="I32" s="147"/>
      <c r="J32" s="147"/>
      <c r="K32" s="147"/>
      <c r="L32" s="147"/>
      <c r="M32" s="147"/>
      <c r="N32" s="147"/>
      <c r="O32" s="147"/>
      <c r="P32" s="147"/>
      <c r="Q32" s="147"/>
      <c r="R32" s="550">
        <f t="shared" si="7"/>
        <v>906722</v>
      </c>
      <c r="S32" s="147">
        <f>R32</f>
        <v>906722</v>
      </c>
      <c r="T32" s="147"/>
      <c r="U32" s="143"/>
    </row>
    <row r="33" spans="1:21" s="144" customFormat="1">
      <c r="A33" s="145" t="s">
        <v>138</v>
      </c>
      <c r="B33" s="146">
        <f t="shared" si="6"/>
        <v>906722</v>
      </c>
      <c r="C33" s="147">
        <f>C32</f>
        <v>906722</v>
      </c>
      <c r="D33" s="147"/>
      <c r="E33" s="147">
        <f t="shared" si="8"/>
        <v>906722</v>
      </c>
      <c r="F33" s="147"/>
      <c r="G33" s="147"/>
      <c r="H33" s="147"/>
      <c r="I33" s="147"/>
      <c r="J33" s="147"/>
      <c r="K33" s="147"/>
      <c r="L33" s="147"/>
      <c r="M33" s="147"/>
      <c r="N33" s="147"/>
      <c r="O33" s="147"/>
      <c r="P33" s="147"/>
      <c r="Q33" s="147"/>
      <c r="R33" s="550">
        <f t="shared" si="7"/>
        <v>906722</v>
      </c>
      <c r="S33" s="147">
        <f t="shared" ref="S33:S35" si="9">R33</f>
        <v>906722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1377898</v>
      </c>
      <c r="C35" s="147">
        <v>1377898</v>
      </c>
      <c r="D35" s="147"/>
      <c r="E35" s="147">
        <f t="shared" si="8"/>
        <v>1377898</v>
      </c>
      <c r="F35" s="147"/>
      <c r="G35" s="147"/>
      <c r="H35" s="147"/>
      <c r="I35" s="147"/>
      <c r="J35" s="147"/>
      <c r="K35" s="147"/>
      <c r="L35" s="147"/>
      <c r="M35" s="147"/>
      <c r="N35" s="147"/>
      <c r="O35" s="147"/>
      <c r="P35" s="147"/>
      <c r="Q35" s="147"/>
      <c r="R35" s="550">
        <f t="shared" si="7"/>
        <v>1377898</v>
      </c>
      <c r="S35" s="147">
        <f t="shared" si="9"/>
        <v>1377898</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2770</v>
      </c>
      <c r="B37" s="146">
        <f t="shared" si="6"/>
        <v>280035</v>
      </c>
      <c r="C37" s="147">
        <v>280035</v>
      </c>
      <c r="D37" s="147"/>
      <c r="E37" s="147">
        <f t="shared" si="8"/>
        <v>280035</v>
      </c>
      <c r="F37" s="147"/>
      <c r="G37" s="147"/>
      <c r="H37" s="147"/>
      <c r="I37" s="147"/>
      <c r="J37" s="147"/>
      <c r="K37" s="147"/>
      <c r="L37" s="147"/>
      <c r="M37" s="147"/>
      <c r="N37" s="147"/>
      <c r="O37" s="147"/>
      <c r="P37" s="147"/>
      <c r="Q37" s="147"/>
      <c r="R37" s="550">
        <f t="shared" si="7"/>
        <v>280035</v>
      </c>
      <c r="S37" s="147">
        <v>0</v>
      </c>
      <c r="T37" s="147"/>
      <c r="U37" s="143"/>
    </row>
    <row r="38" spans="1:21" s="144" customFormat="1">
      <c r="A38" s="149" t="s">
        <v>143</v>
      </c>
      <c r="B38" s="146">
        <f t="shared" si="6"/>
        <v>61840252</v>
      </c>
      <c r="C38" s="146">
        <f>SUM(C29:C37)</f>
        <v>61840252</v>
      </c>
      <c r="D38" s="146">
        <f t="shared" ref="D38:Q38" si="10">SUM(D29:D37)</f>
        <v>0</v>
      </c>
      <c r="E38" s="146">
        <f t="shared" si="10"/>
        <v>26110399</v>
      </c>
      <c r="F38" s="146">
        <f t="shared" si="10"/>
        <v>5150000</v>
      </c>
      <c r="G38" s="146">
        <f t="shared" si="10"/>
        <v>22000000</v>
      </c>
      <c r="H38" s="146">
        <f t="shared" si="10"/>
        <v>819000</v>
      </c>
      <c r="I38" s="146">
        <f t="shared" si="10"/>
        <v>7760753</v>
      </c>
      <c r="J38" s="146">
        <f t="shared" si="10"/>
        <v>0</v>
      </c>
      <c r="K38" s="146">
        <f t="shared" si="10"/>
        <v>100</v>
      </c>
      <c r="L38" s="146">
        <f t="shared" si="10"/>
        <v>0</v>
      </c>
      <c r="M38" s="146">
        <f t="shared" si="10"/>
        <v>0</v>
      </c>
      <c r="N38" s="146">
        <f t="shared" si="10"/>
        <v>0</v>
      </c>
      <c r="O38" s="146">
        <f t="shared" si="10"/>
        <v>0</v>
      </c>
      <c r="P38" s="146">
        <f t="shared" si="10"/>
        <v>0</v>
      </c>
      <c r="Q38" s="146">
        <f t="shared" si="10"/>
        <v>0</v>
      </c>
      <c r="R38" s="370">
        <f>SUM(R29:R37)</f>
        <v>61840252</v>
      </c>
      <c r="S38" s="150">
        <f>SUM(S29:S37)</f>
        <v>61560217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1218000</v>
      </c>
      <c r="C40" s="147">
        <v>1218000</v>
      </c>
      <c r="D40" s="147"/>
      <c r="E40" s="147">
        <f>C40</f>
        <v>1218000</v>
      </c>
      <c r="F40" s="147"/>
      <c r="G40" s="147"/>
      <c r="H40" s="147"/>
      <c r="I40" s="147"/>
      <c r="J40" s="147"/>
      <c r="K40" s="147"/>
      <c r="L40" s="147"/>
      <c r="M40" s="147"/>
      <c r="N40" s="147"/>
      <c r="O40" s="147"/>
      <c r="P40" s="147"/>
      <c r="Q40" s="147"/>
      <c r="R40" s="550">
        <f>SUM(E40:Q40)</f>
        <v>1218000</v>
      </c>
      <c r="S40" s="147">
        <f>R40</f>
        <v>1218000</v>
      </c>
      <c r="T40" s="147"/>
      <c r="U40" s="143"/>
    </row>
    <row r="41" spans="1:21" s="144" customFormat="1">
      <c r="A41" s="145" t="s">
        <v>146</v>
      </c>
      <c r="B41" s="146">
        <f>SUM(C41+D41)</f>
        <v>646000</v>
      </c>
      <c r="C41" s="147">
        <v>646000</v>
      </c>
      <c r="D41" s="147"/>
      <c r="E41" s="147">
        <f>C41</f>
        <v>646000</v>
      </c>
      <c r="F41" s="147"/>
      <c r="G41" s="147"/>
      <c r="H41" s="147"/>
      <c r="I41" s="147"/>
      <c r="J41" s="147"/>
      <c r="K41" s="147"/>
      <c r="L41" s="147"/>
      <c r="M41" s="147"/>
      <c r="N41" s="147"/>
      <c r="O41" s="147"/>
      <c r="P41" s="147"/>
      <c r="Q41" s="147"/>
      <c r="R41" s="550">
        <f>SUM(E41:Q41)</f>
        <v>646000</v>
      </c>
      <c r="S41" s="147">
        <f>R41</f>
        <v>646000</v>
      </c>
      <c r="T41" s="147"/>
      <c r="U41" s="143"/>
    </row>
    <row r="42" spans="1:21" s="144" customFormat="1">
      <c r="A42" s="149" t="s">
        <v>147</v>
      </c>
      <c r="B42" s="146">
        <f>SUM(C42:D42)</f>
        <v>1864000</v>
      </c>
      <c r="C42" s="146">
        <f>SUM(C39:C41)</f>
        <v>1864000</v>
      </c>
      <c r="D42" s="146">
        <f>SUM(D39:D41)</f>
        <v>0</v>
      </c>
      <c r="E42" s="146">
        <f t="shared" ref="E42:T42" si="11">SUM(E40:E41)</f>
        <v>1864000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1864000</v>
      </c>
      <c r="S42" s="150">
        <f t="shared" si="11"/>
        <v>1864000</v>
      </c>
      <c r="T42" s="150">
        <f t="shared" si="11"/>
        <v>0</v>
      </c>
      <c r="U42" s="143"/>
    </row>
    <row r="43" spans="1:21" s="144" customFormat="1">
      <c r="A43" s="149" t="s">
        <v>148</v>
      </c>
      <c r="B43" s="146">
        <f>SUM(C43:D43)</f>
        <v>759000</v>
      </c>
      <c r="C43" s="147">
        <v>759000</v>
      </c>
      <c r="D43" s="147"/>
      <c r="E43" s="147">
        <f>C43</f>
        <v>759000</v>
      </c>
      <c r="F43" s="147"/>
      <c r="G43" s="147"/>
      <c r="H43" s="147"/>
      <c r="I43" s="147"/>
      <c r="J43" s="147"/>
      <c r="K43" s="147"/>
      <c r="L43" s="147"/>
      <c r="M43" s="147"/>
      <c r="N43" s="147"/>
      <c r="O43" s="147"/>
      <c r="P43" s="147"/>
      <c r="Q43" s="147"/>
      <c r="R43" s="550">
        <f>SUM(E43:Q43)</f>
        <v>759000</v>
      </c>
      <c r="S43" s="147">
        <f>R43</f>
        <v>759000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6966645</v>
      </c>
      <c r="C45" s="147">
        <f>5583485+1383160</f>
        <v>6966645</v>
      </c>
      <c r="D45" s="147"/>
      <c r="E45" s="147">
        <f>C45</f>
        <v>6966645</v>
      </c>
      <c r="F45" s="147"/>
      <c r="G45" s="147"/>
      <c r="H45" s="147"/>
      <c r="I45" s="147"/>
      <c r="J45" s="147"/>
      <c r="K45" s="147"/>
      <c r="L45" s="147"/>
      <c r="M45" s="147"/>
      <c r="N45" s="147"/>
      <c r="O45" s="147"/>
      <c r="P45" s="147"/>
      <c r="Q45" s="147"/>
      <c r="R45" s="550">
        <f t="shared" ref="R45:R53" si="13">SUM(E45:Q45)</f>
        <v>6966645</v>
      </c>
      <c r="S45" s="147">
        <v>3130685</v>
      </c>
      <c r="T45" s="147"/>
      <c r="U45" s="143"/>
    </row>
    <row r="46" spans="1:21" s="144" customFormat="1">
      <c r="A46" s="145" t="s">
        <v>151</v>
      </c>
      <c r="B46" s="146">
        <f t="shared" si="12"/>
        <v>427436</v>
      </c>
      <c r="C46" s="147">
        <f>427436</f>
        <v>427436</v>
      </c>
      <c r="D46" s="147"/>
      <c r="E46" s="147">
        <f>C46</f>
        <v>427436</v>
      </c>
      <c r="F46" s="147"/>
      <c r="G46" s="147"/>
      <c r="H46" s="147"/>
      <c r="I46" s="147"/>
      <c r="J46" s="147"/>
      <c r="K46" s="147"/>
      <c r="L46" s="147"/>
      <c r="M46" s="147"/>
      <c r="N46" s="147"/>
      <c r="O46" s="147"/>
      <c r="P46" s="147"/>
      <c r="Q46" s="147"/>
      <c r="R46" s="550">
        <f t="shared" si="13"/>
        <v>427436</v>
      </c>
      <c r="S46" s="147">
        <v>192082</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f t="shared" ref="S47:S52" si="14">R47</f>
        <v>0</v>
      </c>
      <c r="T47" s="147"/>
      <c r="U47" s="143"/>
    </row>
    <row r="48" spans="1:21" s="144" customFormat="1">
      <c r="A48" s="145" t="s">
        <v>153</v>
      </c>
      <c r="B48" s="146">
        <f t="shared" si="12"/>
        <v>32153</v>
      </c>
      <c r="C48" s="147">
        <v>32153</v>
      </c>
      <c r="D48" s="147"/>
      <c r="E48" s="147">
        <f>C48</f>
        <v>32153</v>
      </c>
      <c r="F48" s="147"/>
      <c r="G48" s="147"/>
      <c r="H48" s="147"/>
      <c r="I48" s="147"/>
      <c r="J48" s="147"/>
      <c r="K48" s="147"/>
      <c r="L48" s="147"/>
      <c r="M48" s="147"/>
      <c r="N48" s="147"/>
      <c r="O48" s="147"/>
      <c r="P48" s="147"/>
      <c r="Q48" s="147"/>
      <c r="R48" s="550">
        <f t="shared" si="13"/>
        <v>32153</v>
      </c>
      <c r="S48" s="147"/>
      <c r="T48" s="147"/>
      <c r="U48" s="143"/>
    </row>
    <row r="49" spans="1:21" s="144" customFormat="1">
      <c r="A49" s="145" t="s">
        <v>57</v>
      </c>
      <c r="B49" s="146">
        <f t="shared" si="12"/>
        <v>393037</v>
      </c>
      <c r="C49" s="147">
        <f>70000+60000+164398+98639</f>
        <v>393037</v>
      </c>
      <c r="D49" s="147"/>
      <c r="E49" s="147">
        <f t="shared" ref="E49:E52" si="15">C49</f>
        <v>393037</v>
      </c>
      <c r="F49" s="147"/>
      <c r="G49" s="147"/>
      <c r="H49" s="147"/>
      <c r="I49" s="147"/>
      <c r="J49" s="147"/>
      <c r="K49" s="147"/>
      <c r="L49" s="147"/>
      <c r="M49" s="147"/>
      <c r="N49" s="147"/>
      <c r="O49" s="147"/>
      <c r="P49" s="147"/>
      <c r="Q49" s="147"/>
      <c r="R49" s="550">
        <f t="shared" si="13"/>
        <v>393037</v>
      </c>
      <c r="S49" s="147"/>
      <c r="T49" s="147"/>
      <c r="U49" s="143"/>
    </row>
    <row r="50" spans="1:21" s="144" customFormat="1">
      <c r="A50" s="145" t="s">
        <v>156</v>
      </c>
      <c r="B50" s="146">
        <f t="shared" si="12"/>
        <v>60000</v>
      </c>
      <c r="C50" s="147">
        <v>60000</v>
      </c>
      <c r="D50" s="147"/>
      <c r="E50" s="147">
        <f t="shared" si="15"/>
        <v>60000</v>
      </c>
      <c r="F50" s="147"/>
      <c r="G50" s="147"/>
      <c r="H50" s="147"/>
      <c r="I50" s="147"/>
      <c r="J50" s="147"/>
      <c r="K50" s="147"/>
      <c r="L50" s="147"/>
      <c r="M50" s="147"/>
      <c r="N50" s="147"/>
      <c r="O50" s="147"/>
      <c r="P50" s="147"/>
      <c r="Q50" s="147"/>
      <c r="R50" s="550">
        <f t="shared" si="13"/>
        <v>60000</v>
      </c>
      <c r="S50" s="147">
        <f t="shared" si="14"/>
        <v>60000</v>
      </c>
      <c r="T50" s="147"/>
      <c r="U50" s="143"/>
    </row>
    <row r="51" spans="1:21" s="144" customFormat="1">
      <c r="A51" s="304" t="s">
        <v>154</v>
      </c>
      <c r="B51" s="146">
        <f t="shared" si="12"/>
        <v>25000</v>
      </c>
      <c r="C51" s="147">
        <v>25000</v>
      </c>
      <c r="D51" s="147"/>
      <c r="E51" s="147">
        <f t="shared" si="15"/>
        <v>25000</v>
      </c>
      <c r="F51" s="147"/>
      <c r="G51" s="147"/>
      <c r="H51" s="147"/>
      <c r="I51" s="147"/>
      <c r="J51" s="147"/>
      <c r="K51" s="147"/>
      <c r="L51" s="147"/>
      <c r="M51" s="147"/>
      <c r="N51" s="147"/>
      <c r="O51" s="147"/>
      <c r="P51" s="147"/>
      <c r="Q51" s="147"/>
      <c r="R51" s="550">
        <f t="shared" si="13"/>
        <v>25000</v>
      </c>
      <c r="S51" s="147">
        <f t="shared" si="14"/>
        <v>25000</v>
      </c>
      <c r="T51" s="147"/>
      <c r="U51" s="143"/>
    </row>
    <row r="52" spans="1:21" s="144" customFormat="1">
      <c r="A52" s="145" t="s">
        <v>155</v>
      </c>
      <c r="B52" s="146">
        <f t="shared" si="12"/>
        <v>1283950</v>
      </c>
      <c r="C52" s="147">
        <v>1283950</v>
      </c>
      <c r="D52" s="147"/>
      <c r="E52" s="147">
        <f t="shared" si="15"/>
        <v>1283950</v>
      </c>
      <c r="F52" s="147"/>
      <c r="G52" s="147"/>
      <c r="H52" s="147"/>
      <c r="I52" s="147"/>
      <c r="J52" s="147"/>
      <c r="K52" s="147"/>
      <c r="L52" s="147"/>
      <c r="M52" s="147"/>
      <c r="N52" s="147"/>
      <c r="O52" s="147"/>
      <c r="P52" s="147"/>
      <c r="Q52" s="147"/>
      <c r="R52" s="550">
        <f t="shared" si="13"/>
        <v>1283950</v>
      </c>
      <c r="S52" s="147">
        <f t="shared" si="14"/>
        <v>1283950</v>
      </c>
      <c r="T52" s="147"/>
      <c r="U52" s="143"/>
    </row>
    <row r="53" spans="1:21" s="144" customFormat="1">
      <c r="A53" s="1193" t="s">
        <v>2779</v>
      </c>
      <c r="B53" s="146">
        <f t="shared" si="12"/>
        <v>90000</v>
      </c>
      <c r="C53" s="147">
        <v>90000</v>
      </c>
      <c r="D53" s="147"/>
      <c r="E53" s="147">
        <v>90000</v>
      </c>
      <c r="F53" s="147"/>
      <c r="G53" s="147"/>
      <c r="H53" s="147"/>
      <c r="I53" s="147"/>
      <c r="J53" s="147"/>
      <c r="K53" s="147"/>
      <c r="L53" s="147"/>
      <c r="M53" s="147"/>
      <c r="N53" s="147"/>
      <c r="O53" s="147"/>
      <c r="P53" s="147"/>
      <c r="Q53" s="147"/>
      <c r="R53" s="550">
        <f t="shared" si="13"/>
        <v>90000</v>
      </c>
      <c r="S53" s="147">
        <v>90000</v>
      </c>
      <c r="T53" s="147"/>
      <c r="U53" s="143"/>
    </row>
    <row r="54" spans="1:21" s="153" customFormat="1">
      <c r="A54" s="149" t="s">
        <v>157</v>
      </c>
      <c r="B54" s="150">
        <f>SUM(C54:D54)</f>
        <v>9278221</v>
      </c>
      <c r="C54" s="150">
        <f t="shared" ref="C54:T54" si="16">SUM(C45:C53)</f>
        <v>9278221</v>
      </c>
      <c r="D54" s="150">
        <f t="shared" si="16"/>
        <v>0</v>
      </c>
      <c r="E54" s="150">
        <f t="shared" si="16"/>
        <v>9278221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9278221</v>
      </c>
      <c r="S54" s="150">
        <f t="shared" si="16"/>
        <v>4781717</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51500</v>
      </c>
      <c r="C56" s="147">
        <f>51500</f>
        <v>51500</v>
      </c>
      <c r="D56" s="147"/>
      <c r="E56" s="147">
        <f>C56</f>
        <v>51500</v>
      </c>
      <c r="F56" s="147"/>
      <c r="G56" s="147"/>
      <c r="H56" s="147"/>
      <c r="I56" s="147"/>
      <c r="J56" s="147"/>
      <c r="K56" s="147"/>
      <c r="L56" s="147"/>
      <c r="M56" s="147"/>
      <c r="N56" s="147"/>
      <c r="O56" s="147"/>
      <c r="P56" s="147"/>
      <c r="Q56" s="147"/>
      <c r="R56" s="550">
        <f t="shared" ref="R56:R61" si="18">SUM(E56:Q56)</f>
        <v>51500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15000</v>
      </c>
      <c r="C58" s="147">
        <v>15000</v>
      </c>
      <c r="D58" s="147"/>
      <c r="E58" s="147">
        <f>C58</f>
        <v>15000</v>
      </c>
      <c r="F58" s="147"/>
      <c r="G58" s="147"/>
      <c r="H58" s="147"/>
      <c r="I58" s="147"/>
      <c r="J58" s="147"/>
      <c r="K58" s="147"/>
      <c r="L58" s="147"/>
      <c r="M58" s="147"/>
      <c r="N58" s="147"/>
      <c r="O58" s="147"/>
      <c r="P58" s="147"/>
      <c r="Q58" s="147"/>
      <c r="R58" s="550">
        <f t="shared" si="18"/>
        <v>15000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2773</v>
      </c>
      <c r="B61" s="146">
        <f t="shared" si="17"/>
        <v>110000</v>
      </c>
      <c r="C61" s="147">
        <v>110000</v>
      </c>
      <c r="D61" s="147"/>
      <c r="E61" s="147">
        <f>C61</f>
        <v>110000</v>
      </c>
      <c r="F61" s="147"/>
      <c r="G61" s="147"/>
      <c r="H61" s="147"/>
      <c r="I61" s="147"/>
      <c r="J61" s="147"/>
      <c r="K61" s="147"/>
      <c r="L61" s="147"/>
      <c r="M61" s="147"/>
      <c r="N61" s="147"/>
      <c r="O61" s="147"/>
      <c r="P61" s="147"/>
      <c r="Q61" s="147"/>
      <c r="R61" s="550">
        <f t="shared" si="18"/>
        <v>110000</v>
      </c>
      <c r="S61" s="148"/>
      <c r="T61" s="148"/>
      <c r="U61" s="143"/>
    </row>
    <row r="62" spans="1:21" s="144" customFormat="1" ht="13.7" customHeight="1">
      <c r="A62" s="149" t="s">
        <v>302</v>
      </c>
      <c r="B62" s="146">
        <f>SUM(C62:D62)</f>
        <v>176500</v>
      </c>
      <c r="C62" s="146">
        <f t="shared" ref="C62:R62" si="19">SUM(C56:C61)</f>
        <v>176500</v>
      </c>
      <c r="D62" s="146">
        <f t="shared" si="19"/>
        <v>0</v>
      </c>
      <c r="E62" s="146">
        <f t="shared" si="19"/>
        <v>176500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176500</v>
      </c>
      <c r="S62" s="148"/>
      <c r="T62" s="148"/>
      <c r="U62" s="143"/>
    </row>
    <row r="63" spans="1:21" s="144" customFormat="1">
      <c r="A63" s="154" t="s">
        <v>303</v>
      </c>
      <c r="B63" s="146">
        <f t="shared" ref="B63:R63" si="20">SUM(B8+B11+B13+B14+B15+B26+B27+B38+B42+B43+B54+B62)</f>
        <v>74537474</v>
      </c>
      <c r="C63" s="146">
        <f t="shared" si="20"/>
        <v>74537474</v>
      </c>
      <c r="D63" s="146">
        <f t="shared" si="20"/>
        <v>0</v>
      </c>
      <c r="E63" s="146">
        <f t="shared" si="20"/>
        <v>38309621</v>
      </c>
      <c r="F63" s="146">
        <f t="shared" si="20"/>
        <v>5150000</v>
      </c>
      <c r="G63" s="146">
        <f t="shared" si="20"/>
        <v>22000000</v>
      </c>
      <c r="H63" s="146">
        <f t="shared" si="20"/>
        <v>1317000</v>
      </c>
      <c r="I63" s="146">
        <f t="shared" si="20"/>
        <v>7760753</v>
      </c>
      <c r="J63" s="146">
        <f t="shared" si="20"/>
        <v>0</v>
      </c>
      <c r="K63" s="146">
        <f t="shared" si="20"/>
        <v>100</v>
      </c>
      <c r="L63" s="146">
        <f t="shared" si="20"/>
        <v>0</v>
      </c>
      <c r="M63" s="146">
        <f t="shared" si="20"/>
        <v>0</v>
      </c>
      <c r="N63" s="146">
        <f t="shared" si="20"/>
        <v>0</v>
      </c>
      <c r="O63" s="146">
        <f t="shared" si="20"/>
        <v>0</v>
      </c>
      <c r="P63" s="146">
        <f t="shared" si="20"/>
        <v>0</v>
      </c>
      <c r="Q63" s="146">
        <f t="shared" si="20"/>
        <v>0</v>
      </c>
      <c r="R63" s="370">
        <f t="shared" si="20"/>
        <v>74537474</v>
      </c>
      <c r="S63" s="146">
        <f>SUM(S10+S13+S14+S15+S26+S27+S38+S42+S43+S54)</f>
        <v>69552934</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f>110000+40000</f>
        <v>150000</v>
      </c>
      <c r="D65" s="147"/>
      <c r="E65" s="147">
        <f>C65</f>
        <v>150000</v>
      </c>
      <c r="F65" s="147"/>
      <c r="G65" s="147"/>
      <c r="H65" s="147"/>
      <c r="I65" s="147"/>
      <c r="J65" s="147"/>
      <c r="K65" s="147"/>
      <c r="L65" s="147"/>
      <c r="M65" s="147"/>
      <c r="N65" s="147"/>
      <c r="O65" s="147"/>
      <c r="P65" s="147"/>
      <c r="Q65" s="147"/>
      <c r="R65" s="550">
        <f>SUM(E65:Q65)</f>
        <v>150000</v>
      </c>
      <c r="S65" s="147">
        <v>49432</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4">
      <c r="A69" s="1193" t="s">
        <v>2771</v>
      </c>
      <c r="B69" s="146">
        <f>SUM(C69+D69)</f>
        <v>265000</v>
      </c>
      <c r="C69" s="1014">
        <f>40000+225000</f>
        <v>265000</v>
      </c>
      <c r="D69" s="147"/>
      <c r="E69" s="147">
        <f>C69</f>
        <v>265000</v>
      </c>
      <c r="F69" s="147"/>
      <c r="G69" s="147"/>
      <c r="H69" s="147"/>
      <c r="I69" s="147"/>
      <c r="J69" s="147"/>
      <c r="K69" s="147"/>
      <c r="L69" s="147"/>
      <c r="M69" s="147"/>
      <c r="N69" s="147"/>
      <c r="O69" s="147"/>
      <c r="P69" s="147"/>
      <c r="Q69" s="147"/>
      <c r="R69" s="550">
        <f>SUM(E69:Q69)</f>
        <v>265000</v>
      </c>
      <c r="S69" s="147">
        <f>R69</f>
        <v>265000</v>
      </c>
      <c r="T69" s="147"/>
      <c r="U69" s="143"/>
    </row>
    <row r="70" spans="1:21" s="144" customFormat="1">
      <c r="A70" s="149" t="s">
        <v>1756</v>
      </c>
      <c r="B70" s="146">
        <f>SUM(C70:D70)</f>
        <v>415000</v>
      </c>
      <c r="C70" s="146">
        <f>SUM(C65:C69)</f>
        <v>415000</v>
      </c>
      <c r="D70" s="146">
        <f>SUM(D65:D69)</f>
        <v>0</v>
      </c>
      <c r="E70" s="146">
        <f t="shared" ref="E70:T70" si="21">SUM(E65:E69)</f>
        <v>415000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415000</v>
      </c>
      <c r="S70" s="150">
        <f t="shared" si="21"/>
        <v>314432</v>
      </c>
      <c r="T70" s="150">
        <f t="shared" si="21"/>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46000</v>
      </c>
      <c r="C74" s="147">
        <v>46000</v>
      </c>
      <c r="D74" s="147"/>
      <c r="E74" s="147">
        <f>C74</f>
        <v>46000</v>
      </c>
      <c r="F74" s="147"/>
      <c r="G74" s="147"/>
      <c r="H74" s="147"/>
      <c r="I74" s="147"/>
      <c r="J74" s="147"/>
      <c r="K74" s="147"/>
      <c r="L74" s="147"/>
      <c r="M74" s="147"/>
      <c r="N74" s="147"/>
      <c r="O74" s="147"/>
      <c r="P74" s="147"/>
      <c r="Q74" s="147"/>
      <c r="R74" s="550">
        <f>SUM(E74:Q74)</f>
        <v>46000</v>
      </c>
      <c r="S74" s="148"/>
      <c r="T74" s="148"/>
      <c r="U74" s="143"/>
    </row>
    <row r="75" spans="1:21" s="144" customFormat="1">
      <c r="A75" s="145" t="s">
        <v>612</v>
      </c>
      <c r="B75" s="146">
        <f>SUM(C75+D75)</f>
        <v>391641</v>
      </c>
      <c r="C75" s="147">
        <v>391641</v>
      </c>
      <c r="D75" s="147"/>
      <c r="E75" s="147">
        <f>C75</f>
        <v>391641</v>
      </c>
      <c r="F75" s="147"/>
      <c r="G75" s="147"/>
      <c r="H75" s="147"/>
      <c r="I75" s="147"/>
      <c r="J75" s="147"/>
      <c r="K75" s="147"/>
      <c r="L75" s="147"/>
      <c r="M75" s="147"/>
      <c r="N75" s="147"/>
      <c r="O75" s="147"/>
      <c r="P75" s="147"/>
      <c r="Q75" s="147"/>
      <c r="R75" s="550">
        <f>SUM(E75:Q75)</f>
        <v>391641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437641</v>
      </c>
      <c r="C77" s="146">
        <f>SUM(C72:C76)</f>
        <v>437641</v>
      </c>
      <c r="D77" s="146">
        <f>SUM(D72:D76)</f>
        <v>0</v>
      </c>
      <c r="E77" s="146">
        <f t="shared" ref="E77:Q77" si="22">SUM(E72:E76)</f>
        <v>437641</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437641</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3116913</v>
      </c>
      <c r="C79" s="147">
        <v>3116913</v>
      </c>
      <c r="D79" s="147"/>
      <c r="E79" s="147">
        <f>C79</f>
        <v>3116913</v>
      </c>
      <c r="F79" s="147"/>
      <c r="G79" s="147"/>
      <c r="H79" s="147"/>
      <c r="I79" s="147"/>
      <c r="J79" s="147"/>
      <c r="K79" s="147"/>
      <c r="L79" s="147"/>
      <c r="M79" s="147"/>
      <c r="N79" s="147"/>
      <c r="O79" s="147"/>
      <c r="P79" s="147"/>
      <c r="Q79" s="147"/>
      <c r="R79" s="550">
        <f>SUM(E79:Q79)</f>
        <v>3116913</v>
      </c>
      <c r="S79" s="147">
        <f>R79</f>
        <v>3116913</v>
      </c>
      <c r="T79" s="147"/>
      <c r="U79" s="143"/>
    </row>
    <row r="80" spans="1:21" s="144" customFormat="1">
      <c r="A80" s="304" t="s">
        <v>58</v>
      </c>
      <c r="B80" s="146">
        <f>SUM(C80:D80)</f>
        <v>263574</v>
      </c>
      <c r="C80" s="147">
        <v>263574</v>
      </c>
      <c r="D80" s="147"/>
      <c r="E80" s="147">
        <f>C80</f>
        <v>263574</v>
      </c>
      <c r="F80" s="147"/>
      <c r="G80" s="147"/>
      <c r="H80" s="147"/>
      <c r="I80" s="147"/>
      <c r="J80" s="147"/>
      <c r="K80" s="147"/>
      <c r="L80" s="147"/>
      <c r="M80" s="147"/>
      <c r="N80" s="147"/>
      <c r="O80" s="147"/>
      <c r="P80" s="147"/>
      <c r="Q80" s="147"/>
      <c r="R80" s="550">
        <f>SUM(E80:Q80)</f>
        <v>263574</v>
      </c>
      <c r="S80" s="147">
        <f>R80</f>
        <v>263574</v>
      </c>
      <c r="T80" s="147"/>
      <c r="U80" s="143"/>
    </row>
    <row r="81" spans="1:21" s="144" customFormat="1">
      <c r="A81" s="149" t="s">
        <v>1313</v>
      </c>
      <c r="B81" s="146">
        <f>SUM(C81:D81)</f>
        <v>3380487</v>
      </c>
      <c r="C81" s="543">
        <f>SUM(C79:C80)</f>
        <v>3380487</v>
      </c>
      <c r="D81" s="543">
        <f t="shared" ref="D81:T81" si="23">SUM(D79:D80)</f>
        <v>0</v>
      </c>
      <c r="E81" s="543">
        <f t="shared" si="23"/>
        <v>3380487</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3380487</v>
      </c>
      <c r="S81" s="543">
        <f t="shared" si="23"/>
        <v>3380487</v>
      </c>
      <c r="T81" s="543">
        <f t="shared" si="23"/>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4">SUM(C83+D83)</f>
        <v>110817</v>
      </c>
      <c r="C83" s="147">
        <v>110817</v>
      </c>
      <c r="D83" s="147"/>
      <c r="E83" s="147">
        <f>C83</f>
        <v>110817</v>
      </c>
      <c r="F83" s="147"/>
      <c r="G83" s="147"/>
      <c r="H83" s="147"/>
      <c r="I83" s="147"/>
      <c r="J83" s="147"/>
      <c r="K83" s="147"/>
      <c r="L83" s="147"/>
      <c r="M83" s="147"/>
      <c r="N83" s="147"/>
      <c r="O83" s="147"/>
      <c r="P83" s="147"/>
      <c r="Q83" s="147"/>
      <c r="R83" s="550">
        <f t="shared" ref="R83:R95" si="25">SUM(E83:Q83)</f>
        <v>110817</v>
      </c>
      <c r="S83" s="148"/>
      <c r="T83" s="148"/>
      <c r="U83" s="143"/>
    </row>
    <row r="84" spans="1:21" s="144" customFormat="1">
      <c r="A84" s="145" t="s">
        <v>775</v>
      </c>
      <c r="B84" s="146">
        <f t="shared" si="24"/>
        <v>230000</v>
      </c>
      <c r="C84" s="147">
        <f>175000+55000</f>
        <v>230000</v>
      </c>
      <c r="D84" s="147"/>
      <c r="E84" s="147">
        <f>C84</f>
        <v>230000</v>
      </c>
      <c r="F84" s="147"/>
      <c r="G84" s="147"/>
      <c r="H84" s="147"/>
      <c r="I84" s="147"/>
      <c r="J84" s="147"/>
      <c r="K84" s="147"/>
      <c r="L84" s="147"/>
      <c r="M84" s="147"/>
      <c r="N84" s="147"/>
      <c r="O84" s="147"/>
      <c r="P84" s="147"/>
      <c r="Q84" s="147"/>
      <c r="R84" s="550">
        <f t="shared" si="25"/>
        <v>230000</v>
      </c>
      <c r="S84" s="147">
        <f>R84</f>
        <v>230000</v>
      </c>
      <c r="T84" s="147"/>
      <c r="U84" s="143"/>
    </row>
    <row r="85" spans="1:21" s="144" customFormat="1">
      <c r="A85" s="145" t="s">
        <v>776</v>
      </c>
      <c r="B85" s="146">
        <f t="shared" si="24"/>
        <v>420271</v>
      </c>
      <c r="C85" s="147">
        <v>420271</v>
      </c>
      <c r="D85" s="147"/>
      <c r="E85" s="147">
        <f t="shared" ref="E85:E94" si="26">C85</f>
        <v>420271</v>
      </c>
      <c r="F85" s="147"/>
      <c r="G85" s="147"/>
      <c r="H85" s="147"/>
      <c r="I85" s="147"/>
      <c r="J85" s="147"/>
      <c r="K85" s="147"/>
      <c r="L85" s="147"/>
      <c r="M85" s="147"/>
      <c r="N85" s="147"/>
      <c r="O85" s="147"/>
      <c r="P85" s="147"/>
      <c r="Q85" s="147"/>
      <c r="R85" s="550">
        <f t="shared" si="25"/>
        <v>420271</v>
      </c>
      <c r="S85" s="147">
        <f>R85</f>
        <v>420271</v>
      </c>
      <c r="T85" s="147"/>
      <c r="U85" s="143"/>
    </row>
    <row r="86" spans="1:21" s="144" customFormat="1">
      <c r="A86" s="145" t="s">
        <v>777</v>
      </c>
      <c r="B86" s="146">
        <f t="shared" si="24"/>
        <v>1147322</v>
      </c>
      <c r="C86" s="147">
        <v>1147322</v>
      </c>
      <c r="D86" s="147"/>
      <c r="E86" s="147">
        <f t="shared" si="26"/>
        <v>1147322</v>
      </c>
      <c r="F86" s="147"/>
      <c r="G86" s="147"/>
      <c r="H86" s="147"/>
      <c r="I86" s="147"/>
      <c r="J86" s="147"/>
      <c r="K86" s="147"/>
      <c r="L86" s="147"/>
      <c r="M86" s="147"/>
      <c r="N86" s="147"/>
      <c r="O86" s="147"/>
      <c r="P86" s="147"/>
      <c r="Q86" s="147"/>
      <c r="R86" s="550">
        <f t="shared" si="25"/>
        <v>1147322</v>
      </c>
      <c r="S86" s="147">
        <f>R86</f>
        <v>1147322</v>
      </c>
      <c r="T86" s="147"/>
      <c r="U86" s="143"/>
    </row>
    <row r="87" spans="1:21" s="144" customFormat="1">
      <c r="A87" s="145" t="s">
        <v>778</v>
      </c>
      <c r="B87" s="146">
        <f t="shared" si="24"/>
        <v>0</v>
      </c>
      <c r="C87" s="147"/>
      <c r="D87" s="147"/>
      <c r="E87" s="147"/>
      <c r="F87" s="147"/>
      <c r="G87" s="147"/>
      <c r="H87" s="147"/>
      <c r="I87" s="147"/>
      <c r="J87" s="147"/>
      <c r="K87" s="147"/>
      <c r="L87" s="147"/>
      <c r="M87" s="147"/>
      <c r="N87" s="147"/>
      <c r="O87" s="147"/>
      <c r="P87" s="147"/>
      <c r="Q87" s="147"/>
      <c r="R87" s="550">
        <f t="shared" si="25"/>
        <v>0</v>
      </c>
      <c r="S87" s="147"/>
      <c r="T87" s="147"/>
      <c r="U87" s="143"/>
    </row>
    <row r="88" spans="1:21" s="144" customFormat="1">
      <c r="A88" s="145" t="s">
        <v>779</v>
      </c>
      <c r="B88" s="146">
        <f t="shared" si="24"/>
        <v>276000</v>
      </c>
      <c r="C88" s="147">
        <v>276000</v>
      </c>
      <c r="D88" s="147"/>
      <c r="E88" s="147">
        <f t="shared" si="26"/>
        <v>276000</v>
      </c>
      <c r="F88" s="147"/>
      <c r="G88" s="147"/>
      <c r="H88" s="147"/>
      <c r="I88" s="147"/>
      <c r="J88" s="147"/>
      <c r="K88" s="147"/>
      <c r="L88" s="147"/>
      <c r="M88" s="147"/>
      <c r="N88" s="147"/>
      <c r="O88" s="147"/>
      <c r="P88" s="147"/>
      <c r="Q88" s="147"/>
      <c r="R88" s="550">
        <f t="shared" si="25"/>
        <v>276000</v>
      </c>
      <c r="S88" s="148"/>
      <c r="T88" s="148"/>
      <c r="U88" s="143"/>
    </row>
    <row r="89" spans="1:21" s="144" customFormat="1">
      <c r="A89" s="145" t="s">
        <v>780</v>
      </c>
      <c r="B89" s="146">
        <f t="shared" si="24"/>
        <v>192000</v>
      </c>
      <c r="C89" s="147">
        <v>192000</v>
      </c>
      <c r="D89" s="147"/>
      <c r="E89" s="147">
        <f t="shared" si="26"/>
        <v>192000</v>
      </c>
      <c r="F89" s="147"/>
      <c r="G89" s="147"/>
      <c r="H89" s="147"/>
      <c r="I89" s="147"/>
      <c r="J89" s="147"/>
      <c r="K89" s="147"/>
      <c r="L89" s="147"/>
      <c r="M89" s="147"/>
      <c r="N89" s="147"/>
      <c r="O89" s="147"/>
      <c r="P89" s="147"/>
      <c r="Q89" s="147"/>
      <c r="R89" s="550">
        <f t="shared" si="25"/>
        <v>192000</v>
      </c>
      <c r="S89" s="147">
        <f>R89</f>
        <v>192000</v>
      </c>
      <c r="T89" s="147"/>
      <c r="U89" s="143"/>
    </row>
    <row r="90" spans="1:21" s="144" customFormat="1">
      <c r="A90" s="145" t="s">
        <v>781</v>
      </c>
      <c r="B90" s="146">
        <f t="shared" si="24"/>
        <v>35000</v>
      </c>
      <c r="C90" s="147">
        <v>35000</v>
      </c>
      <c r="D90" s="147"/>
      <c r="E90" s="147">
        <f t="shared" si="26"/>
        <v>35000</v>
      </c>
      <c r="F90" s="147"/>
      <c r="G90" s="147"/>
      <c r="H90" s="147"/>
      <c r="I90" s="147"/>
      <c r="J90" s="147"/>
      <c r="K90" s="147"/>
      <c r="L90" s="147"/>
      <c r="M90" s="147"/>
      <c r="N90" s="147"/>
      <c r="O90" s="147"/>
      <c r="P90" s="147"/>
      <c r="Q90" s="147"/>
      <c r="R90" s="550">
        <f t="shared" si="25"/>
        <v>35000</v>
      </c>
      <c r="S90" s="147"/>
      <c r="T90" s="147"/>
      <c r="U90" s="143"/>
    </row>
    <row r="91" spans="1:21" s="144" customFormat="1">
      <c r="A91" s="145" t="s">
        <v>373</v>
      </c>
      <c r="B91" s="146">
        <f t="shared" si="24"/>
        <v>2500</v>
      </c>
      <c r="C91" s="147">
        <f>2500</f>
        <v>2500</v>
      </c>
      <c r="D91" s="147"/>
      <c r="E91" s="147">
        <f t="shared" si="26"/>
        <v>2500</v>
      </c>
      <c r="F91" s="147"/>
      <c r="G91" s="147"/>
      <c r="H91" s="147"/>
      <c r="I91" s="147"/>
      <c r="J91" s="147"/>
      <c r="K91" s="147"/>
      <c r="L91" s="147"/>
      <c r="M91" s="147"/>
      <c r="N91" s="147"/>
      <c r="O91" s="147"/>
      <c r="P91" s="147"/>
      <c r="Q91" s="147"/>
      <c r="R91" s="550">
        <f t="shared" si="25"/>
        <v>2500</v>
      </c>
      <c r="S91" s="147">
        <f t="shared" ref="S91:S94" si="27">R91</f>
        <v>2500</v>
      </c>
      <c r="T91" s="147"/>
      <c r="U91" s="143"/>
    </row>
    <row r="92" spans="1:21" s="144" customFormat="1">
      <c r="A92" s="304" t="s">
        <v>1315</v>
      </c>
      <c r="B92" s="146">
        <f t="shared" si="24"/>
        <v>4000</v>
      </c>
      <c r="C92" s="147">
        <v>4000</v>
      </c>
      <c r="D92" s="147"/>
      <c r="E92" s="147">
        <f t="shared" si="26"/>
        <v>4000</v>
      </c>
      <c r="F92" s="147"/>
      <c r="G92" s="147"/>
      <c r="H92" s="147"/>
      <c r="I92" s="147"/>
      <c r="J92" s="147"/>
      <c r="K92" s="147"/>
      <c r="L92" s="147"/>
      <c r="M92" s="147"/>
      <c r="N92" s="147"/>
      <c r="O92" s="147"/>
      <c r="P92" s="147"/>
      <c r="Q92" s="147"/>
      <c r="R92" s="550">
        <f t="shared" si="25"/>
        <v>4000</v>
      </c>
      <c r="S92" s="147">
        <f t="shared" si="27"/>
        <v>4000</v>
      </c>
      <c r="T92" s="147"/>
      <c r="U92" s="143"/>
    </row>
    <row r="93" spans="1:21" s="144" customFormat="1">
      <c r="A93" s="1193" t="s">
        <v>2774</v>
      </c>
      <c r="B93" s="146">
        <f t="shared" si="24"/>
        <v>55000</v>
      </c>
      <c r="C93" s="1014">
        <v>55000</v>
      </c>
      <c r="D93" s="147"/>
      <c r="E93" s="147">
        <f t="shared" si="26"/>
        <v>55000</v>
      </c>
      <c r="F93" s="147"/>
      <c r="G93" s="147"/>
      <c r="H93" s="147"/>
      <c r="I93" s="147"/>
      <c r="J93" s="147"/>
      <c r="K93" s="147"/>
      <c r="L93" s="147"/>
      <c r="M93" s="147"/>
      <c r="N93" s="147"/>
      <c r="O93" s="147"/>
      <c r="P93" s="147"/>
      <c r="Q93" s="147"/>
      <c r="R93" s="550">
        <f t="shared" si="25"/>
        <v>55000</v>
      </c>
      <c r="S93" s="147">
        <f t="shared" si="27"/>
        <v>55000</v>
      </c>
      <c r="T93" s="147"/>
      <c r="U93" s="143"/>
    </row>
    <row r="94" spans="1:21" s="144" customFormat="1">
      <c r="A94" s="1193" t="s">
        <v>2772</v>
      </c>
      <c r="B94" s="146">
        <f t="shared" si="24"/>
        <v>650000</v>
      </c>
      <c r="C94" s="147">
        <v>650000</v>
      </c>
      <c r="D94" s="147"/>
      <c r="E94" s="147">
        <f t="shared" si="26"/>
        <v>650000</v>
      </c>
      <c r="F94" s="147"/>
      <c r="G94" s="147"/>
      <c r="H94" s="147"/>
      <c r="I94" s="147"/>
      <c r="J94" s="147"/>
      <c r="K94" s="147"/>
      <c r="L94" s="147"/>
      <c r="M94" s="147"/>
      <c r="N94" s="147"/>
      <c r="O94" s="147"/>
      <c r="P94" s="147"/>
      <c r="Q94" s="147"/>
      <c r="R94" s="550">
        <f t="shared" si="25"/>
        <v>650000</v>
      </c>
      <c r="S94" s="147">
        <f t="shared" si="27"/>
        <v>650000</v>
      </c>
      <c r="T94" s="147"/>
      <c r="U94" s="143"/>
    </row>
    <row r="95" spans="1:21" s="144" customFormat="1">
      <c r="A95" s="1193" t="s">
        <v>34</v>
      </c>
      <c r="B95" s="146">
        <f t="shared" si="24"/>
        <v>0</v>
      </c>
      <c r="C95" s="147"/>
      <c r="D95" s="147"/>
      <c r="E95" s="147"/>
      <c r="F95" s="147"/>
      <c r="G95" s="147"/>
      <c r="H95" s="147"/>
      <c r="I95" s="147"/>
      <c r="J95" s="147"/>
      <c r="K95" s="147"/>
      <c r="L95" s="147"/>
      <c r="M95" s="147"/>
      <c r="N95" s="147"/>
      <c r="O95" s="147"/>
      <c r="P95" s="147"/>
      <c r="Q95" s="147"/>
      <c r="R95" s="550">
        <f t="shared" si="25"/>
        <v>0</v>
      </c>
      <c r="S95" s="147"/>
      <c r="T95" s="147"/>
      <c r="U95" s="143"/>
    </row>
    <row r="96" spans="1:21" s="144" customFormat="1">
      <c r="A96" s="149" t="s">
        <v>782</v>
      </c>
      <c r="B96" s="146">
        <f>SUM(C96:D96)</f>
        <v>3122910</v>
      </c>
      <c r="C96" s="146">
        <f t="shared" ref="C96:R96" si="28">SUM(C83:C95)</f>
        <v>3122910</v>
      </c>
      <c r="D96" s="146">
        <f t="shared" si="28"/>
        <v>0</v>
      </c>
      <c r="E96" s="146">
        <f t="shared" si="28"/>
        <v>3122910</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3122910</v>
      </c>
      <c r="S96" s="150">
        <f>SUM(S84:S87,S89:S95)</f>
        <v>2701093</v>
      </c>
      <c r="T96" s="146">
        <f>SUM(T84:T87,T89:T95)</f>
        <v>0</v>
      </c>
      <c r="U96" s="143"/>
    </row>
    <row r="97" spans="1:21" s="144" customFormat="1">
      <c r="A97" s="149" t="s">
        <v>783</v>
      </c>
      <c r="B97" s="146">
        <f>SUM(C97:D97)</f>
        <v>81893512</v>
      </c>
      <c r="C97" s="146">
        <f t="shared" ref="C97:R97" si="29">SUM(C63+C70+C77+C81+C96)</f>
        <v>81893512</v>
      </c>
      <c r="D97" s="146">
        <f t="shared" si="29"/>
        <v>0</v>
      </c>
      <c r="E97" s="146">
        <f t="shared" si="29"/>
        <v>45665659</v>
      </c>
      <c r="F97" s="146">
        <f t="shared" si="29"/>
        <v>5150000</v>
      </c>
      <c r="G97" s="146">
        <f t="shared" si="29"/>
        <v>22000000</v>
      </c>
      <c r="H97" s="146">
        <f t="shared" si="29"/>
        <v>1317000</v>
      </c>
      <c r="I97" s="146">
        <f t="shared" si="29"/>
        <v>7760753</v>
      </c>
      <c r="J97" s="146">
        <f t="shared" si="29"/>
        <v>0</v>
      </c>
      <c r="K97" s="146">
        <f t="shared" si="29"/>
        <v>100</v>
      </c>
      <c r="L97" s="146">
        <f t="shared" si="29"/>
        <v>0</v>
      </c>
      <c r="M97" s="146">
        <f t="shared" si="29"/>
        <v>0</v>
      </c>
      <c r="N97" s="146">
        <f t="shared" si="29"/>
        <v>0</v>
      </c>
      <c r="O97" s="146">
        <f t="shared" si="29"/>
        <v>0</v>
      </c>
      <c r="P97" s="146">
        <f t="shared" si="29"/>
        <v>0</v>
      </c>
      <c r="Q97" s="146">
        <f t="shared" si="29"/>
        <v>0</v>
      </c>
      <c r="R97" s="146">
        <f t="shared" si="29"/>
        <v>81893512</v>
      </c>
      <c r="S97" s="146">
        <f>SUM(S63+S70+S81+S96)</f>
        <v>75948946</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11392342</v>
      </c>
      <c r="C99" s="1014">
        <v>11392342</v>
      </c>
      <c r="D99" s="1014"/>
      <c r="E99" s="1014">
        <f>C99-(J99+K99)</f>
        <v>2500000</v>
      </c>
      <c r="F99" s="147"/>
      <c r="G99" s="147"/>
      <c r="H99" s="147"/>
      <c r="I99" s="147"/>
      <c r="J99" s="147">
        <f>Application!AO631</f>
        <v>8892342</v>
      </c>
      <c r="K99" s="147"/>
      <c r="L99" s="147"/>
      <c r="M99" s="147"/>
      <c r="N99" s="147"/>
      <c r="O99" s="147"/>
      <c r="P99" s="147"/>
      <c r="Q99" s="147"/>
      <c r="R99" s="550">
        <f>SUM(E99:Q99)</f>
        <v>11392342</v>
      </c>
      <c r="S99" s="147">
        <f>R99</f>
        <v>11392342</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11392342</v>
      </c>
      <c r="C104" s="146">
        <f>SUM(C99:C103)</f>
        <v>11392342</v>
      </c>
      <c r="D104" s="146">
        <f t="shared" ref="D104:T104" si="30">SUM(D99:D103)</f>
        <v>0</v>
      </c>
      <c r="E104" s="146">
        <f t="shared" si="30"/>
        <v>2500000</v>
      </c>
      <c r="F104" s="146">
        <f t="shared" si="30"/>
        <v>0</v>
      </c>
      <c r="G104" s="146">
        <f t="shared" si="30"/>
        <v>0</v>
      </c>
      <c r="H104" s="146">
        <f t="shared" si="30"/>
        <v>0</v>
      </c>
      <c r="I104" s="146">
        <f t="shared" si="30"/>
        <v>0</v>
      </c>
      <c r="J104" s="146">
        <f t="shared" si="30"/>
        <v>8892342</v>
      </c>
      <c r="K104" s="146">
        <f t="shared" si="30"/>
        <v>0</v>
      </c>
      <c r="L104" s="146">
        <f t="shared" si="30"/>
        <v>0</v>
      </c>
      <c r="M104" s="146">
        <f t="shared" si="30"/>
        <v>0</v>
      </c>
      <c r="N104" s="146">
        <f t="shared" si="30"/>
        <v>0</v>
      </c>
      <c r="O104" s="146">
        <f t="shared" si="30"/>
        <v>0</v>
      </c>
      <c r="P104" s="146">
        <f t="shared" si="30"/>
        <v>0</v>
      </c>
      <c r="Q104" s="146">
        <f t="shared" si="30"/>
        <v>0</v>
      </c>
      <c r="R104" s="370">
        <f t="shared" si="30"/>
        <v>11392342</v>
      </c>
      <c r="S104" s="150">
        <f t="shared" si="30"/>
        <v>11392342</v>
      </c>
      <c r="T104" s="150">
        <f t="shared" si="30"/>
        <v>0</v>
      </c>
      <c r="U104" s="143"/>
    </row>
    <row r="105" spans="1:21" s="144" customFormat="1">
      <c r="A105" s="149" t="s">
        <v>788</v>
      </c>
      <c r="B105" s="150">
        <f>SUM(C105:D105)</f>
        <v>93285854</v>
      </c>
      <c r="C105" s="150">
        <f t="shared" ref="C105:R105" si="31">SUM(C97+C104)</f>
        <v>93285854</v>
      </c>
      <c r="D105" s="150">
        <f t="shared" si="31"/>
        <v>0</v>
      </c>
      <c r="E105" s="150">
        <f t="shared" si="31"/>
        <v>48165659</v>
      </c>
      <c r="F105" s="150">
        <f t="shared" si="31"/>
        <v>5150000</v>
      </c>
      <c r="G105" s="150">
        <f t="shared" si="31"/>
        <v>22000000</v>
      </c>
      <c r="H105" s="150">
        <f t="shared" si="31"/>
        <v>1317000</v>
      </c>
      <c r="I105" s="150">
        <f t="shared" si="31"/>
        <v>7760753</v>
      </c>
      <c r="J105" s="150">
        <f t="shared" si="31"/>
        <v>8892342</v>
      </c>
      <c r="K105" s="150">
        <f t="shared" si="31"/>
        <v>100</v>
      </c>
      <c r="L105" s="150">
        <f t="shared" si="31"/>
        <v>0</v>
      </c>
      <c r="M105" s="150">
        <f t="shared" si="31"/>
        <v>0</v>
      </c>
      <c r="N105" s="150">
        <f t="shared" si="31"/>
        <v>0</v>
      </c>
      <c r="O105" s="150">
        <f t="shared" si="31"/>
        <v>0</v>
      </c>
      <c r="P105" s="150">
        <f t="shared" si="31"/>
        <v>0</v>
      </c>
      <c r="Q105" s="150">
        <f t="shared" si="31"/>
        <v>0</v>
      </c>
      <c r="R105" s="370">
        <f t="shared" si="31"/>
        <v>93285854</v>
      </c>
      <c r="S105" s="150">
        <f>S97+S104</f>
        <v>87341288</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87341288</v>
      </c>
      <c r="T107" s="150">
        <f>T105+T106</f>
        <v>0</v>
      </c>
    </row>
    <row r="108" spans="1:21" s="201" customFormat="1">
      <c r="A108" s="162" t="s">
        <v>890</v>
      </c>
      <c r="B108" s="157"/>
      <c r="C108" s="157"/>
      <c r="D108" s="157"/>
      <c r="E108" s="323">
        <f>Application!AO640</f>
        <v>48165659</v>
      </c>
      <c r="F108" s="323">
        <f>Application!AO627</f>
        <v>5150000</v>
      </c>
      <c r="G108" s="323">
        <f>Application!AO628</f>
        <v>22000000</v>
      </c>
      <c r="H108" s="323">
        <f>Application!AO629</f>
        <v>1317000</v>
      </c>
      <c r="I108" s="323">
        <f>Application!AO630</f>
        <v>7760753</v>
      </c>
      <c r="J108" s="323">
        <f>Application!AO631</f>
        <v>8892342</v>
      </c>
      <c r="K108" s="323">
        <f>Application!AO632</f>
        <v>100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2410</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4" t="s">
        <v>1012</v>
      </c>
      <c r="E122" s="1884"/>
      <c r="F122" s="1884"/>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6" t="s">
        <v>1329</v>
      </c>
      <c r="E123" s="1552"/>
      <c r="F123" s="1552"/>
      <c r="G123" s="1552"/>
      <c r="H123" s="1552"/>
      <c r="I123" s="1552"/>
      <c r="J123" s="1552"/>
      <c r="K123" s="1552"/>
      <c r="L123" s="1552"/>
      <c r="M123" s="1552"/>
      <c r="N123" s="1552"/>
      <c r="O123" s="1552"/>
      <c r="P123" s="1552"/>
      <c r="Q123" s="1552"/>
      <c r="R123" s="1552"/>
      <c r="S123" s="1552"/>
      <c r="T123" s="352"/>
      <c r="U123" s="354"/>
    </row>
    <row r="124" spans="1:21" ht="12.75">
      <c r="A124" s="117" t="s">
        <v>1014</v>
      </c>
      <c r="B124" s="361"/>
      <c r="C124" s="117"/>
      <c r="D124" s="1552"/>
      <c r="E124" s="1552"/>
      <c r="F124" s="1552"/>
      <c r="G124" s="1552"/>
      <c r="H124" s="1552"/>
      <c r="I124" s="1552"/>
      <c r="J124" s="1552"/>
      <c r="K124" s="1552"/>
      <c r="L124" s="1552"/>
      <c r="M124" s="1552"/>
      <c r="N124" s="1552"/>
      <c r="O124" s="1552"/>
      <c r="P124" s="1552"/>
      <c r="Q124" s="1552"/>
      <c r="R124" s="1552"/>
      <c r="S124" s="1552"/>
      <c r="T124" s="352"/>
      <c r="U124" s="354"/>
    </row>
    <row r="125" spans="1:21" ht="12.75">
      <c r="A125" s="117" t="s">
        <v>1015</v>
      </c>
      <c r="B125" s="361"/>
      <c r="C125" s="117"/>
      <c r="D125" s="1552"/>
      <c r="E125" s="1552"/>
      <c r="F125" s="1552"/>
      <c r="G125" s="1552"/>
      <c r="H125" s="1552"/>
      <c r="I125" s="1552"/>
      <c r="J125" s="1552"/>
      <c r="K125" s="1552"/>
      <c r="L125" s="1552"/>
      <c r="M125" s="1552"/>
      <c r="N125" s="1552"/>
      <c r="O125" s="1552"/>
      <c r="P125" s="1552"/>
      <c r="Q125" s="1552"/>
      <c r="R125" s="1552"/>
      <c r="S125" s="1552"/>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75">
      <c r="A129" s="117" t="s">
        <v>301</v>
      </c>
      <c r="B129" s="361"/>
      <c r="C129" s="117"/>
      <c r="D129" s="1883" t="s">
        <v>1019</v>
      </c>
      <c r="E129" s="1883"/>
      <c r="F129" s="1883"/>
      <c r="G129" s="1883"/>
      <c r="H129" s="1883"/>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475"/>
      <c r="E131" s="1475"/>
      <c r="F131" s="1475"/>
      <c r="G131" s="1475"/>
      <c r="H131" s="1475"/>
      <c r="I131" s="117"/>
      <c r="J131" s="1475"/>
      <c r="K131" s="1475"/>
      <c r="L131" s="1475"/>
      <c r="M131" s="1475"/>
      <c r="N131" s="117"/>
      <c r="O131" s="117"/>
      <c r="P131" s="117"/>
      <c r="Q131" s="117"/>
      <c r="R131" s="117"/>
      <c r="S131" s="117"/>
      <c r="T131" s="352"/>
      <c r="U131" s="354"/>
    </row>
    <row r="132" spans="1:21" ht="12" customHeight="1">
      <c r="A132" s="364"/>
      <c r="B132" s="117"/>
      <c r="C132" s="117"/>
      <c r="D132" s="1877" t="s">
        <v>1022</v>
      </c>
      <c r="E132" s="1877"/>
      <c r="F132" s="1877"/>
      <c r="G132" s="1877"/>
      <c r="H132" s="1877"/>
      <c r="I132" s="117"/>
      <c r="J132" s="1877" t="s">
        <v>1023</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2.75">
      <c r="A139" s="1874" t="s">
        <v>1026</v>
      </c>
      <c r="B139" s="1874"/>
      <c r="C139" s="1874"/>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5"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1332</v>
      </c>
      <c r="B1" s="1888"/>
      <c r="C1" s="1888"/>
      <c r="D1" s="1888"/>
      <c r="E1" s="1888"/>
      <c r="F1" s="1888"/>
      <c r="G1" s="1888"/>
      <c r="H1" s="1888"/>
      <c r="I1" s="1888"/>
      <c r="J1" s="1889"/>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31500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31501</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498000</v>
      </c>
      <c r="C10" s="393"/>
      <c r="D10" s="393"/>
      <c r="E10" s="392">
        <f>'Sources and Uses Budget'!S10</f>
        <v>498000</v>
      </c>
      <c r="F10" s="393"/>
      <c r="G10" s="393"/>
      <c r="H10" s="392">
        <f>'Sources and Uses Budget'!T10</f>
        <v>0</v>
      </c>
      <c r="I10" s="393"/>
      <c r="J10" s="393"/>
      <c r="K10" s="390"/>
    </row>
    <row r="11" spans="1:11" s="391" customFormat="1">
      <c r="A11" s="396" t="s">
        <v>603</v>
      </c>
      <c r="B11" s="392">
        <f>'Sources and Uses Budget'!C11</f>
        <v>498000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529501</v>
      </c>
      <c r="C12" s="392">
        <f>SUM(C8+C11)</f>
        <v>0</v>
      </c>
      <c r="D12" s="392">
        <f>SUM(D8+D11)</f>
        <v>0</v>
      </c>
      <c r="E12" s="394"/>
      <c r="F12" s="394"/>
      <c r="G12" s="394"/>
      <c r="H12" s="394"/>
      <c r="I12" s="394"/>
      <c r="J12" s="394"/>
      <c r="K12" s="390"/>
    </row>
    <row r="13" spans="1:11" s="391" customFormat="1">
      <c r="A13" s="397" t="s">
        <v>916</v>
      </c>
      <c r="B13" s="392">
        <f>'Sources and Uses Budget'!C13</f>
        <v>90000</v>
      </c>
      <c r="C13" s="393"/>
      <c r="D13" s="393"/>
      <c r="E13" s="392">
        <f>'Sources and Uses Budget'!S13</f>
        <v>90000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2728338</v>
      </c>
      <c r="C29" s="393"/>
      <c r="D29" s="393"/>
      <c r="E29" s="392">
        <f>'Sources and Uses Budget'!S29</f>
        <v>2728338</v>
      </c>
      <c r="F29" s="393"/>
      <c r="G29" s="393"/>
      <c r="H29" s="392">
        <f>'Sources and Uses Budget'!T29</f>
        <v>0</v>
      </c>
      <c r="I29" s="393"/>
      <c r="J29" s="393"/>
      <c r="K29" s="390"/>
    </row>
    <row r="30" spans="1:11" s="391" customFormat="1">
      <c r="A30" s="145" t="s">
        <v>606</v>
      </c>
      <c r="B30" s="392">
        <f>'Sources and Uses Budget'!C30</f>
        <v>51528463</v>
      </c>
      <c r="C30" s="393"/>
      <c r="D30" s="393"/>
      <c r="E30" s="392">
        <f>'Sources and Uses Budget'!S30</f>
        <v>51528463</v>
      </c>
      <c r="F30" s="393"/>
      <c r="G30" s="393"/>
      <c r="H30" s="392">
        <f>'Sources and Uses Budget'!T30</f>
        <v>0</v>
      </c>
      <c r="I30" s="393"/>
      <c r="J30" s="393"/>
      <c r="K30" s="390"/>
    </row>
    <row r="31" spans="1:11" s="391" customFormat="1">
      <c r="A31" s="145" t="s">
        <v>607</v>
      </c>
      <c r="B31" s="392">
        <f>'Sources and Uses Budget'!C31</f>
        <v>4112074</v>
      </c>
      <c r="C31" s="393"/>
      <c r="D31" s="393"/>
      <c r="E31" s="392">
        <f>'Sources and Uses Budget'!S31</f>
        <v>4112074</v>
      </c>
      <c r="F31" s="393"/>
      <c r="G31" s="393"/>
      <c r="H31" s="392">
        <f>'Sources and Uses Budget'!T31</f>
        <v>0</v>
      </c>
      <c r="I31" s="393"/>
      <c r="J31" s="393"/>
      <c r="K31" s="390"/>
    </row>
    <row r="32" spans="1:11" s="391" customFormat="1">
      <c r="A32" s="145" t="s">
        <v>137</v>
      </c>
      <c r="B32" s="392">
        <f>'Sources and Uses Budget'!C32</f>
        <v>906722</v>
      </c>
      <c r="C32" s="393"/>
      <c r="D32" s="393"/>
      <c r="E32" s="392">
        <f>'Sources and Uses Budget'!S32</f>
        <v>906722</v>
      </c>
      <c r="F32" s="393"/>
      <c r="G32" s="393"/>
      <c r="H32" s="392">
        <f>'Sources and Uses Budget'!T32</f>
        <v>0</v>
      </c>
      <c r="I32" s="393"/>
      <c r="J32" s="393"/>
      <c r="K32" s="390"/>
    </row>
    <row r="33" spans="1:11" s="391" customFormat="1">
      <c r="A33" s="145" t="s">
        <v>138</v>
      </c>
      <c r="B33" s="392">
        <f>'Sources and Uses Budget'!C33</f>
        <v>906722</v>
      </c>
      <c r="C33" s="393"/>
      <c r="D33" s="393"/>
      <c r="E33" s="392">
        <f>'Sources and Uses Budget'!S33</f>
        <v>906722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1377898</v>
      </c>
      <c r="C35" s="393"/>
      <c r="D35" s="393"/>
      <c r="E35" s="392">
        <f>'Sources and Uses Budget'!S35</f>
        <v>1377898</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Demolition</v>
      </c>
      <c r="B37" s="392">
        <f>'Sources and Uses Budget'!C37</f>
        <v>280035</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61840252</v>
      </c>
      <c r="C38" s="392">
        <f>SUM(C29:C37)</f>
        <v>0</v>
      </c>
      <c r="D38" s="392">
        <f>SUM(D29:D37)</f>
        <v>0</v>
      </c>
      <c r="E38" s="392">
        <f>'Sources and Uses Budget'!S38</f>
        <v>61560217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1218000</v>
      </c>
      <c r="C40" s="393"/>
      <c r="D40" s="393"/>
      <c r="E40" s="392">
        <f>'Sources and Uses Budget'!S40</f>
        <v>1218000</v>
      </c>
      <c r="F40" s="393"/>
      <c r="G40" s="393"/>
      <c r="H40" s="392">
        <f>'Sources and Uses Budget'!T40</f>
        <v>0</v>
      </c>
      <c r="I40" s="393"/>
      <c r="J40" s="393"/>
      <c r="K40" s="390"/>
    </row>
    <row r="41" spans="1:11" s="391" customFormat="1">
      <c r="A41" s="395" t="s">
        <v>146</v>
      </c>
      <c r="B41" s="392">
        <f>'Sources and Uses Budget'!C41</f>
        <v>646000</v>
      </c>
      <c r="C41" s="393"/>
      <c r="D41" s="393"/>
      <c r="E41" s="392">
        <f>'Sources and Uses Budget'!S41</f>
        <v>646000</v>
      </c>
      <c r="F41" s="393"/>
      <c r="G41" s="393"/>
      <c r="H41" s="392">
        <f>'Sources and Uses Budget'!T41</f>
        <v>0</v>
      </c>
      <c r="I41" s="393"/>
      <c r="J41" s="393"/>
      <c r="K41" s="390"/>
    </row>
    <row r="42" spans="1:11" s="391" customFormat="1">
      <c r="A42" s="396" t="s">
        <v>147</v>
      </c>
      <c r="B42" s="392">
        <f>'Sources and Uses Budget'!C42</f>
        <v>1864000</v>
      </c>
      <c r="C42" s="392">
        <f>SUM(C39:C41)</f>
        <v>0</v>
      </c>
      <c r="D42" s="392">
        <f>SUM(D39:D41)</f>
        <v>0</v>
      </c>
      <c r="E42" s="392">
        <f>'Sources and Uses Budget'!S42</f>
        <v>1864000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759000</v>
      </c>
      <c r="C43" s="393"/>
      <c r="D43" s="393"/>
      <c r="E43" s="392">
        <f>'Sources and Uses Budget'!S43</f>
        <v>759000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6966645</v>
      </c>
      <c r="C45" s="393"/>
      <c r="D45" s="393"/>
      <c r="E45" s="392">
        <f>'Sources and Uses Budget'!S45</f>
        <v>3130685</v>
      </c>
      <c r="F45" s="393"/>
      <c r="G45" s="393"/>
      <c r="H45" s="392">
        <f>'Sources and Uses Budget'!T45</f>
        <v>0</v>
      </c>
      <c r="I45" s="393"/>
      <c r="J45" s="393"/>
      <c r="K45" s="390"/>
    </row>
    <row r="46" spans="1:11" s="391" customFormat="1">
      <c r="A46" s="395" t="s">
        <v>151</v>
      </c>
      <c r="B46" s="392">
        <f>'Sources and Uses Budget'!C46</f>
        <v>427436</v>
      </c>
      <c r="C46" s="393"/>
      <c r="D46" s="393"/>
      <c r="E46" s="392">
        <f>'Sources and Uses Budget'!S46</f>
        <v>192082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32153</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393037</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25000</v>
      </c>
      <c r="C51" s="393"/>
      <c r="D51" s="393"/>
      <c r="E51" s="392">
        <f>'Sources and Uses Budget'!S51</f>
        <v>25000</v>
      </c>
      <c r="F51" s="393"/>
      <c r="G51" s="393"/>
      <c r="H51" s="392">
        <f>'Sources and Uses Budget'!T51</f>
        <v>0</v>
      </c>
      <c r="I51" s="393"/>
      <c r="J51" s="393"/>
      <c r="K51" s="390"/>
    </row>
    <row r="52" spans="1:11" s="391" customFormat="1">
      <c r="A52" s="395" t="s">
        <v>155</v>
      </c>
      <c r="B52" s="392">
        <f>'Sources and Uses Budget'!C52</f>
        <v>1283950</v>
      </c>
      <c r="C52" s="393"/>
      <c r="D52" s="393"/>
      <c r="E52" s="392">
        <f>'Sources and Uses Budget'!S52</f>
        <v>1283950</v>
      </c>
      <c r="F52" s="393"/>
      <c r="G52" s="393"/>
      <c r="H52" s="392">
        <f>'Sources and Uses Budget'!T52</f>
        <v>0</v>
      </c>
      <c r="I52" s="393"/>
      <c r="J52" s="393"/>
      <c r="K52" s="390"/>
    </row>
    <row r="53" spans="1:11" s="391" customFormat="1" ht="24">
      <c r="A53" s="395" t="str">
        <f>'Sources and Uses Budget'!$A53</f>
        <v>Other: Owner Legal - Construction Closing</v>
      </c>
      <c r="B53" s="392">
        <f>'Sources and Uses Budget'!C53</f>
        <v>90000</v>
      </c>
      <c r="C53" s="393"/>
      <c r="D53" s="393"/>
      <c r="E53" s="392">
        <f>'Sources and Uses Budget'!S53</f>
        <v>90000</v>
      </c>
      <c r="F53" s="393"/>
      <c r="G53" s="393"/>
      <c r="H53" s="392">
        <f>'Sources and Uses Budget'!T53</f>
        <v>0</v>
      </c>
      <c r="I53" s="393"/>
      <c r="J53" s="393"/>
      <c r="K53" s="390"/>
    </row>
    <row r="54" spans="1:11" s="400" customFormat="1">
      <c r="A54" s="396" t="s">
        <v>157</v>
      </c>
      <c r="B54" s="392">
        <f>'Sources and Uses Budget'!C54</f>
        <v>9278221</v>
      </c>
      <c r="C54" s="398">
        <f>SUM(C45:C53)</f>
        <v>0</v>
      </c>
      <c r="D54" s="398">
        <f>SUM(D45:D53)</f>
        <v>0</v>
      </c>
      <c r="E54" s="392">
        <f>'Sources and Uses Budget'!S54</f>
        <v>4781717</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51500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Owner Legal - Perm</v>
      </c>
      <c r="B61" s="392">
        <f>'Sources and Uses Budget'!C61</f>
        <v>110000</v>
      </c>
      <c r="C61" s="393"/>
      <c r="D61" s="393"/>
      <c r="E61" s="394"/>
      <c r="F61" s="394"/>
      <c r="G61" s="394"/>
      <c r="H61" s="394"/>
      <c r="I61" s="394"/>
      <c r="J61" s="394"/>
      <c r="K61" s="390"/>
    </row>
    <row r="62" spans="1:11" s="391" customFormat="1" ht="13.7" customHeight="1">
      <c r="A62" s="396" t="s">
        <v>302</v>
      </c>
      <c r="B62" s="392">
        <f>'Sources and Uses Budget'!C62</f>
        <v>176500</v>
      </c>
      <c r="C62" s="392">
        <f>SUM(C56:C61)</f>
        <v>0</v>
      </c>
      <c r="D62" s="392">
        <f>SUM(D56:D61)</f>
        <v>0</v>
      </c>
      <c r="E62" s="394"/>
      <c r="F62" s="394"/>
      <c r="G62" s="394"/>
      <c r="H62" s="394"/>
      <c r="I62" s="394"/>
      <c r="J62" s="394"/>
      <c r="K62" s="390"/>
    </row>
    <row r="63" spans="1:11" s="391" customFormat="1">
      <c r="A63" s="401" t="s">
        <v>303</v>
      </c>
      <c r="B63" s="392">
        <f>'Sources and Uses Budget'!C63</f>
        <v>74537474</v>
      </c>
      <c r="C63" s="392">
        <f>SUM(C8+C11+C13+C14+C15+C26+C27+C38+C42+C43+C54+C62)</f>
        <v>0</v>
      </c>
      <c r="D63" s="392">
        <f>SUM(D8+D11+D13+D14+D15+D26+D27+D38+D42+D43+D54+D62)</f>
        <v>0</v>
      </c>
      <c r="E63" s="392">
        <f>'Sources and Uses Budget'!S63</f>
        <v>69552934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49432</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Estimating and Construction Supervision</v>
      </c>
      <c r="B69" s="392">
        <f>'Sources and Uses Budget'!C69</f>
        <v>265000</v>
      </c>
      <c r="C69" s="393"/>
      <c r="D69" s="393"/>
      <c r="E69" s="392">
        <f>'Sources and Uses Budget'!S69</f>
        <v>265000</v>
      </c>
      <c r="F69" s="393"/>
      <c r="G69" s="393"/>
      <c r="H69" s="392">
        <f>'Sources and Uses Budget'!T69</f>
        <v>0</v>
      </c>
      <c r="I69" s="393"/>
      <c r="J69" s="393"/>
      <c r="K69" s="390"/>
    </row>
    <row r="70" spans="1:11" s="391" customFormat="1">
      <c r="A70" s="396" t="s">
        <v>608</v>
      </c>
      <c r="B70" s="392">
        <f>'Sources and Uses Budget'!C70</f>
        <v>415000</v>
      </c>
      <c r="C70" s="392">
        <f>SUM(C64:C69)</f>
        <v>0</v>
      </c>
      <c r="D70" s="392">
        <f>SUM(D64:D69)</f>
        <v>0</v>
      </c>
      <c r="E70" s="392">
        <f>'Sources and Uses Budget'!S70</f>
        <v>314432</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46000</v>
      </c>
      <c r="C74" s="393"/>
      <c r="D74" s="393"/>
      <c r="E74" s="394"/>
      <c r="F74" s="394"/>
      <c r="G74" s="394"/>
      <c r="H74" s="394"/>
      <c r="I74" s="394"/>
      <c r="J74" s="394"/>
      <c r="K74" s="390"/>
    </row>
    <row r="75" spans="1:11" s="391" customFormat="1">
      <c r="A75" s="395" t="s">
        <v>612</v>
      </c>
      <c r="B75" s="392">
        <f>'Sources and Uses Budget'!C75</f>
        <v>391641</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437641</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3116913</v>
      </c>
      <c r="C79" s="393"/>
      <c r="D79" s="393"/>
      <c r="E79" s="392">
        <f>'Sources and Uses Budget'!S79</f>
        <v>3116913</v>
      </c>
      <c r="F79" s="393"/>
      <c r="G79" s="393"/>
      <c r="H79" s="392">
        <f>'Sources and Uses Budget'!T79</f>
        <v>0</v>
      </c>
      <c r="I79" s="393"/>
      <c r="J79" s="393"/>
      <c r="K79" s="390"/>
    </row>
    <row r="80" spans="1:11" s="391" customFormat="1">
      <c r="A80" s="395" t="s">
        <v>58</v>
      </c>
      <c r="B80" s="392">
        <f>'Sources and Uses Budget'!C80</f>
        <v>263574</v>
      </c>
      <c r="C80" s="393"/>
      <c r="D80" s="393"/>
      <c r="E80" s="392">
        <f>'Sources and Uses Budget'!S80</f>
        <v>263574</v>
      </c>
      <c r="F80" s="393"/>
      <c r="G80" s="393"/>
      <c r="H80" s="392">
        <f>'Sources and Uses Budget'!T80</f>
        <v>0</v>
      </c>
      <c r="I80" s="393"/>
      <c r="J80" s="393"/>
      <c r="K80" s="390"/>
    </row>
    <row r="81" spans="1:11" s="391" customFormat="1">
      <c r="A81" s="396" t="s">
        <v>1313</v>
      </c>
      <c r="B81" s="392">
        <f>'Sources and Uses Budget'!C81</f>
        <v>3380487</v>
      </c>
      <c r="C81" s="392">
        <f>SUM(C79:C80)</f>
        <v>0</v>
      </c>
      <c r="D81" s="392">
        <f>SUM(D79:D80)</f>
        <v>0</v>
      </c>
      <c r="E81" s="392">
        <f>'Sources and Uses Budget'!S81</f>
        <v>3380487</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110817</v>
      </c>
      <c r="C83" s="393"/>
      <c r="D83" s="393"/>
      <c r="E83" s="394"/>
      <c r="F83" s="394"/>
      <c r="G83" s="394"/>
      <c r="H83" s="394"/>
      <c r="I83" s="394"/>
      <c r="J83" s="394"/>
      <c r="K83" s="390"/>
    </row>
    <row r="84" spans="1:11" s="391" customFormat="1">
      <c r="A84" s="145" t="s">
        <v>775</v>
      </c>
      <c r="B84" s="392">
        <f>'Sources and Uses Budget'!C84</f>
        <v>230000</v>
      </c>
      <c r="C84" s="393"/>
      <c r="D84" s="393"/>
      <c r="E84" s="392">
        <f>'Sources and Uses Budget'!S84</f>
        <v>230000</v>
      </c>
      <c r="F84" s="393"/>
      <c r="G84" s="393"/>
      <c r="H84" s="392">
        <f>'Sources and Uses Budget'!T84</f>
        <v>0</v>
      </c>
      <c r="I84" s="393"/>
      <c r="J84" s="393"/>
      <c r="K84" s="390"/>
    </row>
    <row r="85" spans="1:11" s="391" customFormat="1">
      <c r="A85" s="145" t="s">
        <v>776</v>
      </c>
      <c r="B85" s="392">
        <f>'Sources and Uses Budget'!C85</f>
        <v>420271</v>
      </c>
      <c r="C85" s="393"/>
      <c r="D85" s="393"/>
      <c r="E85" s="392">
        <f>'Sources and Uses Budget'!S85</f>
        <v>420271</v>
      </c>
      <c r="F85" s="393"/>
      <c r="G85" s="393"/>
      <c r="H85" s="392">
        <f>'Sources and Uses Budget'!T85</f>
        <v>0</v>
      </c>
      <c r="I85" s="393"/>
      <c r="J85" s="393"/>
      <c r="K85" s="390"/>
    </row>
    <row r="86" spans="1:11" s="391" customFormat="1">
      <c r="A86" s="145" t="s">
        <v>777</v>
      </c>
      <c r="B86" s="392">
        <f>'Sources and Uses Budget'!C86</f>
        <v>1147322</v>
      </c>
      <c r="C86" s="393"/>
      <c r="D86" s="393"/>
      <c r="E86" s="392">
        <f>'Sources and Uses Budget'!S86</f>
        <v>1147322</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276000</v>
      </c>
      <c r="C88" s="393"/>
      <c r="D88" s="393"/>
      <c r="E88" s="394"/>
      <c r="F88" s="394"/>
      <c r="G88" s="394"/>
      <c r="H88" s="394"/>
      <c r="I88" s="394"/>
      <c r="J88" s="394"/>
      <c r="K88" s="390"/>
    </row>
    <row r="89" spans="1:11" s="391" customFormat="1">
      <c r="A89" s="145" t="s">
        <v>780</v>
      </c>
      <c r="B89" s="392">
        <f>'Sources and Uses Budget'!C89</f>
        <v>192000</v>
      </c>
      <c r="C89" s="393"/>
      <c r="D89" s="393"/>
      <c r="E89" s="392">
        <f>'Sources and Uses Budget'!S89</f>
        <v>192000</v>
      </c>
      <c r="F89" s="393"/>
      <c r="G89" s="393"/>
      <c r="H89" s="392">
        <f>'Sources and Uses Budget'!T89</f>
        <v>0</v>
      </c>
      <c r="I89" s="393"/>
      <c r="J89" s="393"/>
      <c r="K89" s="390"/>
    </row>
    <row r="90" spans="1:11" s="391" customFormat="1">
      <c r="A90" s="145" t="s">
        <v>781</v>
      </c>
      <c r="B90" s="392">
        <f>'Sources and Uses Budget'!C90</f>
        <v>35000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2500</v>
      </c>
      <c r="C91" s="393"/>
      <c r="D91" s="393"/>
      <c r="E91" s="392">
        <f>'Sources and Uses Budget'!S91</f>
        <v>2500</v>
      </c>
      <c r="F91" s="393"/>
      <c r="G91" s="393"/>
      <c r="H91" s="392">
        <f>'Sources and Uses Budget'!T91</f>
        <v>0</v>
      </c>
      <c r="I91" s="393"/>
      <c r="J91" s="393"/>
      <c r="K91" s="390"/>
    </row>
    <row r="92" spans="1:11" s="391" customFormat="1">
      <c r="A92" s="542" t="s">
        <v>1315</v>
      </c>
      <c r="B92" s="392">
        <f>'Sources and Uses Budget'!C92</f>
        <v>4000</v>
      </c>
      <c r="C92" s="393"/>
      <c r="D92" s="393"/>
      <c r="E92" s="392">
        <f>'Sources and Uses Budget'!S92</f>
        <v>4000</v>
      </c>
      <c r="F92" s="393"/>
      <c r="G92" s="393"/>
      <c r="H92" s="392">
        <f>'Sources and Uses Budget'!T92</f>
        <v>0</v>
      </c>
      <c r="I92" s="393"/>
      <c r="J92" s="393"/>
      <c r="K92" s="390"/>
    </row>
    <row r="93" spans="1:11" s="391" customFormat="1">
      <c r="A93" s="395" t="str">
        <f>'Sources and Uses Budget'!$A93</f>
        <v>Other: Prevailing Wage Monitor</v>
      </c>
      <c r="B93" s="392">
        <f>'Sources and Uses Budget'!C93</f>
        <v>55000</v>
      </c>
      <c r="C93" s="393"/>
      <c r="D93" s="393"/>
      <c r="E93" s="392">
        <f>'Sources and Uses Budget'!S93</f>
        <v>55000</v>
      </c>
      <c r="F93" s="393"/>
      <c r="G93" s="393"/>
      <c r="H93" s="392">
        <f>'Sources and Uses Budget'!T93</f>
        <v>0</v>
      </c>
      <c r="I93" s="393"/>
      <c r="J93" s="393"/>
      <c r="K93" s="390"/>
    </row>
    <row r="94" spans="1:11" s="391" customFormat="1">
      <c r="A94" s="395" t="str">
        <f>'Sources and Uses Budget'!$A94</f>
        <v>Other: Shoring, Acoustic, Fire</v>
      </c>
      <c r="B94" s="392">
        <f>'Sources and Uses Budget'!C94</f>
        <v>650000</v>
      </c>
      <c r="C94" s="393"/>
      <c r="D94" s="393"/>
      <c r="E94" s="392">
        <f>'Sources and Uses Budget'!S94</f>
        <v>650000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3122910</v>
      </c>
      <c r="C96" s="392">
        <f>SUM(C83:C95)</f>
        <v>0</v>
      </c>
      <c r="D96" s="392">
        <f>SUM(D83:D95)</f>
        <v>0</v>
      </c>
      <c r="E96" s="392">
        <f>'Sources and Uses Budget'!S96</f>
        <v>2701093</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81893512</v>
      </c>
      <c r="C97" s="392">
        <f>SUM(C63+C70+C77+C81+C96)</f>
        <v>0</v>
      </c>
      <c r="D97" s="392">
        <f>SUM(D63+D70+D77+D81+D96)</f>
        <v>0</v>
      </c>
      <c r="E97" s="392">
        <f>'Sources and Uses Budget'!S97</f>
        <v>75948946</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11392342</v>
      </c>
      <c r="C99" s="393"/>
      <c r="D99" s="393"/>
      <c r="E99" s="392">
        <f>'Sources and Uses Budget'!S99</f>
        <v>11392342</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11392342</v>
      </c>
      <c r="C104" s="392">
        <f>SUM(C99:C103)</f>
        <v>0</v>
      </c>
      <c r="D104" s="392">
        <f>SUM(D99:D103)</f>
        <v>0</v>
      </c>
      <c r="E104" s="392">
        <f>'Sources and Uses Budget'!S104</f>
        <v>11392342</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93285854</v>
      </c>
      <c r="C105" s="398">
        <f>SUM(C97+C104)</f>
        <v>0</v>
      </c>
      <c r="D105" s="398">
        <f>SUM(D97+D104)</f>
        <v>0</v>
      </c>
      <c r="E105" s="392">
        <f>'Sources and Uses Budget'!S105</f>
        <v>87341288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87341288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37" workbookViewId="0">
      <selection activeCell="H768" sqref="H768:I76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8" t="s">
        <v>1409</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1414</v>
      </c>
      <c r="AF7" s="1930"/>
      <c r="AG7" s="1930"/>
      <c r="AH7" s="1930"/>
      <c r="AI7" s="1930"/>
      <c r="AJ7" s="1930"/>
      <c r="AK7" s="193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598</v>
      </c>
      <c r="C13" s="2112"/>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598</v>
      </c>
      <c r="C16" s="2112"/>
      <c r="D16" s="581"/>
      <c r="E16" s="2104" t="s">
        <v>1416</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1417</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598</v>
      </c>
      <c r="C22" s="2112"/>
      <c r="D22" s="581"/>
      <c r="E22" s="2122" t="s">
        <v>1419</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1417</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598</v>
      </c>
      <c r="C25" s="2112"/>
      <c r="D25" s="581"/>
      <c r="E25" s="2040" t="s">
        <v>2346</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1417</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12" t="s">
        <v>598</v>
      </c>
      <c r="C30" s="2112"/>
      <c r="D30" s="581"/>
      <c r="E30" s="2122" t="s">
        <v>2318</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598</v>
      </c>
      <c r="C33" s="2112"/>
      <c r="D33" s="581"/>
      <c r="E33" s="2040" t="s">
        <v>2319</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598</v>
      </c>
      <c r="C39" s="2112"/>
      <c r="D39" s="1186"/>
      <c r="E39" s="2040" t="s">
        <v>2320</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598</v>
      </c>
      <c r="C46" s="2112"/>
      <c r="D46" s="574"/>
      <c r="E46" s="2040" t="s">
        <v>2325</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598</v>
      </c>
      <c r="C50" s="2112"/>
      <c r="D50" s="574"/>
      <c r="E50" s="2138" t="s">
        <v>2326</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598</v>
      </c>
      <c r="C52" s="2112"/>
      <c r="D52" s="574"/>
      <c r="E52" s="2040" t="s">
        <v>2327</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1423</v>
      </c>
      <c r="AF59" s="1930"/>
      <c r="AG59" s="1930"/>
      <c r="AH59" s="1930"/>
      <c r="AI59" s="1930"/>
      <c r="AJ59" s="1930"/>
      <c r="AK59" s="193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598</v>
      </c>
      <c r="C62" s="2112"/>
      <c r="D62" s="581" t="s">
        <v>1424</v>
      </c>
      <c r="E62" s="2104" t="s">
        <v>2328</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10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1425</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552</v>
      </c>
      <c r="C68" s="2112"/>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552</v>
      </c>
      <c r="F69" s="2112"/>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598</v>
      </c>
      <c r="F70" s="2133"/>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598</v>
      </c>
      <c r="F71" s="2133"/>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598</v>
      </c>
      <c r="F73" s="2112"/>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598</v>
      </c>
      <c r="C75" s="2112"/>
      <c r="D75" s="581" t="s">
        <v>1429</v>
      </c>
      <c r="E75" s="2040" t="s">
        <v>1928</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1414</v>
      </c>
      <c r="AF81" s="1930"/>
      <c r="AG81" s="1930"/>
      <c r="AH81" s="1930"/>
      <c r="AI81" s="1930"/>
      <c r="AJ81" s="1930"/>
      <c r="AK81" s="193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598</v>
      </c>
      <c r="C84" s="2112"/>
      <c r="D84" s="581" t="s">
        <v>1424</v>
      </c>
      <c r="E84" s="2104" t="s">
        <v>1434</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0.42417582417582411</v>
      </c>
      <c r="F87" s="2101"/>
      <c r="G87" s="2101"/>
      <c r="H87" s="2101"/>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0.16999999999999998</v>
      </c>
      <c r="F88" s="1904"/>
      <c r="G88" s="1904"/>
      <c r="H88" s="190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20</v>
      </c>
      <c r="F89" s="2117"/>
      <c r="G89" s="2117"/>
      <c r="H89" s="2117"/>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552</v>
      </c>
      <c r="C92" s="2112"/>
      <c r="D92" s="581" t="s">
        <v>1426</v>
      </c>
      <c r="E92" s="2104" t="s">
        <v>1913</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0.42417582417582411</v>
      </c>
      <c r="F97" s="2101"/>
      <c r="G97" s="2101"/>
      <c r="H97" s="2101"/>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0.27472527472527475</v>
      </c>
      <c r="F98" s="2101"/>
      <c r="G98" s="2101"/>
      <c r="H98" s="2101"/>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0.58241758241758246</v>
      </c>
      <c r="F99" s="2101"/>
      <c r="G99" s="2101"/>
      <c r="H99" s="2101"/>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1423</v>
      </c>
      <c r="AF106" s="1930"/>
      <c r="AG106" s="1930"/>
      <c r="AH106" s="1930"/>
      <c r="AI106" s="1930"/>
      <c r="AJ106" s="1930"/>
      <c r="AK106" s="1930"/>
      <c r="AL106" s="574"/>
      <c r="AM106" s="574"/>
      <c r="AN106" s="569"/>
      <c r="AO106" s="570" t="str">
        <f>Application!B718</f>
        <v>SRO/Studio</v>
      </c>
      <c r="AQ106" s="570">
        <f>Application!O718</f>
        <v>898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937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1115</v>
      </c>
    </row>
    <row r="109" spans="1:49" s="570" customFormat="1" ht="12.75" customHeight="1">
      <c r="A109" s="574"/>
      <c r="B109" s="2112" t="s">
        <v>552</v>
      </c>
      <c r="C109" s="2112"/>
      <c r="D109" s="581" t="s">
        <v>1424</v>
      </c>
      <c r="E109" s="2104" t="s">
        <v>2047</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t="str">
        <f>Application!B721</f>
        <v>3 Bedrooms</v>
      </c>
      <c r="AQ109" s="570">
        <f>Application!O721</f>
        <v>1278</v>
      </c>
      <c r="AU109" s="570" t="s">
        <v>2029</v>
      </c>
      <c r="AV109" s="629" t="s">
        <v>2030</v>
      </c>
      <c r="AW109" s="570" t="s">
        <v>2031</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f>Application!B722</f>
        <v>0</v>
      </c>
      <c r="AQ110" s="570">
        <f>Application!O722</f>
        <v>0</v>
      </c>
      <c r="AU110" s="890" t="str">
        <f>E118</f>
        <v>Studio/SRO</v>
      </c>
      <c r="AV110" s="570">
        <f t="array" ref="AV110">SUM(IF(Application!B718:F752="SRO/Studio",Application!G718:J752))</f>
        <v>28</v>
      </c>
      <c r="AW110" s="1046">
        <f>AV110/AV116</f>
        <v>0.30769230769230771</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t="str">
        <f>Application!B723</f>
        <v>SRO/Studio</v>
      </c>
      <c r="AQ111" s="570">
        <f>Application!O723</f>
        <v>1224</v>
      </c>
      <c r="AU111" s="890" t="str">
        <f>J118</f>
        <v>1-bedroom</v>
      </c>
      <c r="AV111" s="570">
        <f t="array" ref="AV111">SUM(IF(Application!B718:F752="1 Bedroom",Application!G718:J752))</f>
        <v>16</v>
      </c>
      <c r="AW111" s="1046">
        <f>AV111/AV116</f>
        <v>0.17582417582417584</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t="str">
        <f>Application!B724</f>
        <v>1 Bedroom</v>
      </c>
      <c r="AQ112" s="570">
        <f>Application!O724</f>
        <v>1286</v>
      </c>
      <c r="AU112" s="890" t="str">
        <f>O118</f>
        <v>2-bedroom</v>
      </c>
      <c r="AV112" s="570">
        <f t="array" ref="AV112">SUM(IF(Application!B718:F752="2 Bedrooms",Application!G718:J752))</f>
        <v>20</v>
      </c>
      <c r="AW112" s="1046">
        <f>AV112/AV116</f>
        <v>0.21978021978021978</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t="str">
        <f>Application!B725</f>
        <v>2 Bedrooms</v>
      </c>
      <c r="AQ113" s="570">
        <f>Application!O725</f>
        <v>1533</v>
      </c>
      <c r="AU113" s="890" t="str">
        <f>T118</f>
        <v>3-bedroom</v>
      </c>
      <c r="AV113" s="570">
        <f t="array" ref="AV113">SUM(IF(Application!B718:F752="3 Bedrooms",Application!G718:J752))</f>
        <v>27</v>
      </c>
      <c r="AW113" s="1046">
        <f>AV113/AV116</f>
        <v>0.2967032967032967</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t="str">
        <f>Application!B726</f>
        <v>3 Bedrooms</v>
      </c>
      <c r="AQ114" s="570">
        <f>Application!O726</f>
        <v>1761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t="str">
        <f>Application!B728</f>
        <v>SRO/Studio</v>
      </c>
      <c r="AQ116" s="570">
        <f>Application!O728</f>
        <v>1549</v>
      </c>
      <c r="AV116" s="570">
        <f>SUM(AV110:AV115)</f>
        <v>91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1634</v>
      </c>
    </row>
    <row r="118" spans="1:52" s="570" customFormat="1" ht="12.75" customHeight="1">
      <c r="A118" s="574"/>
      <c r="B118" s="573"/>
      <c r="C118" s="574"/>
      <c r="D118" s="574"/>
      <c r="E118" s="2100" t="s">
        <v>1698</v>
      </c>
      <c r="F118" s="2101"/>
      <c r="G118" s="2101"/>
      <c r="H118" s="2101"/>
      <c r="I118" s="611"/>
      <c r="J118" s="2101" t="s">
        <v>1742</v>
      </c>
      <c r="K118" s="2101"/>
      <c r="L118" s="2101"/>
      <c r="M118" s="2101"/>
      <c r="N118" s="611"/>
      <c r="O118" s="2101" t="s">
        <v>1743</v>
      </c>
      <c r="P118" s="2101"/>
      <c r="Q118" s="2101"/>
      <c r="R118" s="2101"/>
      <c r="S118" s="611"/>
      <c r="T118" s="2101" t="s">
        <v>1443</v>
      </c>
      <c r="U118" s="2101"/>
      <c r="V118" s="2101"/>
      <c r="W118" s="2101"/>
      <c r="X118" s="611"/>
      <c r="Y118" s="2101" t="s">
        <v>1744</v>
      </c>
      <c r="Z118" s="2101"/>
      <c r="AA118" s="2101"/>
      <c r="AB118" s="2101"/>
      <c r="AC118" s="611"/>
      <c r="AD118" s="2101" t="s">
        <v>1745</v>
      </c>
      <c r="AE118" s="2101"/>
      <c r="AF118" s="2101"/>
      <c r="AG118" s="2101"/>
      <c r="AH118" s="611"/>
      <c r="AI118" s="611"/>
      <c r="AJ118" s="613"/>
      <c r="AK118" s="574"/>
      <c r="AL118" s="574"/>
      <c r="AM118" s="574"/>
      <c r="AN118" s="569"/>
      <c r="AO118" s="570" t="str">
        <f>Application!B730</f>
        <v>2 Bedrooms</v>
      </c>
      <c r="AQ118" s="570">
        <f>Application!O730</f>
        <v>1951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2244</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v>2661</v>
      </c>
      <c r="F121" s="2103"/>
      <c r="G121" s="2103"/>
      <c r="H121" s="2103"/>
      <c r="I121" s="898"/>
      <c r="J121" s="2103">
        <v>3697</v>
      </c>
      <c r="K121" s="2103"/>
      <c r="L121" s="2103"/>
      <c r="M121" s="2103"/>
      <c r="N121" s="898"/>
      <c r="O121" s="2103">
        <v>4167</v>
      </c>
      <c r="P121" s="2103"/>
      <c r="Q121" s="2103"/>
      <c r="R121" s="2103"/>
      <c r="S121" s="898"/>
      <c r="T121" s="2103">
        <v>6048</v>
      </c>
      <c r="U121" s="2103"/>
      <c r="V121" s="2103"/>
      <c r="W121" s="2103"/>
      <c r="X121" s="898"/>
      <c r="Y121" s="2103"/>
      <c r="Z121" s="2103"/>
      <c r="AA121" s="2103"/>
      <c r="AB121" s="2103"/>
      <c r="AC121" s="898"/>
      <c r="AD121" s="2103"/>
      <c r="AE121" s="2103"/>
      <c r="AF121" s="2103"/>
      <c r="AG121" s="2103"/>
      <c r="AH121" s="611"/>
      <c r="AI121" s="611"/>
      <c r="AJ121" s="613"/>
      <c r="AK121" s="574"/>
      <c r="AL121" s="574"/>
      <c r="AM121" s="574"/>
      <c r="AN121" s="569"/>
      <c r="AO121" s="570" t="str">
        <f>Application!B733</f>
        <v>1 Bedroom</v>
      </c>
      <c r="AQ121" s="570">
        <f>Application!O733</f>
        <v>1983</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2369</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2727</v>
      </c>
      <c r="AU123" s="1044"/>
      <c r="AV123" s="1044"/>
      <c r="AW123" s="1044"/>
      <c r="AX123" s="1044"/>
      <c r="AY123" s="1044"/>
      <c r="AZ123" s="1044"/>
    </row>
    <row r="124" spans="1:52" s="570" customFormat="1" ht="12.75" customHeight="1">
      <c r="A124" s="574"/>
      <c r="B124" s="573"/>
      <c r="C124" s="574"/>
      <c r="D124" s="574"/>
      <c r="E124" s="2110">
        <f>Application!DX670</f>
        <v>1223.7142857142858</v>
      </c>
      <c r="F124" s="2111"/>
      <c r="G124" s="2111"/>
      <c r="H124" s="2111"/>
      <c r="I124" s="898"/>
      <c r="J124" s="2111">
        <f>Application!EC670</f>
        <v>1372.875</v>
      </c>
      <c r="K124" s="2111"/>
      <c r="L124" s="2111"/>
      <c r="M124" s="2111"/>
      <c r="N124" s="898"/>
      <c r="O124" s="2111">
        <f>Application!EH670</f>
        <v>1658.3999999999999</v>
      </c>
      <c r="P124" s="2111"/>
      <c r="Q124" s="2111"/>
      <c r="R124" s="2111"/>
      <c r="S124" s="902"/>
      <c r="T124" s="2111">
        <f>Application!EM670</f>
        <v>1975.6666666666665</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f>(E121-E124)/E121</f>
        <v>0.54012991893487949</v>
      </c>
      <c r="F127" s="1904"/>
      <c r="G127" s="1904"/>
      <c r="H127" s="1905"/>
      <c r="I127" s="611"/>
      <c r="J127" s="1903">
        <f>(J121-J124)/J121</f>
        <v>0.62865160941303755</v>
      </c>
      <c r="K127" s="1904"/>
      <c r="L127" s="1904"/>
      <c r="M127" s="1905"/>
      <c r="N127" s="611"/>
      <c r="O127" s="1903">
        <f>(O121-O124)/O121</f>
        <v>0.60201583873290143</v>
      </c>
      <c r="P127" s="1904"/>
      <c r="Q127" s="1904"/>
      <c r="R127" s="1905"/>
      <c r="S127" s="611"/>
      <c r="T127" s="1903">
        <f>(T121-T124)/T121</f>
        <v>0.67333553791887124</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f>IF(((E127-0.1)*AW110)&gt;0,((E127-0.1)*AW110),0)</f>
        <v>0.1354245904415014</v>
      </c>
      <c r="F130" s="2114"/>
      <c r="G130" s="2114"/>
      <c r="H130" s="2115"/>
      <c r="I130" s="611"/>
      <c r="J130" s="2113">
        <f>IF(((J127-0.1)*AW111)&gt;0,((J127-0.1)*AW111),0)</f>
        <v>9.2949733523171443E-2</v>
      </c>
      <c r="K130" s="2114"/>
      <c r="L130" s="2114"/>
      <c r="M130" s="2115"/>
      <c r="N130" s="611"/>
      <c r="O130" s="2113">
        <f>IF(((O127-0.1)*AW112)&gt;0,((O127-0.1)*AW112),0)</f>
        <v>0.11033315136986845</v>
      </c>
      <c r="P130" s="2114"/>
      <c r="Q130" s="2114"/>
      <c r="R130" s="2115"/>
      <c r="S130" s="611"/>
      <c r="T130" s="2113">
        <f>IF(((T127-0.1)*AW113)&gt;0,((T127-0.1)*AW113),0)</f>
        <v>0.17011054421768707</v>
      </c>
      <c r="U130" s="2114"/>
      <c r="V130" s="2114"/>
      <c r="W130" s="2115"/>
      <c r="X130" s="611"/>
      <c r="Y130" s="2113" t="e">
        <f>IF(((Y127-0.1)*AW114)&gt;0,((Y127-0.1)*AW114),0)</f>
        <v>#DIV/0!</v>
      </c>
      <c r="Z130" s="2114"/>
      <c r="AA130" s="2114"/>
      <c r="AB130" s="2115"/>
      <c r="AC130" s="611"/>
      <c r="AD130" s="2113" t="e">
        <f>IF(((AD127-0.1)*AW115)&gt;0,((AD127-0.1)*AW115),0)</f>
        <v>#DIV/0!</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0.5</v>
      </c>
      <c r="F132" s="1904"/>
      <c r="G132" s="1904"/>
      <c r="H132" s="190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30" t="s">
        <v>1423</v>
      </c>
      <c r="AF140" s="1930"/>
      <c r="AG140" s="1930"/>
      <c r="AH140" s="1930"/>
      <c r="AI140" s="1930"/>
      <c r="AJ140" s="1930"/>
      <c r="AK140" s="193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1447</v>
      </c>
      <c r="AG142" s="1997"/>
      <c r="AH142" s="1997"/>
      <c r="AI142" s="1997"/>
      <c r="AJ142" s="1997"/>
      <c r="AK142" s="1997"/>
      <c r="AL142" s="1997"/>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2754</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92" t="s">
        <v>1450</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33" t="s">
        <v>598</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92" t="s">
        <v>1452</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1461</v>
      </c>
      <c r="AG157" s="1997"/>
      <c r="AH157" s="1997"/>
      <c r="AI157" s="1997"/>
      <c r="AJ157" s="1997"/>
      <c r="AK157" s="1997"/>
      <c r="AL157" s="199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1459</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598</v>
      </c>
      <c r="AG161" s="2033"/>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92" t="s">
        <v>1452</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91" t="s">
        <v>2769</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1423</v>
      </c>
      <c r="AF175" s="1930"/>
      <c r="AG175" s="1930"/>
      <c r="AH175" s="1930"/>
      <c r="AI175" s="1930"/>
      <c r="AJ175" s="1930"/>
      <c r="AK175" s="1930"/>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9" t="s">
        <v>1063</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1472</v>
      </c>
      <c r="AG177" s="1997"/>
      <c r="AH177" s="1997"/>
      <c r="AI177" s="1997"/>
      <c r="AJ177" s="1997"/>
      <c r="AK177" s="1997"/>
      <c r="AL177" s="1997"/>
      <c r="AN177" s="631"/>
      <c r="AP177" s="584" t="s">
        <v>1065</v>
      </c>
      <c r="AQ177" s="584">
        <v>10</v>
      </c>
    </row>
    <row r="178" spans="1:45" s="584" customFormat="1" ht="12.75" customHeight="1">
      <c r="A178" s="570"/>
      <c r="B178" s="2090" t="s">
        <v>1914</v>
      </c>
      <c r="C178" s="2090"/>
      <c r="D178" s="2090"/>
      <c r="E178" s="2090"/>
      <c r="F178" s="2090"/>
      <c r="G178" s="2090"/>
      <c r="H178" s="2090"/>
      <c r="I178" s="2090"/>
      <c r="J178" s="2090"/>
      <c r="K178" s="2090"/>
      <c r="L178" s="2090"/>
      <c r="M178" s="2090"/>
      <c r="N178" s="2090"/>
      <c r="O178" s="2090"/>
      <c r="P178" s="2090"/>
      <c r="Q178" s="2090"/>
      <c r="R178" s="2090"/>
      <c r="S178" s="2090"/>
      <c r="T178" s="2091" t="s">
        <v>598</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4">
        <f>IF(AK78&gt;0,VLOOKUP($B$177,AP174:AQ180,2,FALSE),0)</f>
        <v>10</v>
      </c>
      <c r="AL180" s="1925"/>
      <c r="AM180" s="192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1481</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
        <v>2559</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v>22000000</v>
      </c>
      <c r="AE188" s="2073"/>
      <c r="AF188" s="2073"/>
      <c r="AG188" s="2073"/>
      <c r="AH188" s="2073"/>
      <c r="AI188" s="2073"/>
      <c r="AJ188" s="2073"/>
      <c r="AK188" s="644"/>
    </row>
    <row r="189" spans="1:45">
      <c r="A189" s="639"/>
      <c r="B189" s="2083" t="s">
        <v>2720</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v>1317000</v>
      </c>
      <c r="AE189" s="2073"/>
      <c r="AF189" s="2073"/>
      <c r="AG189" s="2073"/>
      <c r="AH189" s="2073"/>
      <c r="AI189" s="2073"/>
      <c r="AJ189" s="2073"/>
      <c r="AK189" s="644"/>
    </row>
    <row r="190" spans="1:45">
      <c r="A190" s="639"/>
      <c r="B190" s="2083" t="s">
        <v>2721</v>
      </c>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v>7760753</v>
      </c>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1737</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0</v>
      </c>
      <c r="AE198" s="2071"/>
      <c r="AF198" s="2071"/>
      <c r="AG198" s="2071"/>
      <c r="AH198" s="2071"/>
      <c r="AI198" s="2071"/>
      <c r="AJ198" s="2071"/>
      <c r="AK198" s="644"/>
    </row>
    <row r="199" spans="1:37">
      <c r="A199" s="639"/>
      <c r="B199" s="1942" t="s">
        <v>1700</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7">
        <f>SUM(AD188:AJ198)-AD199</f>
        <v>31077753</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1717</v>
      </c>
      <c r="J211" s="2096"/>
      <c r="K211" s="2096"/>
      <c r="L211" s="570"/>
      <c r="M211" s="570"/>
      <c r="N211" s="570"/>
      <c r="O211" s="570"/>
      <c r="P211" s="570"/>
      <c r="Q211" s="570"/>
      <c r="R211" s="570"/>
      <c r="S211" s="570"/>
      <c r="T211" s="1908" t="s">
        <v>1711</v>
      </c>
      <c r="U211" s="1908"/>
      <c r="V211" s="1908"/>
      <c r="W211" s="1908"/>
      <c r="X211" s="1908"/>
      <c r="Y211" s="1908"/>
      <c r="Z211" s="883"/>
      <c r="AA211" s="523"/>
      <c r="AB211" s="2093" t="s">
        <v>1712</v>
      </c>
      <c r="AC211" s="2093"/>
      <c r="AD211" s="2093"/>
      <c r="AE211" s="2093"/>
      <c r="AF211" s="2093"/>
      <c r="AG211" s="2093"/>
      <c r="AH211" s="861"/>
      <c r="AI211" s="861"/>
      <c r="AJ211" s="861"/>
      <c r="AK211" s="644"/>
    </row>
    <row r="212" spans="1:37">
      <c r="A212" s="639"/>
      <c r="B212" s="2094" t="s">
        <v>1697</v>
      </c>
      <c r="C212" s="2094"/>
      <c r="D212" s="2094"/>
      <c r="E212" s="2094"/>
      <c r="F212" s="2094"/>
      <c r="G212" s="2094"/>
      <c r="I212" s="2095" t="s">
        <v>1718</v>
      </c>
      <c r="J212" s="2095"/>
      <c r="K212" s="2095"/>
      <c r="L212" s="1043"/>
      <c r="N212" s="1943" t="s">
        <v>1713</v>
      </c>
      <c r="O212" s="1943"/>
      <c r="P212" s="1943"/>
      <c r="Q212" s="1943"/>
      <c r="R212" s="1943"/>
      <c r="T212" s="1943" t="s">
        <v>1714</v>
      </c>
      <c r="U212" s="1943"/>
      <c r="V212" s="1943"/>
      <c r="W212" s="1943"/>
      <c r="X212" s="1943"/>
      <c r="Y212" s="1943"/>
      <c r="Z212" s="884"/>
      <c r="AA212" s="523"/>
      <c r="AB212" s="1946" t="s">
        <v>1715</v>
      </c>
      <c r="AC212" s="1946"/>
      <c r="AD212" s="1946"/>
      <c r="AE212" s="1946"/>
      <c r="AF212" s="1946"/>
      <c r="AG212" s="1946"/>
      <c r="AH212" s="861"/>
      <c r="AI212" s="861"/>
      <c r="AJ212" s="861"/>
      <c r="AK212" s="644"/>
    </row>
    <row r="213" spans="1:37">
      <c r="A213" s="639"/>
      <c r="B213" s="1945" t="s">
        <v>1288</v>
      </c>
      <c r="C213" s="1945"/>
      <c r="D213" s="1945"/>
      <c r="E213" s="1945"/>
      <c r="F213" s="1945"/>
      <c r="G213" s="1945"/>
      <c r="H213" s="886"/>
      <c r="I213" s="1913"/>
      <c r="J213" s="1913"/>
      <c r="K213" s="1913"/>
      <c r="L213" s="1043"/>
      <c r="N213" s="1910"/>
      <c r="O213" s="1910"/>
      <c r="P213" s="1910"/>
      <c r="Q213" s="1910"/>
      <c r="R213" s="1910"/>
      <c r="T213" s="1909"/>
      <c r="U213" s="1909"/>
      <c r="V213" s="1909"/>
      <c r="W213" s="1909"/>
      <c r="X213" s="1909"/>
      <c r="Y213" s="1909"/>
      <c r="Z213" s="885"/>
      <c r="AA213" s="885"/>
      <c r="AB213" s="1907">
        <f t="shared" ref="AB213:AB222" si="0">MAX(($T213-$N213)*$I213*12,0)</f>
        <v>0</v>
      </c>
      <c r="AC213" s="1907"/>
      <c r="AD213" s="1907"/>
      <c r="AE213" s="1907"/>
      <c r="AF213" s="1907"/>
      <c r="AG213" s="1907"/>
      <c r="AH213" s="861"/>
      <c r="AI213" s="861"/>
      <c r="AJ213" s="861"/>
      <c r="AK213" s="644"/>
    </row>
    <row r="214" spans="1:37">
      <c r="A214" s="639"/>
      <c r="B214" s="1945" t="s">
        <v>1288</v>
      </c>
      <c r="C214" s="1945"/>
      <c r="D214" s="1945"/>
      <c r="E214" s="1945"/>
      <c r="F214" s="1945"/>
      <c r="G214" s="1945"/>
      <c r="I214" s="1913"/>
      <c r="J214" s="1913"/>
      <c r="K214" s="1913"/>
      <c r="L214" s="1043"/>
      <c r="N214" s="1910"/>
      <c r="O214" s="1910"/>
      <c r="P214" s="1910"/>
      <c r="Q214" s="1910"/>
      <c r="R214" s="1910"/>
      <c r="T214" s="1909"/>
      <c r="U214" s="1909"/>
      <c r="V214" s="1909"/>
      <c r="W214" s="1909"/>
      <c r="X214" s="1909"/>
      <c r="Y214" s="1909"/>
      <c r="Z214" s="885"/>
      <c r="AA214" s="885"/>
      <c r="AB214" s="1907">
        <f t="shared" si="0"/>
        <v>0</v>
      </c>
      <c r="AC214" s="1907"/>
      <c r="AD214" s="1907"/>
      <c r="AE214" s="1907"/>
      <c r="AF214" s="1907"/>
      <c r="AG214" s="1907"/>
      <c r="AH214" s="861"/>
      <c r="AI214" s="861"/>
      <c r="AJ214" s="861"/>
      <c r="AK214" s="644"/>
    </row>
    <row r="215" spans="1:37">
      <c r="A215" s="639"/>
      <c r="B215" s="1945" t="s">
        <v>1288</v>
      </c>
      <c r="C215" s="1945"/>
      <c r="D215" s="1945"/>
      <c r="E215" s="1945"/>
      <c r="F215" s="1945"/>
      <c r="G215" s="1945"/>
      <c r="I215" s="1913"/>
      <c r="J215" s="1913"/>
      <c r="K215" s="1913"/>
      <c r="L215" s="1043"/>
      <c r="N215" s="1910"/>
      <c r="O215" s="1910"/>
      <c r="P215" s="1910"/>
      <c r="Q215" s="1910"/>
      <c r="R215" s="1910"/>
      <c r="T215" s="1909"/>
      <c r="U215" s="1909"/>
      <c r="V215" s="1909"/>
      <c r="W215" s="1909"/>
      <c r="X215" s="1909"/>
      <c r="Y215" s="1909"/>
      <c r="Z215" s="885"/>
      <c r="AA215" s="885"/>
      <c r="AB215" s="1907">
        <f t="shared" si="0"/>
        <v>0</v>
      </c>
      <c r="AC215" s="1907"/>
      <c r="AD215" s="1907"/>
      <c r="AE215" s="1907"/>
      <c r="AF215" s="1907"/>
      <c r="AG215" s="1907"/>
      <c r="AH215" s="861"/>
      <c r="AI215" s="861"/>
      <c r="AJ215" s="861"/>
      <c r="AK215" s="644"/>
    </row>
    <row r="216" spans="1:37">
      <c r="A216" s="639"/>
      <c r="B216" s="1945" t="s">
        <v>1288</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1288</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1288</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1288</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1288</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1288</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1288</v>
      </c>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7">
        <f>SUM(AB213:AB222)</f>
        <v>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0</v>
      </c>
      <c r="AC239" s="1907"/>
      <c r="AD239" s="1907"/>
      <c r="AE239" s="1907"/>
      <c r="AF239" s="1907"/>
      <c r="AG239" s="1907"/>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0</v>
      </c>
      <c r="AC241" s="2082"/>
      <c r="AD241" s="2082"/>
      <c r="AE241" s="2082"/>
      <c r="AF241" s="2082"/>
      <c r="AG241" s="208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0</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0</v>
      </c>
      <c r="AC249" s="2075"/>
      <c r="AD249" s="2075"/>
      <c r="AE249" s="2075"/>
      <c r="AF249" s="2075"/>
      <c r="AG249" s="20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31077753</v>
      </c>
      <c r="AH257" s="1921"/>
      <c r="AI257" s="1921"/>
      <c r="AJ257" s="1921"/>
      <c r="AK257" s="1921"/>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93285854</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0.33</v>
      </c>
      <c r="AH259" s="2070"/>
      <c r="AI259" s="2070"/>
      <c r="AJ259" s="2070"/>
      <c r="AK259" s="207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9">
        <f>IFERROR(IF(AG259=0,0,IF((AG259*100)&gt;8,8,(AG259*100))),0)</f>
        <v>8</v>
      </c>
      <c r="AL262" s="2059"/>
      <c r="AM262" s="206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9" t="s">
        <v>552</v>
      </c>
      <c r="D267" s="1939"/>
      <c r="E267" s="581"/>
      <c r="F267" s="1890" t="s">
        <v>2337</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1472</v>
      </c>
      <c r="AH267" s="2068"/>
      <c r="AI267" s="2068"/>
      <c r="AJ267" s="2068"/>
      <c r="AK267" s="584"/>
      <c r="AL267" s="584"/>
      <c r="AM267" s="584"/>
      <c r="AO267" s="584"/>
    </row>
    <row r="268" spans="1:52" ht="13.7"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7"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9">
        <f>IF($C$267="yes",10,0)</f>
        <v>10</v>
      </c>
      <c r="AL274" s="2059"/>
      <c r="AM274" s="206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1" t="s">
        <v>1491</v>
      </c>
      <c r="B281" s="1631"/>
      <c r="C281" s="2033" t="s">
        <v>598</v>
      </c>
      <c r="D281" s="1939"/>
      <c r="E281" s="581"/>
      <c r="F281" s="2061" t="s">
        <v>1492</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2330</v>
      </c>
      <c r="AH281" s="2064"/>
      <c r="AI281" s="2064"/>
      <c r="AJ281" s="2064"/>
      <c r="AK281" s="2064"/>
      <c r="AL281" s="584"/>
      <c r="AM281" s="584"/>
      <c r="AN281" s="73"/>
      <c r="AO281" s="14"/>
      <c r="AP281" s="30"/>
      <c r="AS281" s="604"/>
      <c r="AT281" s="604"/>
      <c r="AU281" s="604"/>
      <c r="AV281" s="32"/>
      <c r="AW281" s="32"/>
    </row>
    <row r="282" spans="1:49">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6" t="s">
        <v>2338</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1493</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1494</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1" t="s">
        <v>1495</v>
      </c>
      <c r="B291" s="1631"/>
      <c r="C291" s="1939" t="s">
        <v>552</v>
      </c>
      <c r="D291" s="193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3" t="s">
        <v>2332</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1" t="s">
        <v>1498</v>
      </c>
      <c r="B299" s="1631"/>
      <c r="C299" s="1939" t="s">
        <v>598</v>
      </c>
      <c r="D299" s="193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6" t="s">
        <v>2339</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1288</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1288</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52" t="s">
        <v>1288</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2" t="s">
        <v>1288</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31" t="s">
        <v>1501</v>
      </c>
      <c r="B322" s="1631"/>
      <c r="C322" s="1939" t="s">
        <v>598</v>
      </c>
      <c r="D322" s="1939"/>
      <c r="E322" s="581"/>
      <c r="F322" s="2040" t="s">
        <v>2340</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4">
        <f>IF(NOT(OR(Application!M355="Yes",Application!M356="Yes")),0,AP284)</f>
        <v>9</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30" t="s">
        <v>1423</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1563</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6"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2407</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2571</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1564</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35"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85"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5</v>
      </c>
      <c r="AS346" s="573" t="s">
        <v>1565</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10</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0</v>
      </c>
      <c r="AS348" s="573" t="s">
        <v>1566</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5</v>
      </c>
      <c r="AS349" s="1899">
        <f>IF(AND(AQ355&gt;0,AQ364&gt;0),(AQ355+AQ364)/2,0)</f>
        <v>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588</v>
      </c>
      <c r="AP350" s="730">
        <f>IF(C396="Yes",5,0)</f>
        <v>0</v>
      </c>
      <c r="AS350" s="573" t="s">
        <v>2068</v>
      </c>
    </row>
    <row r="351" spans="1:46" s="584" customFormat="1" ht="12.75" customHeight="1">
      <c r="A351" s="637"/>
      <c r="B351" s="645"/>
      <c r="C351" s="2028" t="s">
        <v>1567</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1899">
        <f>IF(AQ355=0,AQ364,AQ355)</f>
        <v>10</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771</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591</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6"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1937">
        <f>IF(AP355&gt;0,AP355,0)</f>
        <v>10</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4" t="s">
        <v>1568</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463</v>
      </c>
      <c r="AP358" s="730">
        <f>IF(C431="Yes",5,0)</f>
        <v>0</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468</v>
      </c>
      <c r="AP359" s="730">
        <f>IF(C438="Yes",5,0)</f>
        <v>0</v>
      </c>
    </row>
    <row r="360" spans="1:81" s="584" customFormat="1" ht="68.099999999999994"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5">
        <f>Application!CS660-U363</f>
        <v>165</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6">
        <f>Application!AG756</f>
        <v>0</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7">
        <f>IF(AP364&gt;0,AP364,0)</f>
        <v>0</v>
      </c>
      <c r="AR364" s="1937"/>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8" t="s">
        <v>1570</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552</v>
      </c>
      <c r="D370" s="193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1572</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8" t="s">
        <v>1573</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598</v>
      </c>
      <c r="D378" s="193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1572</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8" t="s">
        <v>1575</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598</v>
      </c>
      <c r="D386" s="193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1577</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552</v>
      </c>
      <c r="D388" s="193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1572</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8" t="s">
        <v>1581</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598</v>
      </c>
      <c r="D396" s="193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1572</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598</v>
      </c>
      <c r="D398" s="193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1584</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598</v>
      </c>
      <c r="D401" s="1939"/>
      <c r="E401" s="749" t="s">
        <v>1585</v>
      </c>
      <c r="F401" s="1928" t="s">
        <v>1586</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1572</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8" t="s">
        <v>1588</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598</v>
      </c>
      <c r="D410" s="193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1572</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598</v>
      </c>
      <c r="D412" s="193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1584</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8" t="s">
        <v>1592</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6"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598</v>
      </c>
      <c r="D419" s="193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1572</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1928" t="s">
        <v>1595</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598</v>
      </c>
      <c r="D431" s="193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1572</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8" t="s">
        <v>1598</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598</v>
      </c>
      <c r="D438" s="193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1572</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598</v>
      </c>
      <c r="D442" s="2057"/>
      <c r="E442" s="749" t="s">
        <v>1607</v>
      </c>
      <c r="F442" s="1928" t="s">
        <v>1608</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1572</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850000000000001"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598</v>
      </c>
      <c r="D446" s="1939"/>
      <c r="E446" s="749" t="s">
        <v>1613</v>
      </c>
      <c r="F446" s="1928" t="s">
        <v>1614</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1572</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8" t="s">
        <v>1617</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598</v>
      </c>
      <c r="D455" s="193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1572</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4">
        <f>IF(Application!D214="N/A",AS347,AS349)</f>
        <v>10</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1927" t="s">
        <v>1621</v>
      </c>
      <c r="AF461" s="1927"/>
      <c r="AG461" s="1927"/>
      <c r="AH461" s="1927"/>
      <c r="AI461" s="1927"/>
      <c r="AJ461" s="1927"/>
      <c r="AK461" s="192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4" t="s">
        <v>598</v>
      </c>
      <c r="D467" s="2005"/>
      <c r="E467" s="795" t="s">
        <v>514</v>
      </c>
      <c r="F467" s="2025" t="s">
        <v>1627</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20" t="s">
        <v>598</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1" t="s">
        <v>552</v>
      </c>
      <c r="D471" s="2022"/>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3" t="s">
        <v>598</v>
      </c>
      <c r="W474" s="1933"/>
      <c r="X474" s="193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3" t="s">
        <v>598</v>
      </c>
      <c r="W476" s="1933"/>
      <c r="X476" s="193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3" t="s">
        <v>598</v>
      </c>
      <c r="W481" s="1933"/>
      <c r="X481" s="193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7"/>
      <c r="E484" s="200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3" t="s">
        <v>598</v>
      </c>
      <c r="W485" s="1933"/>
      <c r="X485" s="193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3" t="s">
        <v>598</v>
      </c>
      <c r="W487" s="1933"/>
      <c r="X487" s="193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598</v>
      </c>
      <c r="D490" s="2005"/>
      <c r="E490" s="795" t="s">
        <v>514</v>
      </c>
      <c r="F490" s="2025" t="s">
        <v>1627</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598</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598</v>
      </c>
      <c r="D494" s="2005"/>
      <c r="E494" s="795" t="s">
        <v>765</v>
      </c>
      <c r="F494" s="2013" t="s">
        <v>1649</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5" t="s">
        <v>598</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4" t="s">
        <v>598</v>
      </c>
      <c r="D499" s="2005"/>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6"/>
      <c r="D501" s="200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598</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598</v>
      </c>
      <c r="D504" s="2010"/>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598</v>
      </c>
      <c r="D508" s="2010"/>
      <c r="F508" s="829" t="s">
        <v>1657</v>
      </c>
      <c r="G508" s="1929" t="s">
        <v>1658</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598</v>
      </c>
      <c r="D512" s="201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598</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1670</v>
      </c>
      <c r="AF527" s="1930"/>
      <c r="AG527" s="1930"/>
      <c r="AH527" s="1930"/>
      <c r="AI527" s="1930"/>
      <c r="AJ527" s="1930"/>
      <c r="AK527" s="193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552</v>
      </c>
      <c r="D530" s="1939"/>
      <c r="E530" s="585"/>
      <c r="F530" s="1998" t="s">
        <v>1671</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598</v>
      </c>
      <c r="D533" s="193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1673</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1674</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85326604</v>
      </c>
      <c r="AQ539" s="1911"/>
      <c r="AR539" s="1911"/>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87341288</v>
      </c>
      <c r="AG540" s="1921"/>
      <c r="AH540" s="1921"/>
      <c r="AI540" s="1921"/>
      <c r="AJ540" s="1921"/>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191984859.19999999</v>
      </c>
      <c r="AG541" s="1922"/>
      <c r="AH541" s="1922"/>
      <c r="AI541" s="1922"/>
      <c r="AJ541" s="1922"/>
      <c r="AK541" s="629"/>
      <c r="AL541" s="629"/>
      <c r="AM541" s="629"/>
      <c r="AN541" s="631"/>
      <c r="AP541" s="1911">
        <f>Application!AJ1044</f>
        <v>49489430.32</v>
      </c>
      <c r="AQ541" s="1911"/>
      <c r="AR541" s="191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0.54</v>
      </c>
      <c r="AG542" s="1923"/>
      <c r="AH542" s="1923"/>
      <c r="AI542" s="1923"/>
      <c r="AJ542" s="1923"/>
      <c r="AK542" s="629"/>
      <c r="AL542" s="629"/>
      <c r="AM542" s="629"/>
      <c r="AN542" s="631"/>
      <c r="AP542" s="1912">
        <f>Application!AJ1048</f>
        <v>46076366.160000004</v>
      </c>
      <c r="AQ542" s="1912"/>
      <c r="AR542" s="1912"/>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0.8</v>
      </c>
      <c r="AQ543" s="1931"/>
      <c r="AR543" s="1931"/>
      <c r="AS543" s="584" t="s">
        <v>2534</v>
      </c>
    </row>
    <row r="544" spans="1:49" s="584" customFormat="1" ht="12.75" customHeight="1">
      <c r="A544" s="658"/>
      <c r="B544" s="1977" t="s">
        <v>2344</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123723576</v>
      </c>
      <c r="AQ545" s="1932"/>
      <c r="AR545" s="1932"/>
      <c r="AS545" s="584" t="s">
        <v>2536</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219289372.47999999</v>
      </c>
      <c r="AQ546" s="1911"/>
      <c r="AR546" s="1911"/>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6">
        <f>IFERROR(IF(AND(C530="N/A",C533="N/A"),0,IF(AF542=0,0,IF((AF542*100)&gt;12,12,(AF542*100)))),0)</f>
        <v>12</v>
      </c>
      <c r="AL548" s="1986"/>
      <c r="AM548" s="1987"/>
      <c r="AN548" s="631"/>
      <c r="AP548" s="1900">
        <f>AP545+(AP539*AP543)</f>
        <v>191984859.19999999</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1423</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2335</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1447</v>
      </c>
      <c r="AG567" s="1997"/>
      <c r="AH567" s="1997"/>
      <c r="AI567" s="1997"/>
      <c r="AJ567" s="1997"/>
      <c r="AK567" s="1997"/>
      <c r="AL567" s="199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1505</v>
      </c>
      <c r="AG574" s="1997"/>
      <c r="AH574" s="1997"/>
      <c r="AI574" s="1997"/>
      <c r="AJ574" s="1997"/>
      <c r="AK574" s="1997"/>
      <c r="AL574" s="199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1487</v>
      </c>
      <c r="AG580" s="1997"/>
      <c r="AH580" s="1997"/>
      <c r="AI580" s="1997"/>
      <c r="AJ580" s="1997"/>
      <c r="AK580" s="1997"/>
      <c r="AL580" s="199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1508</v>
      </c>
      <c r="AG586" s="1997"/>
      <c r="AH586" s="1997"/>
      <c r="AI586" s="1997"/>
      <c r="AJ586" s="1997"/>
      <c r="AK586" s="1997"/>
      <c r="AL586" s="199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36" t="s">
        <v>1288</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1461</v>
      </c>
      <c r="AG592" s="1997"/>
      <c r="AH592" s="1997"/>
      <c r="AI592" s="1997"/>
      <c r="AJ592" s="1997"/>
      <c r="AK592" s="1997"/>
      <c r="AL592" s="199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1941" t="s">
        <v>695</v>
      </c>
      <c r="I595" s="1941"/>
      <c r="J595" s="971"/>
      <c r="K595" s="971"/>
      <c r="L595" s="971"/>
      <c r="N595" s="22"/>
      <c r="O595" s="22"/>
      <c r="P595" s="22"/>
      <c r="Q595" s="1195" t="s">
        <v>2539</v>
      </c>
      <c r="R595" s="2037"/>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35" t="s">
        <v>598</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3" t="s">
        <v>598</v>
      </c>
      <c r="C605" s="2033"/>
      <c r="D605" s="676"/>
      <c r="E605" s="1917" t="s">
        <v>1512</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4">
        <f>VLOOKUP($H$595,$AO$575:$AP$580,2,FALSE)+IF(R595=AO583,0,VLOOKUP($I$603,$AO$602:$AP$604,2,FALSE))</f>
        <v>7</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4" t="s">
        <v>1882</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1461</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3" t="s">
        <v>598</v>
      </c>
      <c r="Y623" s="2033"/>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1517</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41" t="s">
        <v>695</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4">
        <f>VLOOKUP($H$627,$AO$594:$AP$596,2,FALSE)</f>
        <v>3</v>
      </c>
      <c r="AK629" s="192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7" t="s">
        <v>2414</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1461</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1517</v>
      </c>
      <c r="AG636" s="1997"/>
      <c r="AH636" s="1997"/>
      <c r="AI636" s="1997"/>
      <c r="AJ636" s="1997"/>
      <c r="AK636" s="1997"/>
      <c r="AL636" s="199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41" t="s">
        <v>695</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4">
        <f>VLOOKUP(H639,AT594:AU596,2,FALSE)</f>
        <v>3</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7" t="s">
        <v>1527</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1487</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7" t="s">
        <v>1528</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1508</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1529</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1461</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598</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1917" t="s">
        <v>1530</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1508</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7" t="s">
        <v>1531</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1461</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7" t="s">
        <v>1532</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1517</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1917" t="s">
        <v>1533</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1534</v>
      </c>
      <c r="AG670" s="1997"/>
      <c r="AH670" s="1997"/>
      <c r="AI670" s="1997"/>
      <c r="AJ670" s="1997"/>
      <c r="AK670" s="1997"/>
      <c r="AL670" s="1997"/>
      <c r="AM670" s="630"/>
      <c r="AN670" s="631"/>
      <c r="AO670" s="645" t="s">
        <v>695</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41" t="s">
        <v>695</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4">
        <f>VLOOKUP($H$674,$AO$622:$AP$629,2,FALSE)</f>
        <v>5</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91</v>
      </c>
    </row>
    <row r="680" spans="1:51" s="584" customFormat="1" ht="12.75" customHeight="1">
      <c r="A680" s="713"/>
      <c r="B680" s="570"/>
      <c r="C680" s="983"/>
      <c r="D680" s="697" t="s">
        <v>695</v>
      </c>
      <c r="E680" s="2032" t="s">
        <v>2552</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1461</v>
      </c>
      <c r="AG680" s="1997"/>
      <c r="AH680" s="1997"/>
      <c r="AI680" s="1997"/>
      <c r="AJ680" s="1997"/>
      <c r="AK680" s="1997"/>
      <c r="AL680" s="1997"/>
      <c r="AN680" s="631"/>
      <c r="AW680" s="22" t="s">
        <v>2547</v>
      </c>
      <c r="AX680" s="584">
        <f>Application!CC632</f>
        <v>27</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516</v>
      </c>
      <c r="E683" s="1917" t="s">
        <v>2451</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1461</v>
      </c>
      <c r="AG683" s="1997"/>
      <c r="AH683" s="1997"/>
      <c r="AI683" s="1997"/>
      <c r="AJ683" s="1997"/>
      <c r="AK683" s="1997"/>
      <c r="AL683" s="1997"/>
      <c r="AN683" s="631"/>
      <c r="AW683" s="22" t="s">
        <v>2550</v>
      </c>
      <c r="AX683" s="584">
        <f>AX680+AX681+AX682</f>
        <v>27</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1</v>
      </c>
      <c r="AP684" s="1932"/>
      <c r="AW684" s="22" t="s">
        <v>2551</v>
      </c>
      <c r="AX684" s="584">
        <f>IFERROR(AX683/AX679,0)</f>
        <v>0.2967032967032967</v>
      </c>
      <c r="AY684" s="584">
        <f>IFERROR(AX683/(AX679-AX678),0)</f>
        <v>0.2967032967032967</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17" t="s">
        <v>2452</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1517</v>
      </c>
      <c r="AG688" s="1997"/>
      <c r="AH688" s="1997"/>
      <c r="AI688" s="1997"/>
      <c r="AJ688" s="1997"/>
      <c r="AK688" s="1997"/>
      <c r="AL688" s="1997"/>
      <c r="AN688" s="631"/>
      <c r="AO688" s="645" t="s">
        <v>516</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7" t="s">
        <v>1881</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41" t="s">
        <v>598</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4">
        <f>VLOOKUP($H$698,$AO$692:$AP$694,2,FALSE)</f>
        <v>0</v>
      </c>
      <c r="AK700" s="192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30" t="s">
        <v>1883</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1461</v>
      </c>
      <c r="AG704" s="1997"/>
      <c r="AH704" s="1997"/>
      <c r="AI704" s="1997"/>
      <c r="AJ704" s="1997"/>
      <c r="AK704" s="1997"/>
      <c r="AL704" s="1997"/>
      <c r="AM704" s="584"/>
      <c r="AN704" s="718"/>
      <c r="AP704" s="604" t="s">
        <v>1541</v>
      </c>
    </row>
    <row r="705" spans="1:52" s="604" customFormat="1" ht="11.85"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516</v>
      </c>
      <c r="E708" s="2031" t="s">
        <v>1544</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1517</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598</v>
      </c>
      <c r="AQ709" s="707">
        <v>0</v>
      </c>
    </row>
    <row r="710" spans="1:52" s="604" customFormat="1" ht="14.1"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695</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 customHeight="1">
      <c r="A712" s="584"/>
      <c r="B712" s="570"/>
      <c r="C712" s="968"/>
      <c r="D712" s="570" t="s">
        <v>1509</v>
      </c>
      <c r="E712" s="971"/>
      <c r="F712" s="971"/>
      <c r="G712" s="971"/>
      <c r="H712" s="1941" t="s">
        <v>598</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7" t="s">
        <v>1884</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1461</v>
      </c>
      <c r="AG718" s="1997"/>
      <c r="AH718" s="1997"/>
      <c r="AI718" s="1997"/>
      <c r="AJ718" s="1997"/>
      <c r="AK718" s="1997"/>
      <c r="AL718" s="1997"/>
      <c r="AM718" s="584"/>
      <c r="AN718" s="718"/>
      <c r="AT718" s="14"/>
      <c r="AU718" s="14"/>
      <c r="AV718" s="14"/>
      <c r="AW718" s="14"/>
      <c r="AX718" s="14"/>
      <c r="AY718" s="14"/>
      <c r="AZ718" s="14"/>
    </row>
    <row r="719" spans="1:52" s="604" customFormat="1">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7" t="s">
        <v>1548</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1517</v>
      </c>
      <c r="AG721" s="1997"/>
      <c r="AH721" s="1997"/>
      <c r="AI721" s="1997"/>
      <c r="AJ721" s="1997"/>
      <c r="AK721" s="1997"/>
      <c r="AL721" s="1997"/>
      <c r="AM721" s="584"/>
      <c r="AN721" s="718"/>
      <c r="AT721" s="14"/>
      <c r="AU721" s="14"/>
      <c r="AV721" s="14"/>
      <c r="AW721" s="14"/>
      <c r="AX721" s="14"/>
      <c r="AY721" s="14"/>
      <c r="AZ721" s="14"/>
    </row>
    <row r="722" spans="1:81" s="604" customFormat="1">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41" t="s">
        <v>598</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7" t="s">
        <v>1551</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1461</v>
      </c>
      <c r="AG730" s="1997"/>
      <c r="AH730" s="1997"/>
      <c r="AI730" s="1997"/>
      <c r="AJ730" s="1997"/>
      <c r="AK730" s="1997"/>
      <c r="AL730" s="1997"/>
      <c r="AM730" s="584"/>
      <c r="AN730" s="718"/>
      <c r="AT730" s="14"/>
      <c r="AU730" s="14"/>
      <c r="AV730" s="14"/>
      <c r="AW730" s="14"/>
      <c r="AX730" s="14"/>
      <c r="AY730" s="14"/>
      <c r="AZ730" s="14"/>
    </row>
    <row r="731" spans="1:81" s="604" customFormat="1">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7" t="s">
        <v>1552</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1517</v>
      </c>
      <c r="AG735" s="1997"/>
      <c r="AH735" s="1997"/>
      <c r="AI735" s="1997"/>
      <c r="AJ735" s="1997"/>
      <c r="AK735" s="1997"/>
      <c r="AL735" s="1997"/>
      <c r="AM735" s="584"/>
      <c r="AN735" s="718"/>
      <c r="AO735" s="30"/>
      <c r="AP735" s="14"/>
    </row>
    <row r="736" spans="1:81" s="604" customFormat="1">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41" t="s">
        <v>695</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4">
        <f>VLOOKUP($H$740,$AO$669:$AP$671,2,FALSE)</f>
        <v>3</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7" t="s">
        <v>1554</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1517</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7" t="s">
        <v>1555</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1534</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41" t="s">
        <v>695</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7" t="s">
        <v>1880</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1517</v>
      </c>
      <c r="AG758" s="1997"/>
      <c r="AH758" s="1997"/>
      <c r="AI758" s="1997"/>
      <c r="AJ758" s="1997"/>
      <c r="AK758" s="1997"/>
      <c r="AL758" s="1997"/>
      <c r="AM758" s="647"/>
      <c r="AN758" s="718"/>
      <c r="AO758" s="584" t="s">
        <v>598</v>
      </c>
      <c r="AP758" s="707">
        <v>0</v>
      </c>
    </row>
    <row r="759" spans="1:74" s="604" customFormat="1" ht="13.7"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9" t="s">
        <v>1885</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1461</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41" t="s">
        <v>598</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4">
        <f>VLOOKUP($H$768,$AO$758:$AP$760,2,FALSE)</f>
        <v>0</v>
      </c>
      <c r="AK770" s="192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7" t="s">
        <v>2345</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1461</v>
      </c>
      <c r="AG774" s="1997"/>
      <c r="AH774" s="1997"/>
      <c r="AI774" s="1997"/>
      <c r="AJ774" s="1997"/>
      <c r="AK774" s="1997"/>
      <c r="AL774" s="1997"/>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41" t="s">
        <v>598</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4">
        <f>VLOOKUP($H$779,$AO$773:$AP$774,2,FALSE)</f>
        <v>0</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1678</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1" t="s">
        <v>1679</v>
      </c>
      <c r="U791" s="1992"/>
      <c r="V791" s="1992"/>
      <c r="W791" s="1992"/>
      <c r="X791" s="1992"/>
      <c r="Y791" s="1993"/>
      <c r="Z791" s="1991" t="s">
        <v>1680</v>
      </c>
      <c r="AA791" s="1992"/>
      <c r="AB791" s="1992"/>
      <c r="AC791" s="1992"/>
      <c r="AD791" s="1992"/>
      <c r="AE791" s="1993"/>
      <c r="AF791" s="1991" t="s">
        <v>1681</v>
      </c>
      <c r="AG791" s="1992"/>
      <c r="AH791" s="1992"/>
      <c r="AI791" s="1992"/>
      <c r="AJ791" s="1992"/>
      <c r="AK791" s="19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c r="A793" s="853" t="s">
        <v>765</v>
      </c>
      <c r="B793" s="1948" t="s">
        <v>1413</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c r="A794" s="853" t="s">
        <v>1651</v>
      </c>
      <c r="B794" s="1948" t="s">
        <v>1422</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c r="A795" s="853" t="s">
        <v>1660</v>
      </c>
      <c r="B795" s="1948" t="s">
        <v>1432</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c r="A796" s="853" t="s">
        <v>1682</v>
      </c>
      <c r="B796" s="1948" t="s">
        <v>1442</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c r="A797" s="854" t="s">
        <v>1683</v>
      </c>
      <c r="B797" s="1948" t="s">
        <v>1684</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c r="A798" s="569"/>
      <c r="B798" s="635"/>
      <c r="C798" s="1954" t="s">
        <v>1685</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c r="A799" s="634"/>
      <c r="B799" s="635"/>
      <c r="C799" s="1954" t="s">
        <v>1686</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c r="A800" s="854" t="s">
        <v>1470</v>
      </c>
      <c r="B800" s="1948" t="s">
        <v>1687</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c r="A801" s="853" t="s">
        <v>1479</v>
      </c>
      <c r="B801" s="1948" t="s">
        <v>1480</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idden="1">
      <c r="A802" s="854" t="s">
        <v>596</v>
      </c>
      <c r="B802" s="1948" t="s">
        <v>1688</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8" t="s">
        <v>1689</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8" t="s">
        <v>1490</v>
      </c>
      <c r="C804" s="1948"/>
      <c r="D804" s="1948"/>
      <c r="E804" s="1948"/>
      <c r="F804" s="1948"/>
      <c r="G804" s="1948"/>
      <c r="H804" s="1948"/>
      <c r="I804" s="1948"/>
      <c r="J804" s="1948"/>
      <c r="K804" s="1948"/>
      <c r="L804" s="1948"/>
      <c r="M804" s="1948"/>
      <c r="N804" s="1948"/>
      <c r="O804" s="1948"/>
      <c r="P804" s="1948"/>
      <c r="Q804" s="1948"/>
      <c r="R804" s="1948"/>
      <c r="S804" s="1949"/>
      <c r="T804" s="1950">
        <f>AK327</f>
        <v>9</v>
      </c>
      <c r="U804" s="1950"/>
      <c r="V804" s="1950"/>
      <c r="W804" s="1950"/>
      <c r="X804" s="1950"/>
      <c r="Y804" s="1950"/>
      <c r="Z804" s="1959">
        <v>10</v>
      </c>
      <c r="AA804" s="1960"/>
      <c r="AB804" s="1960"/>
      <c r="AC804" s="1960"/>
      <c r="AD804" s="1960"/>
      <c r="AE804" s="1961"/>
      <c r="AF804" s="1959">
        <f>IF(T804&gt;Z804,Z804,T804)</f>
        <v>9</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6">
        <f>AK327</f>
        <v>9</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8" t="s">
        <v>855</v>
      </c>
      <c r="C806" s="1948"/>
      <c r="D806" s="1948"/>
      <c r="E806" s="1948"/>
      <c r="F806" s="1948"/>
      <c r="G806" s="1948"/>
      <c r="H806" s="1948"/>
      <c r="I806" s="1948"/>
      <c r="J806" s="1948"/>
      <c r="K806" s="1948"/>
      <c r="L806" s="1948"/>
      <c r="M806" s="1948"/>
      <c r="N806" s="1948"/>
      <c r="O806" s="1948"/>
      <c r="P806" s="1948"/>
      <c r="Q806" s="1948"/>
      <c r="R806" s="1948"/>
      <c r="S806" s="1949"/>
      <c r="T806" s="1950">
        <f>AK458</f>
        <v>10</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8" t="s">
        <v>1669</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8" t="s">
        <v>1691</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2" t="s">
        <v>1692</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1693</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4" t="s">
        <v>1694</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119</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 workbookViewId="0">
      <selection activeCell="G36" sqref="G3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1695</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35994676</v>
      </c>
      <c r="I3" s="1145"/>
    </row>
    <row r="4" spans="1:13" s="1086" customFormat="1" ht="20.100000000000001" customHeight="1">
      <c r="B4" s="1134"/>
      <c r="D4" s="1148"/>
      <c r="F4" s="1132" t="s">
        <v>2300</v>
      </c>
      <c r="G4" s="1131" t="s">
        <v>2299</v>
      </c>
      <c r="H4" s="1133">
        <f>I16</f>
        <v>25271246.595588237</v>
      </c>
      <c r="I4" s="1135"/>
      <c r="K4" s="1090"/>
    </row>
    <row r="5" spans="1:13" s="1086" customFormat="1" ht="20.100000000000001" customHeight="1" thickBot="1">
      <c r="B5" s="1136"/>
      <c r="C5" s="1137"/>
      <c r="D5" s="1149"/>
      <c r="E5" s="1138"/>
      <c r="F5" s="1149" t="s">
        <v>2240</v>
      </c>
      <c r="G5" s="1150"/>
      <c r="H5" s="1146">
        <f>H3/H4</f>
        <v>1.4243332185395168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2238</v>
      </c>
      <c r="C8" s="2152"/>
      <c r="D8" s="2152"/>
      <c r="E8" s="2153"/>
      <c r="G8" s="2154" t="s">
        <v>2239</v>
      </c>
      <c r="H8" s="2155"/>
      <c r="I8" s="2156"/>
      <c r="K8" s="1092"/>
    </row>
    <row r="9" spans="1:13" ht="15" customHeight="1">
      <c r="A9" s="1081"/>
      <c r="B9" s="2145" t="s">
        <v>2277</v>
      </c>
      <c r="C9" s="2145"/>
      <c r="D9" s="2145"/>
      <c r="E9" s="1094">
        <f>G31</f>
        <v>5335000</v>
      </c>
      <c r="G9" s="2148" t="s">
        <v>2275</v>
      </c>
      <c r="H9" s="2148"/>
      <c r="I9" s="1095">
        <f>Application!AM554</f>
        <v>45579468</v>
      </c>
      <c r="K9" s="1096"/>
      <c r="M9" s="1097"/>
    </row>
    <row r="10" spans="1:13" ht="15" customHeight="1" thickBot="1">
      <c r="A10" s="1081"/>
      <c r="B10" s="2145" t="s">
        <v>2278</v>
      </c>
      <c r="C10" s="2145"/>
      <c r="D10" s="2145"/>
      <c r="E10" s="1095">
        <f>G40</f>
        <v>21303576</v>
      </c>
      <c r="G10" s="2148" t="s">
        <v>2241</v>
      </c>
      <c r="H10" s="2148"/>
      <c r="I10" s="1182">
        <f>'Basis &amp; Credits'!AB77</f>
        <v>3951366</v>
      </c>
      <c r="M10" s="1097"/>
    </row>
    <row r="11" spans="1:13" ht="15" customHeight="1">
      <c r="A11" s="1098"/>
      <c r="B11" s="2145" t="s">
        <v>2279</v>
      </c>
      <c r="C11" s="2145"/>
      <c r="D11" s="2145"/>
      <c r="E11" s="1095">
        <f>G49</f>
        <v>0</v>
      </c>
      <c r="G11" s="2148" t="s">
        <v>2290</v>
      </c>
      <c r="H11" s="2148"/>
      <c r="I11" s="1181">
        <f>I9+I10</f>
        <v>49530834</v>
      </c>
      <c r="M11" s="1097"/>
    </row>
    <row r="12" spans="1:13" ht="15" customHeight="1">
      <c r="A12" s="1084"/>
      <c r="B12" s="2145" t="s">
        <v>2280</v>
      </c>
      <c r="C12" s="2145"/>
      <c r="D12" s="2145"/>
      <c r="E12" s="1095">
        <f>G58</f>
        <v>500000</v>
      </c>
      <c r="G12" s="1183" t="s">
        <v>2315</v>
      </c>
      <c r="H12" s="1184"/>
      <c r="M12" s="1097"/>
    </row>
    <row r="13" spans="1:13" ht="15" customHeight="1">
      <c r="A13" s="1081"/>
      <c r="B13" s="2145" t="s">
        <v>2281</v>
      </c>
      <c r="C13" s="2145"/>
      <c r="D13" s="2145"/>
      <c r="E13" s="1100">
        <f>G83</f>
        <v>7789100</v>
      </c>
      <c r="G13" s="2149" t="s">
        <v>139</v>
      </c>
      <c r="H13" s="2149"/>
      <c r="I13" s="1099">
        <f>15%*(Application!AJ993&gt;0)</f>
        <v>0.15</v>
      </c>
      <c r="M13" s="1097"/>
    </row>
    <row r="14" spans="1:13" ht="15" customHeight="1">
      <c r="A14" s="1081"/>
      <c r="B14" s="2145" t="s">
        <v>2282</v>
      </c>
      <c r="C14" s="2145"/>
      <c r="D14" s="2145"/>
      <c r="E14" s="1095">
        <f>IF(G96&gt;G106,G96,0)</f>
        <v>1067000</v>
      </c>
      <c r="G14" s="1179" t="s">
        <v>2291</v>
      </c>
      <c r="H14" s="1179"/>
      <c r="I14" s="1099">
        <f>IF(Application!AJ1031&gt;0,10%,IF(Application!AJ1035&gt;0,5%,0))</f>
        <v>0.1</v>
      </c>
      <c r="M14" s="1097"/>
    </row>
    <row r="15" spans="1:13" ht="15" customHeight="1" thickBot="1">
      <c r="A15" s="1081"/>
      <c r="B15" s="2146" t="s">
        <v>2301</v>
      </c>
      <c r="C15" s="2146"/>
      <c r="D15" s="2146"/>
      <c r="E15" s="1151">
        <f>IF(E14&gt;0,0,G106)</f>
        <v>0</v>
      </c>
      <c r="G15" s="2143" t="s">
        <v>2292</v>
      </c>
      <c r="H15" s="2144"/>
      <c r="I15" s="1153">
        <f>G114</f>
        <v>0.23978758169934641</v>
      </c>
      <c r="M15" s="1097"/>
    </row>
    <row r="16" spans="1:13" ht="15" customHeight="1">
      <c r="A16" s="1081"/>
      <c r="B16" s="2147" t="s">
        <v>2237</v>
      </c>
      <c r="C16" s="2147"/>
      <c r="D16" s="2147"/>
      <c r="E16" s="1152">
        <f>SUM(E9:E15)</f>
        <v>35994676</v>
      </c>
      <c r="G16" s="1180" t="s">
        <v>2276</v>
      </c>
      <c r="H16" s="1180"/>
      <c r="I16" s="1154">
        <f>I11-((I11*I13)+(I11*I14)+(I11*I15))</f>
        <v>25271246.595588237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91</v>
      </c>
      <c r="O18" s="1124" t="s">
        <v>589</v>
      </c>
      <c r="P18" s="1079">
        <f>MATCH(Application!T189,Application!BV490:BV547,0)</f>
        <v>38</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41" t="s">
        <v>2294</v>
      </c>
      <c r="D20" s="2141" t="s">
        <v>2295</v>
      </c>
      <c r="E20" s="2141" t="s">
        <v>2296</v>
      </c>
      <c r="F20" s="2141" t="s">
        <v>2297</v>
      </c>
      <c r="G20" s="2141" t="s">
        <v>2293</v>
      </c>
      <c r="H20" s="1108"/>
      <c r="I20" s="1107"/>
      <c r="L20" s="1079">
        <f>IFERROR(MIN(4,MATCH(Application!B718,UnitSizes,0)-1),"")</f>
        <v>0</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975.59999999999991</v>
      </c>
      <c r="Q20" s="1101" cm="1">
        <f t="array" ref="Q20">IF(Cdlac[[#This Row],[Quantity]]&gt;0,INDEX(HudFmrs,$P$18,Cdlac[[#This Row],[Bedrooms]]+1),"")</f>
        <v>2156</v>
      </c>
      <c r="R20" s="1101">
        <f>IF(Cdlac[[#This Row],[Quantity]]&gt;0,MAX(0,Cdlac[[#This Row],[Fair Market Rent]]-Cdlac[[#This Row],[Restricted Rent]]),"")</f>
        <v>1180.4000000000001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2"/>
      <c r="D21" s="2142"/>
      <c r="E21" s="2142"/>
      <c r="F21" s="2142"/>
      <c r="G21" s="2142"/>
      <c r="H21" s="1108"/>
      <c r="I21" s="1107"/>
      <c r="L21" s="1079">
        <f>IFERROR(MIN(4,MATCH(Application!B719,UnitSizes,0)-1),"")</f>
        <v>1</v>
      </c>
      <c r="M21" s="1101">
        <f>Application!G719</f>
        <v>5</v>
      </c>
      <c r="N21" s="1109">
        <f>Application!AC719</f>
        <v>0.3</v>
      </c>
      <c r="O21" s="1109">
        <f>IF(Cdlac[[#This Row],[Quantity]]&gt;0,IF(Cdlac[[#This Row],[Federal]],30%,IF($G$36,40%,Cdlac[[#This Row],[iAMI]])),"")</f>
        <v>0.3</v>
      </c>
      <c r="P21" s="1101" cm="1">
        <f t="array" ref="P21">IF(Cdlac[[#This Row],[Quantity]]&gt;0,INDEX(TcacRents,$P$18,Cdlac[[#This Row],[Bedrooms]]+1)*Cdlac[[#This Row],[AMI]],"")</f>
        <v>1045.2</v>
      </c>
      <c r="Q21" s="1101" cm="1">
        <f t="array" ref="Q21">IF(Cdlac[[#This Row],[Quantity]]&gt;0,INDEX(HudFmrs,$P$18,Cdlac[[#This Row],[Bedrooms]]+1),"")</f>
        <v>2665</v>
      </c>
      <c r="R21" s="1101">
        <f>IF(Cdlac[[#This Row],[Quantity]]&gt;0,MAX(0,Cdlac[[#This Row],[Fair Market Rent]]-Cdlac[[#This Row],[Restricted Rent]]),"")</f>
        <v>1619.8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28</v>
      </c>
      <c r="F22" s="1110">
        <f>E22</f>
        <v>28</v>
      </c>
      <c r="G22" s="1110">
        <f>D22*F22</f>
        <v>25.2</v>
      </c>
      <c r="L22" s="1079">
        <f>IFERROR(MIN(4,MATCH(Application!B720,UnitSizes,0)-1),"")</f>
        <v>2</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1254.5999999999999</v>
      </c>
      <c r="Q22" s="1101" cm="1">
        <f t="array" ref="Q22">IF(Cdlac[[#This Row],[Quantity]]&gt;0,INDEX(HudFmrs,$P$18,Cdlac[[#This Row],[Bedrooms]]+1),"")</f>
        <v>3188</v>
      </c>
      <c r="R22" s="1101">
        <f>IF(Cdlac[[#This Row],[Quantity]]&gt;0,MAX(0,Cdlac[[#This Row],[Fair Market Rent]]-Cdlac[[#This Row],[Restricted Rent]]),"")</f>
        <v>1933.4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16</v>
      </c>
      <c r="F23" s="1110">
        <f>E23</f>
        <v>16</v>
      </c>
      <c r="G23" s="1110">
        <f>D23*F23</f>
        <v>16</v>
      </c>
      <c r="L23" s="1079">
        <f>IFERROR(MIN(4,MATCH(Application!B721,UnitSizes,0)-1),"")</f>
        <v>3</v>
      </c>
      <c r="M23" s="1101">
        <f>Application!G721</f>
        <v>6</v>
      </c>
      <c r="N23" s="1109">
        <f>Application!AC721</f>
        <v>0.3</v>
      </c>
      <c r="O23" s="1109">
        <f>IF(Cdlac[[#This Row],[Quantity]]&gt;0,IF(Cdlac[[#This Row],[Federal]],30%,IF($G$36,40%,Cdlac[[#This Row],[iAMI]])),"")</f>
        <v>0.3</v>
      </c>
      <c r="P23" s="1101" cm="1">
        <f t="array" ref="P23">IF(Cdlac[[#This Row],[Quantity]]&gt;0,INDEX(TcacRents,$P$18,Cdlac[[#This Row],[Bedrooms]]+1)*Cdlac[[#This Row],[AMI]],"")</f>
        <v>1449</v>
      </c>
      <c r="Q23" s="1101" cm="1">
        <f t="array" ref="Q23">IF(Cdlac[[#This Row],[Quantity]]&gt;0,INDEX(HudFmrs,$P$18,Cdlac[[#This Row],[Bedrooms]]+1),"")</f>
        <v>3912</v>
      </c>
      <c r="R23" s="1101">
        <f>IF(Cdlac[[#This Row],[Quantity]]&gt;0,MAX(0,Cdlac[[#This Row],[Fair Market Rent]]-Cdlac[[#This Row],[Restricted Rent]]),"")</f>
        <v>2463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20</v>
      </c>
      <c r="F24" s="1113">
        <f>SUM(E24:E26)-SUM(F25:F26)</f>
        <v>20</v>
      </c>
      <c r="G24" s="1110">
        <f>D24*F24</f>
        <v>25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27</v>
      </c>
      <c r="F25" s="1113">
        <f>MIN(E25,ROUNDDOWN(E27*30%,0))</f>
        <v>27</v>
      </c>
      <c r="G25" s="1110">
        <f>D25*F25</f>
        <v>40.5</v>
      </c>
      <c r="H25" s="1112"/>
      <c r="I25" s="1112"/>
      <c r="L25" s="1079">
        <f>IFERROR(MIN(4,MATCH(Application!B723,UnitSizes,0)-1),"")</f>
        <v>0</v>
      </c>
      <c r="M25" s="1101">
        <f>Application!G723</f>
        <v>12</v>
      </c>
      <c r="N25" s="1109">
        <f>Application!AC723</f>
        <v>0.4</v>
      </c>
      <c r="O25" s="1109">
        <f>IF(Cdlac[[#This Row],[Quantity]]&gt;0,IF(Cdlac[[#This Row],[Federal]],30%,IF($G$36,40%,Cdlac[[#This Row],[iAMI]])),"")</f>
        <v>0.4</v>
      </c>
      <c r="P25" s="1101" cm="1">
        <f t="array" ref="P25">IF(Cdlac[[#This Row],[Quantity]]&gt;0,INDEX(TcacRents,$P$18,Cdlac[[#This Row],[Bedrooms]]+1)*Cdlac[[#This Row],[AMI]],"")</f>
        <v>1300.8000000000002</v>
      </c>
      <c r="Q25" s="1101" cm="1">
        <f t="array" ref="Q25">IF(Cdlac[[#This Row],[Quantity]]&gt;0,INDEX(HudFmrs,$P$18,Cdlac[[#This Row],[Bedrooms]]+1),"")</f>
        <v>2156</v>
      </c>
      <c r="R25" s="1101">
        <f>IF(Cdlac[[#This Row],[Quantity]]&gt;0,MAX(0,Cdlac[[#This Row],[Fair Market Rent]]-Cdlac[[#This Row],[Restricted Rent]]),"")</f>
        <v>855.19999999999982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5</v>
      </c>
      <c r="N26" s="1109">
        <f>Application!AC724</f>
        <v>0.4</v>
      </c>
      <c r="O26" s="1109">
        <f>IF(Cdlac[[#This Row],[Quantity]]&gt;0,IF(Cdlac[[#This Row],[Federal]],30%,IF($G$36,40%,Cdlac[[#This Row],[iAMI]])),"")</f>
        <v>0.4</v>
      </c>
      <c r="P26" s="1101" cm="1">
        <f t="array" ref="P26">IF(Cdlac[[#This Row],[Quantity]]&gt;0,INDEX(TcacRents,$P$18,Cdlac[[#This Row],[Bedrooms]]+1)*Cdlac[[#This Row],[AMI]],"")</f>
        <v>1393.6000000000001</v>
      </c>
      <c r="Q26" s="1101" cm="1">
        <f t="array" ref="Q26">IF(Cdlac[[#This Row],[Quantity]]&gt;0,INDEX(HudFmrs,$P$18,Cdlac[[#This Row],[Bedrooms]]+1),"")</f>
        <v>2665</v>
      </c>
      <c r="R26" s="1101">
        <f>IF(Cdlac[[#This Row],[Quantity]]&gt;0,MAX(0,Cdlac[[#This Row],[Fair Market Rent]]-Cdlac[[#This Row],[Restricted Rent]]),"")</f>
        <v>1271.3999999999999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7" t="s">
        <v>1696</v>
      </c>
      <c r="D27" s="2158"/>
      <c r="E27" s="1129">
        <f>SUM(E22:E26)</f>
        <v>91</v>
      </c>
      <c r="F27" s="1129">
        <f>SUM(F22:F26)</f>
        <v>91</v>
      </c>
      <c r="G27" s="1130">
        <f>SUMPRODUCT(D22:D26,F22:F26)</f>
        <v>106.7</v>
      </c>
      <c r="H27" s="1112"/>
      <c r="I27" s="1112"/>
      <c r="L27" s="1079">
        <f>IFERROR(MIN(4,MATCH(Application!B725,UnitSizes,0)-1),"")</f>
        <v>2</v>
      </c>
      <c r="M27" s="1101">
        <f>Application!G725</f>
        <v>6</v>
      </c>
      <c r="N27" s="1109">
        <f>Application!AC725</f>
        <v>0.4</v>
      </c>
      <c r="O27" s="1109">
        <f>IF(Cdlac[[#This Row],[Quantity]]&gt;0,IF(Cdlac[[#This Row],[Federal]],30%,IF($G$36,40%,Cdlac[[#This Row],[iAMI]])),"")</f>
        <v>0.4</v>
      </c>
      <c r="P27" s="1101" cm="1">
        <f t="array" ref="P27">IF(Cdlac[[#This Row],[Quantity]]&gt;0,INDEX(TcacRents,$P$18,Cdlac[[#This Row],[Bedrooms]]+1)*Cdlac[[#This Row],[AMI]],"")</f>
        <v>1672.8000000000002</v>
      </c>
      <c r="Q27" s="1101" cm="1">
        <f t="array" ref="Q27">IF(Cdlac[[#This Row],[Quantity]]&gt;0,INDEX(HudFmrs,$P$18,Cdlac[[#This Row],[Bedrooms]]+1),"")</f>
        <v>3188</v>
      </c>
      <c r="R27" s="1101">
        <f>IF(Cdlac[[#This Row],[Quantity]]&gt;0,MAX(0,Cdlac[[#This Row],[Fair Market Rent]]-Cdlac[[#This Row],[Restricted Rent]]),"")</f>
        <v>1515.1999999999998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9</v>
      </c>
      <c r="N28" s="1109">
        <f>Application!AC726</f>
        <v>0.4</v>
      </c>
      <c r="O28" s="1109">
        <f>IF(Cdlac[[#This Row],[Quantity]]&gt;0,IF(Cdlac[[#This Row],[Federal]],30%,IF($G$36,40%,Cdlac[[#This Row],[iAMI]])),"")</f>
        <v>0.4</v>
      </c>
      <c r="P28" s="1101" cm="1">
        <f t="array" ref="P28">IF(Cdlac[[#This Row],[Quantity]]&gt;0,INDEX(TcacRents,$P$18,Cdlac[[#This Row],[Bedrooms]]+1)*Cdlac[[#This Row],[AMI]],"")</f>
        <v>1932</v>
      </c>
      <c r="Q28" s="1101" cm="1">
        <f t="array" ref="Q28">IF(Cdlac[[#This Row],[Quantity]]&gt;0,INDEX(HudFmrs,$P$18,Cdlac[[#This Row],[Bedrooms]]+1),"")</f>
        <v>3912</v>
      </c>
      <c r="R28" s="1101">
        <f>IF(Cdlac[[#This Row],[Quantity]]&gt;0,MAX(0,Cdlac[[#This Row],[Fair Market Rent]]-Cdlac[[#This Row],[Restricted Rent]]),"")</f>
        <v>1980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106.7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0</v>
      </c>
      <c r="M30" s="1101">
        <f>Application!G728</f>
        <v>8</v>
      </c>
      <c r="N30" s="1109">
        <f>Application!AC728</f>
        <v>0.5</v>
      </c>
      <c r="O30" s="1109">
        <f>IF(Cdlac[[#This Row],[Quantity]]&gt;0,IF(Cdlac[[#This Row],[Federal]],30%,IF($G$36,40%,Cdlac[[#This Row],[iAMI]])),"")</f>
        <v>0.5</v>
      </c>
      <c r="P30" s="1101" cm="1">
        <f t="array" ref="P30">IF(Cdlac[[#This Row],[Quantity]]&gt;0,INDEX(TcacRents,$P$18,Cdlac[[#This Row],[Bedrooms]]+1)*Cdlac[[#This Row],[AMI]],"")</f>
        <v>1626</v>
      </c>
      <c r="Q30" s="1101" cm="1">
        <f t="array" ref="Q30">IF(Cdlac[[#This Row],[Quantity]]&gt;0,INDEX(HudFmrs,$P$18,Cdlac[[#This Row],[Bedrooms]]+1),"")</f>
        <v>2156</v>
      </c>
      <c r="R30" s="1101">
        <f>IF(Cdlac[[#This Row],[Quantity]]&gt;0,MAX(0,Cdlac[[#This Row],[Fair Market Rent]]-Cdlac[[#This Row],[Restricted Rent]]),"")</f>
        <v>530</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5335000</v>
      </c>
      <c r="H31" s="1112"/>
      <c r="I31" s="1112"/>
      <c r="L31" s="1079">
        <f>IFERROR(MIN(4,MATCH(Application!B729,UnitSizes,0)-1),"")</f>
        <v>1</v>
      </c>
      <c r="M31" s="1101">
        <f>Application!G729</f>
        <v>3</v>
      </c>
      <c r="N31" s="1109">
        <f>Application!AC729</f>
        <v>0.5</v>
      </c>
      <c r="O31" s="1109">
        <f>IF(Cdlac[[#This Row],[Quantity]]&gt;0,IF(Cdlac[[#This Row],[Federal]],30%,IF($G$36,40%,Cdlac[[#This Row],[iAMI]])),"")</f>
        <v>0.5</v>
      </c>
      <c r="P31" s="1101" cm="1">
        <f t="array" ref="P31">IF(Cdlac[[#This Row],[Quantity]]&gt;0,INDEX(TcacRents,$P$18,Cdlac[[#This Row],[Bedrooms]]+1)*Cdlac[[#This Row],[AMI]],"")</f>
        <v>1742</v>
      </c>
      <c r="Q31" s="1101" cm="1">
        <f t="array" ref="Q31">IF(Cdlac[[#This Row],[Quantity]]&gt;0,INDEX(HudFmrs,$P$18,Cdlac[[#This Row],[Bedrooms]]+1),"")</f>
        <v>2665</v>
      </c>
      <c r="R31" s="1101">
        <f>IF(Cdlac[[#This Row],[Quantity]]&gt;0,MAX(0,Cdlac[[#This Row],[Fair Market Rent]]-Cdlac[[#This Row],[Restricted Rent]]),"")</f>
        <v>923</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4</v>
      </c>
      <c r="N32" s="1109">
        <f>Application!AC730</f>
        <v>0.5</v>
      </c>
      <c r="O32" s="1109">
        <f>IF(Cdlac[[#This Row],[Quantity]]&gt;0,IF(Cdlac[[#This Row],[Federal]],30%,IF($G$36,40%,Cdlac[[#This Row],[iAMI]])),"")</f>
        <v>0.5</v>
      </c>
      <c r="P32" s="1101" cm="1">
        <f t="array" ref="P32">IF(Cdlac[[#This Row],[Quantity]]&gt;0,INDEX(TcacRents,$P$18,Cdlac[[#This Row],[Bedrooms]]+1)*Cdlac[[#This Row],[AMI]],"")</f>
        <v>2091</v>
      </c>
      <c r="Q32" s="1101" cm="1">
        <f t="array" ref="Q32">IF(Cdlac[[#This Row],[Quantity]]&gt;0,INDEX(HudFmrs,$P$18,Cdlac[[#This Row],[Bedrooms]]+1),"")</f>
        <v>3188</v>
      </c>
      <c r="R32" s="1101">
        <f>IF(Cdlac[[#This Row],[Quantity]]&gt;0,MAX(0,Cdlac[[#This Row],[Fair Market Rent]]-Cdlac[[#This Row],[Restricted Rent]]),"")</f>
        <v>1097</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6</v>
      </c>
      <c r="N33" s="1109">
        <f>Application!AC731</f>
        <v>0.5</v>
      </c>
      <c r="O33" s="1109">
        <f>IF(Cdlac[[#This Row],[Quantity]]&gt;0,IF(Cdlac[[#This Row],[Federal]],30%,IF($G$36,40%,Cdlac[[#This Row],[iAMI]])),"")</f>
        <v>0.5</v>
      </c>
      <c r="P33" s="1101" cm="1">
        <f t="array" ref="P33">IF(Cdlac[[#This Row],[Quantity]]&gt;0,INDEX(TcacRents,$P$18,Cdlac[[#This Row],[Bedrooms]]+1)*Cdlac[[#This Row],[AMI]],"")</f>
        <v>2415</v>
      </c>
      <c r="Q33" s="1101" cm="1">
        <f t="array" ref="Q33">IF(Cdlac[[#This Row],[Quantity]]&gt;0,INDEX(HudFmrs,$P$18,Cdlac[[#This Row],[Bedrooms]]+1),"")</f>
        <v>3912</v>
      </c>
      <c r="R33" s="1101">
        <f>IF(Cdlac[[#This Row],[Quantity]]&gt;0,MAX(0,Cdlac[[#This Row],[Fair Market Rent]]-Cdlac[[#This Row],[Restricted Rent]]),"")</f>
        <v>1497</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0.42417582417582417</v>
      </c>
      <c r="L35" s="1079">
        <f>IFERROR(MIN(4,MATCH(Application!B733,UnitSizes,0)-1),"")</f>
        <v>1</v>
      </c>
      <c r="M35" s="1101">
        <f>Application!G733</f>
        <v>3</v>
      </c>
      <c r="N35" s="1109">
        <f>Application!AC733</f>
        <v>0.6</v>
      </c>
      <c r="O35" s="1109">
        <f>IF(Cdlac[[#This Row],[Quantity]]&gt;0,IF(Cdlac[[#This Row],[Federal]],30%,IF($G$36,40%,Cdlac[[#This Row],[iAMI]])),"")</f>
        <v>0.6</v>
      </c>
      <c r="P35" s="1101" cm="1">
        <f t="array" ref="P35">IF(Cdlac[[#This Row],[Quantity]]&gt;0,INDEX(TcacRents,$P$18,Cdlac[[#This Row],[Bedrooms]]+1)*Cdlac[[#This Row],[AMI]],"")</f>
        <v>2090.4</v>
      </c>
      <c r="Q35" s="1101" cm="1">
        <f t="array" ref="Q35">IF(Cdlac[[#This Row],[Quantity]]&gt;0,INDEX(HudFmrs,$P$18,Cdlac[[#This Row],[Bedrooms]]+1),"")</f>
        <v>2665</v>
      </c>
      <c r="R35" s="1101">
        <f>IF(Cdlac[[#This Row],[Quantity]]&gt;0,MAX(0,Cdlac[[#This Row],[Fair Market Rent]]-Cdlac[[#This Row],[Restricted Rent]]),"")</f>
        <v>574.59999999999991</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2308</v>
      </c>
      <c r="G36" s="1119" t="b">
        <f>G35&lt;40%</f>
        <v>0</v>
      </c>
      <c r="L36" s="1079">
        <f>IFERROR(MIN(4,MATCH(Application!B734,UnitSizes,0)-1),"")</f>
        <v>2</v>
      </c>
      <c r="M36" s="1101">
        <f>Application!G734</f>
        <v>4</v>
      </c>
      <c r="N36" s="1109">
        <f>Application!AC734</f>
        <v>0.6</v>
      </c>
      <c r="O36" s="1109">
        <f>IF(Cdlac[[#This Row],[Quantity]]&gt;0,IF(Cdlac[[#This Row],[Federal]],30%,IF($G$36,40%,Cdlac[[#This Row],[iAMI]])),"")</f>
        <v>0.6</v>
      </c>
      <c r="P36" s="1101" cm="1">
        <f t="array" ref="P36">IF(Cdlac[[#This Row],[Quantity]]&gt;0,INDEX(TcacRents,$P$18,Cdlac[[#This Row],[Bedrooms]]+1)*Cdlac[[#This Row],[AMI]],"")</f>
        <v>2509.1999999999998</v>
      </c>
      <c r="Q36" s="1101" cm="1">
        <f t="array" ref="Q36">IF(Cdlac[[#This Row],[Quantity]]&gt;0,INDEX(HudFmrs,$P$18,Cdlac[[#This Row],[Bedrooms]]+1),"")</f>
        <v>3188</v>
      </c>
      <c r="R36" s="1101">
        <f>IF(Cdlac[[#This Row],[Quantity]]&gt;0,MAX(0,Cdlac[[#This Row],[Fair Market Rent]]-Cdlac[[#This Row],[Restricted Rent]]),"")</f>
        <v>678.80000000000018</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6</v>
      </c>
      <c r="N37" s="1109">
        <f>Application!AC735</f>
        <v>0.6</v>
      </c>
      <c r="O37" s="1109">
        <f>IF(Cdlac[[#This Row],[Quantity]]&gt;0,IF(Cdlac[[#This Row],[Federal]],30%,IF($G$36,40%,Cdlac[[#This Row],[iAMI]])),"")</f>
        <v>0.6</v>
      </c>
      <c r="P37" s="1101" cm="1">
        <f t="array" ref="P37">IF(Cdlac[[#This Row],[Quantity]]&gt;0,INDEX(TcacRents,$P$18,Cdlac[[#This Row],[Bedrooms]]+1)*Cdlac[[#This Row],[AMI]],"")</f>
        <v>2898</v>
      </c>
      <c r="Q37" s="1101" cm="1">
        <f t="array" ref="Q37">IF(Cdlac[[#This Row],[Quantity]]&gt;0,INDEX(HudFmrs,$P$18,Cdlac[[#This Row],[Bedrooms]]+1),"")</f>
        <v>3912</v>
      </c>
      <c r="R37" s="1101">
        <f>IF(Cdlac[[#This Row],[Quantity]]&gt;0,MAX(0,Cdlac[[#This Row],[Fair Market Rent]]-Cdlac[[#This Row],[Restricted Rent]]),"")</f>
        <v>1014</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2249</v>
      </c>
      <c r="G38" s="1116">
        <f>SUMPRODUCT(Cdlac[Quantity],Cdlac[Delta])</f>
        <v>118353.2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21303576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45</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25</v>
      </c>
    </row>
    <row r="54" spans="2:14" ht="15" customHeight="1">
      <c r="E54" s="1159" t="s">
        <v>2304</v>
      </c>
      <c r="G54" s="1117">
        <f>ROUNDDOWN(E27*50%,0)</f>
        <v>45</v>
      </c>
    </row>
    <row r="55" spans="2:14" ht="15" customHeight="1">
      <c r="E55" s="1159"/>
      <c r="G55" s="1117"/>
    </row>
    <row r="56" spans="2:14" ht="15" customHeight="1">
      <c r="E56" s="1159" t="s">
        <v>2255</v>
      </c>
      <c r="G56" s="1156">
        <f>MIN(G53:G54)</f>
        <v>25</v>
      </c>
    </row>
    <row r="57" spans="2:14" ht="15" customHeight="1">
      <c r="E57" s="1159" t="s">
        <v>2245</v>
      </c>
      <c r="F57" s="1155" t="s">
        <v>2302</v>
      </c>
      <c r="G57" s="1166">
        <v>20000</v>
      </c>
    </row>
    <row r="58" spans="2:14" ht="15" customHeight="1">
      <c r="E58" s="1160" t="s">
        <v>2284</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9" t="s">
        <v>1514</v>
      </c>
      <c r="N62" s="2160"/>
    </row>
    <row r="63" spans="2:14" ht="15" customHeight="1">
      <c r="E63" s="1124" t="s">
        <v>2245</v>
      </c>
      <c r="F63" s="1155" t="s">
        <v>2302</v>
      </c>
      <c r="G63" s="1114">
        <v>4000</v>
      </c>
      <c r="L63" s="1170" t="str">
        <f>'Points System'!H639</f>
        <v>(i)</v>
      </c>
      <c r="M63" s="2161" t="s">
        <v>2259</v>
      </c>
      <c r="N63" s="2162"/>
    </row>
    <row r="64" spans="2:14" ht="15" customHeight="1">
      <c r="E64" s="1124" t="s">
        <v>2306</v>
      </c>
      <c r="F64" s="1155" t="s">
        <v>2302</v>
      </c>
      <c r="G64" s="1168">
        <f>G27</f>
        <v>106.7</v>
      </c>
      <c r="L64" s="1170" t="str">
        <f>'Points System'!H674</f>
        <v>(i)</v>
      </c>
      <c r="M64" s="2161" t="s">
        <v>2260</v>
      </c>
      <c r="N64" s="2162"/>
    </row>
    <row r="65" spans="2:14" ht="15" customHeight="1">
      <c r="E65" s="1160" t="s">
        <v>2264</v>
      </c>
      <c r="F65" s="1081"/>
      <c r="G65" s="1165">
        <f>G62*G63*G64</f>
        <v>2987600</v>
      </c>
      <c r="L65" s="1170" t="str">
        <f>IF(OR('Points System'!H698="(ii)",'Points System'!H698="(i)"),"(i)","N/A")</f>
        <v>N/A</v>
      </c>
      <c r="M65" s="2161" t="s">
        <v>2261</v>
      </c>
      <c r="N65" s="2162"/>
    </row>
    <row r="66" spans="2:14" ht="15" customHeight="1">
      <c r="C66" s="1115"/>
      <c r="G66" s="1156"/>
      <c r="L66" s="1171" t="str">
        <f>'Points System'!H712</f>
        <v>N/A</v>
      </c>
      <c r="M66" s="2161" t="s">
        <v>1540</v>
      </c>
      <c r="N66" s="2162"/>
    </row>
    <row r="67" spans="2:14" ht="15" customHeight="1">
      <c r="E67" s="1124" t="s">
        <v>2307</v>
      </c>
      <c r="G67" s="1168">
        <f>COUNTIFS(L62:L69,"(i)")</f>
        <v>5</v>
      </c>
      <c r="L67" s="1170" t="str">
        <f>'Points System'!H724</f>
        <v>N/A</v>
      </c>
      <c r="M67" s="2161" t="s">
        <v>2262</v>
      </c>
      <c r="N67" s="2162"/>
    </row>
    <row r="68" spans="2:14" ht="15" customHeight="1">
      <c r="E68" s="1124" t="s">
        <v>2245</v>
      </c>
      <c r="F68" s="1155" t="s">
        <v>2302</v>
      </c>
      <c r="G68" s="1166">
        <v>4000</v>
      </c>
      <c r="L68" s="1170" t="str">
        <f>'Points System'!H740</f>
        <v>(i)</v>
      </c>
      <c r="M68" s="2161" t="s">
        <v>2263</v>
      </c>
      <c r="N68" s="2162"/>
    </row>
    <row r="69" spans="2:14" ht="15" customHeight="1" thickBot="1">
      <c r="E69" s="1160" t="s">
        <v>2265</v>
      </c>
      <c r="F69" s="1081"/>
      <c r="G69" s="1165">
        <f>G64*G67*G68</f>
        <v>2134000</v>
      </c>
      <c r="L69" s="1172" t="str">
        <f>'Points System'!H752</f>
        <v>(i)</v>
      </c>
      <c r="M69" s="2167" t="s">
        <v>1543</v>
      </c>
      <c r="N69" s="2168"/>
    </row>
    <row r="70" spans="2:14" ht="15" customHeight="1"/>
    <row r="71" spans="2:14" ht="15" customHeight="1">
      <c r="C71" s="1118" t="s">
        <v>2267</v>
      </c>
    </row>
    <row r="72" spans="2:14" ht="15" customHeight="1">
      <c r="C72" s="1115" t="s">
        <v>2268</v>
      </c>
      <c r="G72" s="1078"/>
    </row>
    <row r="73" spans="2:14" ht="15" customHeight="1">
      <c r="C73" s="1115" t="s">
        <v>2269</v>
      </c>
      <c r="G73" s="1078" t="s">
        <v>552</v>
      </c>
    </row>
    <row r="74" spans="2:14" ht="15" customHeight="1">
      <c r="C74" s="1115" t="s">
        <v>2497</v>
      </c>
      <c r="G74" s="1078" t="s">
        <v>552</v>
      </c>
    </row>
    <row r="75" spans="2:14" ht="15" customHeight="1">
      <c r="C75" s="1115" t="s">
        <v>2498</v>
      </c>
      <c r="G75" s="1078" t="s">
        <v>552</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106.7</v>
      </c>
    </row>
    <row r="80" spans="2:14" ht="15" customHeight="1">
      <c r="E80" s="1124" t="s">
        <v>2245</v>
      </c>
      <c r="F80" s="1155" t="s">
        <v>2302</v>
      </c>
      <c r="G80" s="1166">
        <v>25000</v>
      </c>
    </row>
    <row r="81" spans="2:14" ht="15" customHeight="1">
      <c r="E81" s="1160" t="s">
        <v>2266</v>
      </c>
      <c r="F81" s="1081"/>
      <c r="G81" s="1165">
        <f>G77*G80*G64</f>
        <v>2667500</v>
      </c>
    </row>
    <row r="82" spans="2:14" ht="15" customHeight="1">
      <c r="C82" s="1115"/>
      <c r="E82" s="1115"/>
    </row>
    <row r="83" spans="2:14" ht="15" customHeight="1">
      <c r="E83" s="1160" t="s">
        <v>2243</v>
      </c>
      <c r="G83" s="1165">
        <f>G81+G69+G65</f>
        <v>7789100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552</v>
      </c>
      <c r="L87" s="2169" t="s">
        <v>2272</v>
      </c>
      <c r="M87" s="2170"/>
      <c r="N87" s="1173">
        <v>30000</v>
      </c>
    </row>
    <row r="88" spans="2:14" ht="15" customHeight="1">
      <c r="C88" s="1115" t="s">
        <v>2289</v>
      </c>
      <c r="G88" s="1119" t="str">
        <f>IF(Application!D211="Large Family","Yes","No")</f>
        <v>Yes</v>
      </c>
      <c r="L88" s="2163" t="s">
        <v>2236</v>
      </c>
      <c r="M88" s="2164"/>
      <c r="N88" s="1174">
        <v>20000</v>
      </c>
    </row>
    <row r="89" spans="2:14" ht="15" customHeight="1" thickBot="1">
      <c r="C89" s="1115" t="s">
        <v>2270</v>
      </c>
      <c r="G89" s="1078" t="s">
        <v>676</v>
      </c>
      <c r="L89" s="2165" t="s">
        <v>2273</v>
      </c>
      <c r="M89" s="2166"/>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106.7</v>
      </c>
    </row>
    <row r="96" spans="2:14" ht="15" customHeight="1">
      <c r="D96" s="1081"/>
      <c r="E96" s="1160" t="s">
        <v>2244</v>
      </c>
      <c r="F96" s="1081"/>
      <c r="G96" s="1165">
        <f>G95*G94*G92</f>
        <v>1067000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676</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106.7</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589</v>
      </c>
      <c r="G110" s="1079" t="str">
        <f>IF(Application!T189="","",Application!T189)</f>
        <v>San Francisco</v>
      </c>
    </row>
    <row r="111" spans="2:9" ht="15" customHeight="1">
      <c r="E111" s="1124"/>
      <c r="G111" s="1116"/>
    </row>
    <row r="112" spans="2:9" ht="15" customHeight="1">
      <c r="E112" s="1124" t="str">
        <f>"2-Bedroom "&amp;G110&amp;" County Basis Limit"</f>
        <v>2-Bedroom San Francisco County Basis Limit</v>
      </c>
      <c r="G112" s="1116">
        <f>Application!R987</f>
        <v>959200</v>
      </c>
    </row>
    <row r="113" spans="4:9" ht="15" customHeight="1">
      <c r="E113" s="1124" t="s">
        <v>2310</v>
      </c>
      <c r="G113" s="1116">
        <f>MEDIAN((Application!BR806:BR863))</f>
        <v>489600</v>
      </c>
    </row>
    <row r="114" spans="4:9" ht="15" customHeight="1">
      <c r="D114" s="1081"/>
      <c r="E114" s="1160" t="s">
        <v>2312</v>
      </c>
      <c r="F114" s="1176"/>
      <c r="G114" s="1177">
        <f>((G112-G113)/G113)*0.25</f>
        <v>0.23978758169934641</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5C80755158D042ACB89284128FFF50" ma:contentTypeVersion="13" ma:contentTypeDescription="Create a new document." ma:contentTypeScope="" ma:versionID="3498becc1a73a135dd09bd52be8ed463">
  <xsd:schema xmlns:xsd="http://www.w3.org/2001/XMLSchema" xmlns:xs="http://www.w3.org/2001/XMLSchema" xmlns:p="http://schemas.microsoft.com/office/2006/metadata/properties" xmlns:ns2="f4fda9b2-2cad-47eb-b40a-0f9136b371a5" xmlns:ns3="b0f85245-895d-4e8d-b98a-b6d6602b57a0" targetNamespace="http://schemas.microsoft.com/office/2006/metadata/properties" ma:root="true" ma:fieldsID="1fd71fa7701ac7ec077230e356cbfdd1" ns2:_="" ns3:_="">
    <xsd:import namespace="f4fda9b2-2cad-47eb-b40a-0f9136b371a5"/>
    <xsd:import namespace="b0f85245-895d-4e8d-b98a-b6d6602b57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0f85245-895d-4e8d-b98a-b6d6602b57a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b0f85245-895d-4e8d-b98a-b6d6602b57a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EE6676-6F6D-4A21-B872-D72B622DF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b0f85245-895d-4e8d-b98a-b6d6602b57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94FA0F-A23B-46C1-80AE-3AC88D0508AD}">
  <ds:schemaRefs>
    <ds:schemaRef ds:uri="http://schemas.microsoft.com/office/2006/metadata/properties"/>
    <ds:schemaRef ds:uri="http://schemas.microsoft.com/office/infopath/2007/PartnerControls"/>
    <ds:schemaRef ds:uri="f4fda9b2-2cad-47eb-b40a-0f9136b371a5"/>
    <ds:schemaRef ds:uri="b0f85245-895d-4e8d-b98a-b6d6602b57a0"/>
  </ds:schemaRefs>
</ds:datastoreItem>
</file>

<file path=customXml/itemProps3.xml><?xml version="1.0" encoding="utf-8"?>
<ds:datastoreItem xmlns:ds="http://schemas.openxmlformats.org/officeDocument/2006/customXml" ds:itemID="{6446E9E0-480F-4A72-8FBF-6D4165D18E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Vogt</cp:lastModifiedBy>
  <cp:lastPrinted>2022-06-02T00:41:49Z</cp:lastPrinted>
  <dcterms:created xsi:type="dcterms:W3CDTF">2007-12-27T18:26:28Z</dcterms:created>
  <dcterms:modified xsi:type="dcterms:W3CDTF">2024-04-19T20:04:15Z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0x010100505C80755158D042ACB89284128FFF50</vt:lpwstr>
  </property>
  <property fmtid="{D5CDD505-2E9C-101B-9397-08002B2CF9AE}" pid="3" name="MediaServiceImageTags">
    <vt:lpwstr/>
  </property>
</Properties>
</file>